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英泽路8号院办公-武哥-询价\"/>
    </mc:Choice>
  </mc:AlternateContent>
  <xr:revisionPtr revIDLastSave="0" documentId="13_ncr:1_{2D69C8CD-E261-4F1A-A2D0-F7142BDF879E}" xr6:coauthVersionLast="47" xr6:coauthVersionMax="47" xr10:uidLastSave="{00000000-0000-0000-0000-000000000000}"/>
  <bookViews>
    <workbookView xWindow="-110" yWindow="-110" windowWidth="25820" windowHeight="1402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收益法 (元)" sheetId="67" r:id="rId40"/>
    <sheet name="办公租金案例" sheetId="80" r:id="rId41"/>
    <sheet name="商业租金案例" sheetId="81" r:id="rId42"/>
    <sheet name="Sheet3" sheetId="82" r:id="rId43"/>
    <sheet name="比较法-商业" sheetId="33"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3"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3">'比较法-商业'!$A$1:$K$54,'比较法-商业'!$A$57:$M$131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49" i="67"/>
  <c r="U3" i="43"/>
  <c r="N6" i="1"/>
  <c r="N19" i="1"/>
  <c r="B59" i="1"/>
  <c r="B21" i="1"/>
  <c r="Y6" i="1"/>
  <c r="Q8" i="81"/>
  <c r="F19" i="6"/>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6" i="79"/>
  <c r="AD34" i="79"/>
  <c r="AD37" i="79"/>
  <c r="AD35" i="79"/>
  <c r="AR40" i="79"/>
  <c r="AR41" i="79" s="1"/>
  <c r="AR42" i="79" s="1"/>
  <c r="AR43" i="79" s="1"/>
  <c r="AR44" i="79" s="1"/>
  <c r="AR45" i="79" s="1"/>
  <c r="AR46" i="79" s="1"/>
  <c r="AR47" i="79" s="1"/>
  <c r="AR48" i="79" s="1"/>
  <c r="AR49" i="79" s="1"/>
  <c r="AR50" i="79" s="1"/>
  <c r="AR51" i="79" s="1"/>
  <c r="AR52" i="79" s="1"/>
  <c r="Z3" i="79"/>
  <c r="S33" i="79"/>
  <c r="AG33" i="79" s="1"/>
  <c r="S35" i="79"/>
  <c r="AG35" i="79" s="1"/>
  <c r="S34" i="79"/>
  <c r="AG34" i="79" s="1"/>
  <c r="AA31" i="79"/>
  <c r="AD31" i="79" s="1"/>
  <c r="T40" i="79"/>
  <c r="U46" i="79"/>
  <c r="AI46" i="79" s="1"/>
  <c r="AD47" i="79"/>
  <c r="S48" i="79"/>
  <c r="AG48" i="79" s="1"/>
  <c r="U50" i="79"/>
  <c r="AI50" i="79" s="1"/>
  <c r="AD51" i="79"/>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W33" i="79"/>
  <c r="AK33" i="79" s="1"/>
  <c r="AH33"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A6" i="52" s="1"/>
  <c r="B57" i="72" s="1"/>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H36" i="39"/>
  <c r="AB36" i="39" s="1"/>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W9" i="34"/>
  <c r="U34" i="34"/>
  <c r="H39" i="33"/>
  <c r="AB39" i="33"/>
  <c r="F26" i="33"/>
  <c r="AA26" i="33" s="1"/>
  <c r="U35" i="33"/>
  <c r="S40" i="33"/>
  <c r="W33" i="33"/>
  <c r="W39" i="33"/>
  <c r="H39" i="37"/>
  <c r="AB39" i="37" s="1"/>
  <c r="S27" i="35"/>
  <c r="F11" i="40"/>
  <c r="AA11" i="40"/>
  <c r="H11" i="40"/>
  <c r="AB11"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c r="H113" i="33"/>
  <c r="I113" i="33" s="1"/>
  <c r="J113" i="33" s="1"/>
  <c r="K113" i="33" s="1"/>
  <c r="L113" i="33"/>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AZ167" i="3"/>
  <c r="BL168" i="3"/>
  <c r="G169" i="3"/>
  <c r="BA171" i="3"/>
  <c r="BL172" i="3"/>
  <c r="G173" i="3"/>
  <c r="BA175" i="3"/>
  <c r="AZ175" i="3"/>
  <c r="BL176" i="3"/>
  <c r="G177" i="3"/>
  <c r="BA179" i="3"/>
  <c r="BL180" i="3"/>
  <c r="AZ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AZ335" i="3" s="1"/>
  <c r="G336" i="3"/>
  <c r="BA338" i="3"/>
  <c r="BL339" i="3"/>
  <c r="AZ339" i="3"/>
  <c r="G340" i="3"/>
  <c r="BL343" i="3"/>
  <c r="G344" i="3"/>
  <c r="G348" i="3"/>
  <c r="G355" i="3"/>
  <c r="AZ214" i="3"/>
  <c r="G342" i="3"/>
  <c r="BL345" i="3"/>
  <c r="AZ345" i="3" s="1"/>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C5" i="3"/>
  <c r="AZ506" i="3"/>
  <c r="AZ496" i="3"/>
  <c r="G548" i="3"/>
  <c r="G538" i="3"/>
  <c r="G520" i="3"/>
  <c r="G502" i="3"/>
  <c r="BS5" i="3"/>
  <c r="BP5" i="3"/>
  <c r="G29" i="6" s="1"/>
  <c r="BN5" i="3"/>
  <c r="BK5" i="3"/>
  <c r="BI5" i="3"/>
  <c r="BG5" i="3"/>
  <c r="BE5" i="3"/>
  <c r="BC5" i="3"/>
  <c r="G17" i="3"/>
  <c r="BA17" i="3"/>
  <c r="BT5" i="3"/>
  <c r="AZ350" i="3"/>
  <c r="AZ356" i="3"/>
  <c r="BA15" i="3"/>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130" i="3"/>
  <c r="AZ50" i="3"/>
  <c r="AZ77"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AA47" i="34"/>
  <c r="W28" i="37"/>
  <c r="S19" i="39"/>
  <c r="F12" i="33"/>
  <c r="H12" i="39"/>
  <c r="AB12" i="39"/>
  <c r="F39" i="40"/>
  <c r="BA14" i="3"/>
  <c r="AZ254" i="3"/>
  <c r="AZ297"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AA39" i="40"/>
  <c r="S39" i="40"/>
  <c r="S12" i="33"/>
  <c r="AA12" i="33"/>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C76" i="15"/>
  <c r="B7" i="76"/>
  <c r="E7" i="76"/>
  <c r="F42" i="15"/>
  <c r="E10" i="76"/>
  <c r="M22" i="15"/>
  <c r="F6" i="15"/>
  <c r="E11" i="76"/>
  <c r="B8" i="76"/>
  <c r="M9" i="15"/>
  <c r="M28" i="15"/>
  <c r="F40" i="15"/>
  <c r="E2" i="69"/>
  <c r="F16" i="15"/>
  <c r="M23" i="15"/>
  <c r="F7" i="73"/>
  <c r="E9" i="76"/>
  <c r="D6" i="73"/>
  <c r="F43" i="15"/>
  <c r="F8" i="15"/>
  <c r="L47" i="15"/>
  <c r="M24" i="15"/>
  <c r="F4" i="73"/>
  <c r="AO13" i="1"/>
  <c r="E13" i="76"/>
  <c r="F13" i="15"/>
  <c r="J15" i="15"/>
  <c r="M26" i="15"/>
  <c r="F20" i="31"/>
  <c r="M8" i="15"/>
  <c r="B10" i="76"/>
  <c r="F3" i="73"/>
  <c r="E8" i="76"/>
  <c r="F37" i="15"/>
  <c r="F5" i="73"/>
  <c r="F26" i="15"/>
  <c r="M29" i="15"/>
  <c r="F9" i="15"/>
  <c r="F6" i="73"/>
  <c r="E2" i="68"/>
  <c r="F36" i="15"/>
  <c r="F7" i="15"/>
  <c r="M6" i="15"/>
  <c r="F38" i="15"/>
  <c r="B9" i="76"/>
  <c r="B11" i="76"/>
  <c r="E12" i="76"/>
  <c r="B13" i="76"/>
  <c r="B12" i="76"/>
  <c r="D52" i="43" l="1"/>
  <c r="F30" i="69"/>
  <c r="F48" i="69" s="1"/>
  <c r="D68" i="9"/>
  <c r="F31" i="12"/>
  <c r="F28" i="15"/>
  <c r="F32" i="67"/>
  <c r="F60" i="67" s="1"/>
  <c r="F28" i="67"/>
  <c r="C40" i="69"/>
  <c r="C40" i="11"/>
  <c r="C21" i="68"/>
  <c r="G1" i="68"/>
  <c r="G1" i="67"/>
  <c r="G1" i="69"/>
  <c r="U19" i="33"/>
  <c r="AC27" i="33"/>
  <c r="AC23" i="37"/>
  <c r="AZ14" i="3"/>
  <c r="AZ318" i="3"/>
  <c r="AZ327" i="3"/>
  <c r="AB36" i="33"/>
  <c r="AZ346" i="3"/>
  <c r="AZ388" i="3"/>
  <c r="AZ334" i="3"/>
  <c r="AZ571" i="3"/>
  <c r="AZ579" i="3"/>
  <c r="G585" i="3"/>
  <c r="BL587" i="3"/>
  <c r="AZ587" i="3" s="1"/>
  <c r="BL586" i="3"/>
  <c r="AZ586" i="3" s="1"/>
  <c r="F9" i="34"/>
  <c r="AA9" i="34" s="1"/>
  <c r="H9" i="34"/>
  <c r="H12" i="35"/>
  <c r="J23" i="35"/>
  <c r="H23" i="35"/>
  <c r="H25" i="37"/>
  <c r="F25" i="37"/>
  <c r="H31" i="39"/>
  <c r="J31" i="39"/>
  <c r="AZ387" i="3"/>
  <c r="AZ362" i="3"/>
  <c r="AZ338" i="3"/>
  <c r="AZ390" i="3"/>
  <c r="AZ371" i="3"/>
  <c r="AZ351" i="3"/>
  <c r="AZ336" i="3"/>
  <c r="AZ305" i="3"/>
  <c r="AZ199" i="3"/>
  <c r="AZ360" i="3"/>
  <c r="AZ539" i="3"/>
  <c r="AZ529" i="3"/>
  <c r="AZ537" i="3"/>
  <c r="AZ518" i="3"/>
  <c r="AZ546" i="3"/>
  <c r="B101" i="43"/>
  <c r="B79" i="43"/>
  <c r="AC8" i="34"/>
  <c r="W8" i="34"/>
  <c r="AC8" i="40"/>
  <c r="W8" i="40"/>
  <c r="AZ535" i="3"/>
  <c r="AZ557" i="3"/>
  <c r="AZ513" i="3"/>
  <c r="AZ575" i="3"/>
  <c r="AZ548" i="3"/>
  <c r="AZ540" i="3"/>
  <c r="AZ502" i="3"/>
  <c r="BL585" i="3"/>
  <c r="AZ585" i="3" s="1"/>
  <c r="AB33" i="33"/>
  <c r="U33" i="33"/>
  <c r="AA38" i="40"/>
  <c r="AZ164" i="3"/>
  <c r="AZ394" i="3"/>
  <c r="AZ519" i="3"/>
  <c r="AZ531" i="3"/>
  <c r="AZ573" i="3"/>
  <c r="AZ583" i="3"/>
  <c r="AZ568" i="3"/>
  <c r="AZ576" i="3"/>
  <c r="AA14" i="34"/>
  <c r="AA35" i="34"/>
  <c r="S35" i="34"/>
  <c r="J12" i="34"/>
  <c r="F12" i="34"/>
  <c r="S12" i="34" s="1"/>
  <c r="J9" i="36"/>
  <c r="F33" i="36"/>
  <c r="H33" i="36"/>
  <c r="AC40" i="39"/>
  <c r="W40" i="39"/>
  <c r="J37" i="39"/>
  <c r="F37" i="39"/>
  <c r="BA551" i="3"/>
  <c r="AZ551" i="3" s="1"/>
  <c r="BA550" i="3"/>
  <c r="AZ550" i="3" s="1"/>
  <c r="BL548" i="3"/>
  <c r="G398" i="3"/>
  <c r="G399" i="3"/>
  <c r="BL400" i="3"/>
  <c r="AZ400" i="3" s="1"/>
  <c r="BA408" i="3"/>
  <c r="AZ408" i="3" s="1"/>
  <c r="BA409" i="3"/>
  <c r="AZ409" i="3" s="1"/>
  <c r="BL412" i="3"/>
  <c r="BL417" i="3"/>
  <c r="BL418" i="3"/>
  <c r="BL421" i="3"/>
  <c r="BL422" i="3"/>
  <c r="BL427" i="3"/>
  <c r="G429" i="3"/>
  <c r="BL432" i="3"/>
  <c r="BA434" i="3"/>
  <c r="BA439" i="3"/>
  <c r="AZ439" i="3" s="1"/>
  <c r="BA440" i="3"/>
  <c r="AZ440" i="3" s="1"/>
  <c r="BA442" i="3"/>
  <c r="BA449" i="3"/>
  <c r="BL457" i="3"/>
  <c r="BA465" i="3"/>
  <c r="AZ465" i="3" s="1"/>
  <c r="BA469" i="3"/>
  <c r="AZ469" i="3" s="1"/>
  <c r="BA471" i="3"/>
  <c r="AZ471" i="3" s="1"/>
  <c r="BA476" i="3"/>
  <c r="AZ476" i="3" s="1"/>
  <c r="G492" i="3"/>
  <c r="BL398" i="3"/>
  <c r="AZ406" i="3"/>
  <c r="BA417" i="3"/>
  <c r="BA432" i="3"/>
  <c r="AZ432" i="3" s="1"/>
  <c r="AZ443" i="3"/>
  <c r="AZ448" i="3"/>
  <c r="BL472" i="3"/>
  <c r="J23" i="36"/>
  <c r="H39" i="40"/>
  <c r="G551" i="3"/>
  <c r="BL550" i="3"/>
  <c r="G542" i="3"/>
  <c r="BL15" i="3"/>
  <c r="AZ15" i="3" s="1"/>
  <c r="BA398" i="3"/>
  <c r="BA399" i="3"/>
  <c r="AZ399" i="3" s="1"/>
  <c r="BL401" i="3"/>
  <c r="AZ401" i="3" s="1"/>
  <c r="BL404" i="3"/>
  <c r="BL405" i="3"/>
  <c r="G408" i="3"/>
  <c r="BL411" i="3"/>
  <c r="BL414" i="3"/>
  <c r="BL415" i="3"/>
  <c r="BL419" i="3"/>
  <c r="BA422" i="3"/>
  <c r="AZ422" i="3" s="1"/>
  <c r="BL424" i="3"/>
  <c r="AZ424" i="3" s="1"/>
  <c r="G426" i="3"/>
  <c r="G427" i="3"/>
  <c r="BA428" i="3"/>
  <c r="AZ428" i="3" s="1"/>
  <c r="BA429" i="3"/>
  <c r="AZ429" i="3" s="1"/>
  <c r="BA430" i="3"/>
  <c r="AZ430" i="3" s="1"/>
  <c r="BL433" i="3"/>
  <c r="G435" i="3"/>
  <c r="BL435" i="3"/>
  <c r="BL436" i="3"/>
  <c r="BA445" i="3"/>
  <c r="BA447" i="3"/>
  <c r="AZ447" i="3" s="1"/>
  <c r="BA451" i="3"/>
  <c r="AZ451" i="3" s="1"/>
  <c r="BA453" i="3"/>
  <c r="AZ453" i="3" s="1"/>
  <c r="BA455" i="3"/>
  <c r="AZ455" i="3" s="1"/>
  <c r="BL458" i="3"/>
  <c r="BL459" i="3"/>
  <c r="G461" i="3"/>
  <c r="BA467" i="3"/>
  <c r="BA468" i="3"/>
  <c r="G477" i="3"/>
  <c r="BA478" i="3"/>
  <c r="G490" i="3"/>
  <c r="BA403" i="3"/>
  <c r="AZ403" i="3" s="1"/>
  <c r="BA404" i="3"/>
  <c r="BA405" i="3"/>
  <c r="BA411" i="3"/>
  <c r="AZ411" i="3" s="1"/>
  <c r="AZ419" i="3"/>
  <c r="BL425" i="3"/>
  <c r="BL426" i="3"/>
  <c r="AZ458" i="3"/>
  <c r="G481" i="3"/>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23" i="3"/>
  <c r="BL407" i="3"/>
  <c r="AZ407" i="3" s="1"/>
  <c r="BA412" i="3"/>
  <c r="BA414" i="3"/>
  <c r="BA415" i="3"/>
  <c r="AZ415" i="3" s="1"/>
  <c r="BA416" i="3"/>
  <c r="AZ416" i="3" s="1"/>
  <c r="BA418" i="3"/>
  <c r="AZ418" i="3" s="1"/>
  <c r="BA421" i="3"/>
  <c r="AZ421" i="3" s="1"/>
  <c r="BA423" i="3"/>
  <c r="AZ423" i="3" s="1"/>
  <c r="BA425" i="3"/>
  <c r="AZ425" i="3" s="1"/>
  <c r="BA426" i="3"/>
  <c r="BA427" i="3"/>
  <c r="BA433" i="3"/>
  <c r="AZ433" i="3" s="1"/>
  <c r="BA435" i="3"/>
  <c r="BL437" i="3"/>
  <c r="AZ437" i="3" s="1"/>
  <c r="G439" i="3"/>
  <c r="G440" i="3"/>
  <c r="BL441" i="3"/>
  <c r="BL442" i="3"/>
  <c r="BL444" i="3"/>
  <c r="AZ444" i="3" s="1"/>
  <c r="G446" i="3"/>
  <c r="G447" i="3"/>
  <c r="BL448" i="3"/>
  <c r="G450" i="3"/>
  <c r="G451" i="3"/>
  <c r="BA454" i="3"/>
  <c r="AZ454" i="3" s="1"/>
  <c r="BA457" i="3"/>
  <c r="BA459" i="3"/>
  <c r="BA460" i="3"/>
  <c r="AZ460" i="3" s="1"/>
  <c r="BA461" i="3"/>
  <c r="AZ461" i="3" s="1"/>
  <c r="BL464" i="3"/>
  <c r="BL466" i="3"/>
  <c r="AZ466" i="3" s="1"/>
  <c r="G468" i="3"/>
  <c r="G469" i="3"/>
  <c r="BL476" i="3"/>
  <c r="BL477" i="3"/>
  <c r="AZ477" i="3" s="1"/>
  <c r="BL478" i="3"/>
  <c r="AZ478" i="3" s="1"/>
  <c r="G479" i="3"/>
  <c r="G480" i="3"/>
  <c r="BL480" i="3"/>
  <c r="AZ480" i="3" s="1"/>
  <c r="G482" i="3"/>
  <c r="BA483" i="3"/>
  <c r="BL483" i="3"/>
  <c r="BA486" i="3"/>
  <c r="BL489" i="3"/>
  <c r="BL491" i="3"/>
  <c r="AZ491" i="3" s="1"/>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AZ134" i="3" s="1"/>
  <c r="BL137" i="3"/>
  <c r="G143" i="3"/>
  <c r="BA146" i="3"/>
  <c r="AZ146" i="3" s="1"/>
  <c r="BA150" i="3"/>
  <c r="AZ150" i="3" s="1"/>
  <c r="BL166" i="3"/>
  <c r="G167" i="3"/>
  <c r="G172" i="3"/>
  <c r="G190" i="3"/>
  <c r="G18" i="3"/>
  <c r="BL434" i="3"/>
  <c r="G436" i="3"/>
  <c r="BL438" i="3"/>
  <c r="BL439" i="3"/>
  <c r="BA441" i="3"/>
  <c r="AZ441" i="3" s="1"/>
  <c r="BL445" i="3"/>
  <c r="AZ445" i="3" s="1"/>
  <c r="BL446" i="3"/>
  <c r="BL449" i="3"/>
  <c r="BL450" i="3"/>
  <c r="BL452" i="3"/>
  <c r="AZ452" i="3" s="1"/>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L161" i="3"/>
  <c r="G162" i="3"/>
  <c r="BL162" i="3"/>
  <c r="AZ162" i="3" s="1"/>
  <c r="BL165" i="3"/>
  <c r="G166" i="3"/>
  <c r="BL177" i="3"/>
  <c r="G179" i="3"/>
  <c r="AZ270" i="3"/>
  <c r="AZ284" i="3"/>
  <c r="AZ125" i="3"/>
  <c r="AZ137" i="3"/>
  <c r="AZ177" i="3"/>
  <c r="G206"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AZ54" i="3" s="1"/>
  <c r="BL57" i="3"/>
  <c r="G59" i="3"/>
  <c r="BL62" i="3"/>
  <c r="AZ62" i="3" s="1"/>
  <c r="BL63" i="3"/>
  <c r="AZ63" i="3" s="1"/>
  <c r="BL65" i="3"/>
  <c r="AZ65" i="3" s="1"/>
  <c r="BL66" i="3"/>
  <c r="AZ66" i="3" s="1"/>
  <c r="BL67" i="3"/>
  <c r="AZ67" i="3" s="1"/>
  <c r="BL70" i="3"/>
  <c r="AZ70" i="3" s="1"/>
  <c r="BL71" i="3"/>
  <c r="AZ71" i="3" s="1"/>
  <c r="BL72" i="3"/>
  <c r="AZ72" i="3" s="1"/>
  <c r="BL75" i="3"/>
  <c r="C44" i="71"/>
  <c r="D43" i="71"/>
  <c r="V24" i="71"/>
  <c r="E23" i="71"/>
  <c r="E22" i="71" s="1"/>
  <c r="E21" i="71" s="1"/>
  <c r="E20" i="71" s="1"/>
  <c r="E19" i="71" s="1"/>
  <c r="E18" i="71" s="1"/>
  <c r="E17" i="71" s="1"/>
  <c r="E16" i="71" s="1"/>
  <c r="BA153" i="3"/>
  <c r="AZ153" i="3" s="1"/>
  <c r="BL155" i="3"/>
  <c r="AZ155" i="3" s="1"/>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AZ18" i="3" s="1"/>
  <c r="G19" i="3"/>
  <c r="BL19" i="3"/>
  <c r="BA20" i="3"/>
  <c r="AZ20" i="3" s="1"/>
  <c r="BL25" i="3"/>
  <c r="BL27" i="3"/>
  <c r="AZ27" i="3" s="1"/>
  <c r="BA28" i="3"/>
  <c r="AZ28" i="3" s="1"/>
  <c r="BA31" i="3"/>
  <c r="BA32" i="3"/>
  <c r="G38" i="3"/>
  <c r="BA38" i="3"/>
  <c r="BA41" i="3"/>
  <c r="BA42" i="3"/>
  <c r="G47" i="3"/>
  <c r="BL48" i="3"/>
  <c r="BL54" i="3"/>
  <c r="BL55" i="3"/>
  <c r="AZ55" i="3" s="1"/>
  <c r="G58" i="3"/>
  <c r="BA59" i="3"/>
  <c r="BL61" i="3"/>
  <c r="G64" i="3"/>
  <c r="BA64" i="3"/>
  <c r="AZ64" i="3" s="1"/>
  <c r="G67" i="3"/>
  <c r="BL68" i="3"/>
  <c r="BA69" i="3"/>
  <c r="AZ69" i="3" s="1"/>
  <c r="G72" i="3"/>
  <c r="BL73" i="3"/>
  <c r="BA78" i="3"/>
  <c r="BA80" i="3"/>
  <c r="G84" i="3"/>
  <c r="BL84" i="3"/>
  <c r="BA89" i="3"/>
  <c r="BL92" i="3"/>
  <c r="AZ92" i="3" s="1"/>
  <c r="BL94" i="3"/>
  <c r="AZ94" i="3" s="1"/>
  <c r="BL99" i="3"/>
  <c r="BA102" i="3"/>
  <c r="C47" i="71"/>
  <c r="D47" i="71" s="1"/>
  <c r="D46" i="71"/>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AZ19" i="3" s="1"/>
  <c r="G22" i="3"/>
  <c r="G24" i="3"/>
  <c r="G25" i="3"/>
  <c r="G27" i="3"/>
  <c r="BA27" i="3"/>
  <c r="G30" i="3"/>
  <c r="BL30" i="3"/>
  <c r="BL31" i="3"/>
  <c r="G35" i="3"/>
  <c r="G36" i="3"/>
  <c r="G37" i="3"/>
  <c r="G40" i="3"/>
  <c r="BL40" i="3"/>
  <c r="AZ40" i="3" s="1"/>
  <c r="BL41" i="3"/>
  <c r="G45" i="3"/>
  <c r="BL45" i="3"/>
  <c r="AZ45" i="3" s="1"/>
  <c r="BA48" i="3"/>
  <c r="BA49" i="3"/>
  <c r="AZ49" i="3" s="1"/>
  <c r="BA51" i="3"/>
  <c r="AZ51" i="3" s="1"/>
  <c r="G54" i="3"/>
  <c r="G55" i="3"/>
  <c r="BL56" i="3"/>
  <c r="BA58" i="3"/>
  <c r="AZ58" i="3" s="1"/>
  <c r="BL59" i="3"/>
  <c r="BL60" i="3"/>
  <c r="AZ60" i="3" s="1"/>
  <c r="BA61" i="3"/>
  <c r="AZ61" i="3" s="1"/>
  <c r="BA68" i="3"/>
  <c r="BA73" i="3"/>
  <c r="BA79" i="3"/>
  <c r="AZ79" i="3" s="1"/>
  <c r="G82" i="3"/>
  <c r="G83" i="3"/>
  <c r="BA84" i="3"/>
  <c r="AZ84" i="3" s="1"/>
  <c r="BL88" i="3"/>
  <c r="AZ88" i="3" s="1"/>
  <c r="G90" i="3"/>
  <c r="BL90" i="3"/>
  <c r="G98" i="3"/>
  <c r="G99" i="3"/>
  <c r="BA105" i="3"/>
  <c r="AZ105" i="3" s="1"/>
  <c r="D31" i="71"/>
  <c r="C32" i="71"/>
  <c r="C52" i="71"/>
  <c r="D51" i="71"/>
  <c r="C55" i="71"/>
  <c r="D54" i="71"/>
  <c r="C60" i="71"/>
  <c r="D59" i="71"/>
  <c r="N67" i="71"/>
  <c r="B66" i="71"/>
  <c r="F66" i="71"/>
  <c r="Q66" i="71" s="1"/>
  <c r="Q67" i="71"/>
  <c r="AZ57" i="3"/>
  <c r="BA74" i="3"/>
  <c r="AZ74" i="3" s="1"/>
  <c r="BA75" i="3"/>
  <c r="AZ75" i="3" s="1"/>
  <c r="G81" i="3"/>
  <c r="G85" i="3"/>
  <c r="BL85" i="3"/>
  <c r="BA86" i="3"/>
  <c r="AZ86" i="3" s="1"/>
  <c r="BA87" i="3"/>
  <c r="AZ87" i="3" s="1"/>
  <c r="BA91" i="3"/>
  <c r="AZ91" i="3" s="1"/>
  <c r="G96" i="3"/>
  <c r="BL97" i="3"/>
  <c r="AZ97" i="3" s="1"/>
  <c r="BL101" i="3"/>
  <c r="BL102" i="3"/>
  <c r="G104" i="3"/>
  <c r="G105" i="3"/>
  <c r="BL106" i="3"/>
  <c r="AZ106" i="3" s="1"/>
  <c r="BA108" i="3"/>
  <c r="BA110" i="3"/>
  <c r="AZ110" i="3" s="1"/>
  <c r="F3" i="35"/>
  <c r="S21" i="33"/>
  <c r="S21" i="37"/>
  <c r="W29" i="39"/>
  <c r="S25" i="40"/>
  <c r="B77" i="43"/>
  <c r="AA18" i="35"/>
  <c r="O67" i="71"/>
  <c r="AA28"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A104" i="3"/>
  <c r="BA106" i="3"/>
  <c r="BL108" i="3"/>
  <c r="BL111" i="3"/>
  <c r="AZ111" i="3" s="1"/>
  <c r="U29" i="39"/>
  <c r="P66" i="71"/>
  <c r="C66" i="71"/>
  <c r="AA27" i="71"/>
  <c r="S28" i="71"/>
  <c r="C83" i="71"/>
  <c r="C79" i="71"/>
  <c r="C71" i="71"/>
  <c r="C39" i="71"/>
  <c r="Y28" i="71"/>
  <c r="Z28" i="71" s="1"/>
  <c r="C28" i="71"/>
  <c r="Y37" i="71"/>
  <c r="Z37" i="71" s="1"/>
  <c r="X35" i="71"/>
  <c r="Y30" i="71"/>
  <c r="Z30" i="71" s="1"/>
  <c r="X28" i="71"/>
  <c r="X32" i="71"/>
  <c r="F40" i="71"/>
  <c r="V40" i="71" s="1"/>
  <c r="AB38" i="71"/>
  <c r="AA39" i="71"/>
  <c r="F75" i="71"/>
  <c r="F74" i="71" s="1"/>
  <c r="G101" i="3"/>
  <c r="BA101" i="3"/>
  <c r="G108" i="3"/>
  <c r="G109" i="3"/>
  <c r="BL112" i="3"/>
  <c r="B88" i="43"/>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9" i="3"/>
  <c r="AZ456" i="3"/>
  <c r="AZ468" i="3"/>
  <c r="AZ470" i="3"/>
  <c r="W35" i="39"/>
  <c r="F27" i="34"/>
  <c r="C21" i="39"/>
  <c r="U9" i="36"/>
  <c r="U14" i="37"/>
  <c r="H12" i="21"/>
  <c r="G526" i="3"/>
  <c r="AZ420"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31" i="3"/>
  <c r="AZ293"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48" i="3"/>
  <c r="AZ68" i="3"/>
  <c r="AZ73" i="3"/>
  <c r="G200" i="3"/>
  <c r="G207" i="3"/>
  <c r="BA23" i="3"/>
  <c r="BA24" i="3"/>
  <c r="AZ24" i="3" s="1"/>
  <c r="BL26" i="3"/>
  <c r="AZ26" i="3" s="1"/>
  <c r="BL32" i="3"/>
  <c r="BA34" i="3"/>
  <c r="AZ34" i="3" s="1"/>
  <c r="BA35" i="3"/>
  <c r="AZ35" i="3" s="1"/>
  <c r="BL37" i="3"/>
  <c r="AZ37" i="3" s="1"/>
  <c r="BL42" i="3"/>
  <c r="BA44" i="3"/>
  <c r="AZ44" i="3" s="1"/>
  <c r="AZ46" i="3"/>
  <c r="AZ56" i="3"/>
  <c r="BA206" i="3"/>
  <c r="AZ206" i="3" s="1"/>
  <c r="BL22" i="3"/>
  <c r="AZ22" i="3" s="1"/>
  <c r="BL33" i="3"/>
  <c r="AZ33" i="3" s="1"/>
  <c r="BL43" i="3"/>
  <c r="AZ43" i="3" s="1"/>
  <c r="BL46"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8"/>
  <c r="F27" i="69"/>
  <c r="D9" i="69"/>
  <c r="C36" i="69"/>
  <c r="F16" i="67"/>
  <c r="F40" i="67"/>
  <c r="M28" i="67"/>
  <c r="F8" i="67"/>
  <c r="L48" i="67"/>
  <c r="F37" i="67"/>
  <c r="L47" i="67"/>
  <c r="M9" i="67"/>
  <c r="F6" i="67"/>
  <c r="M6" i="67"/>
  <c r="F13" i="67"/>
  <c r="F26" i="67"/>
  <c r="J15" i="67"/>
  <c r="M26" i="67"/>
  <c r="M29" i="67"/>
  <c r="F9" i="67"/>
  <c r="F42" i="67"/>
  <c r="M8" i="67"/>
  <c r="F7" i="67"/>
  <c r="M23" i="67"/>
  <c r="C76" i="67"/>
  <c r="F36" i="67"/>
  <c r="M24" i="67"/>
  <c r="F38" i="67"/>
  <c r="M22" i="67"/>
  <c r="F43" i="67"/>
  <c r="C16" i="15"/>
  <c r="D4" i="73"/>
  <c r="D7" i="73"/>
  <c r="D5" i="73"/>
  <c r="D3" i="73"/>
  <c r="C16" i="67"/>
  <c r="F26" i="43" l="1"/>
  <c r="D26" i="43" s="1"/>
  <c r="C25" i="43" s="1"/>
  <c r="F71" i="67"/>
  <c r="F66" i="67"/>
  <c r="F64" i="67"/>
  <c r="Q71" i="67"/>
  <c r="F50" i="67"/>
  <c r="M7" i="67"/>
  <c r="J6" i="67" s="1"/>
  <c r="J18" i="67" s="1"/>
  <c r="C27" i="67"/>
  <c r="C6" i="67"/>
  <c r="C32" i="67" s="1"/>
  <c r="N59" i="67"/>
  <c r="L59" i="67"/>
  <c r="Q74" i="67" s="1"/>
  <c r="L58" i="67"/>
  <c r="Q60" i="67" s="1"/>
  <c r="M59" i="67"/>
  <c r="F65" i="67"/>
  <c r="J53" i="67"/>
  <c r="Q52" i="67" s="1"/>
  <c r="J57" i="67"/>
  <c r="J55" i="67" s="1"/>
  <c r="J58" i="67" s="1"/>
  <c r="Q50" i="67" s="1"/>
  <c r="L56" i="67"/>
  <c r="I54" i="67"/>
  <c r="F51" i="67"/>
  <c r="C49" i="67" s="1"/>
  <c r="F68" i="67"/>
  <c r="J26" i="43"/>
  <c r="K16" i="1"/>
  <c r="P6" i="1"/>
  <c r="C13" i="12" s="1"/>
  <c r="E59" i="40"/>
  <c r="D17" i="53"/>
  <c r="B36" i="72" s="1"/>
  <c r="J7" i="36"/>
  <c r="D44" i="71"/>
  <c r="T44" i="71"/>
  <c r="U39" i="40"/>
  <c r="AB39" i="40"/>
  <c r="AC37" i="39"/>
  <c r="W37" i="39"/>
  <c r="AA33" i="36"/>
  <c r="S33" i="36"/>
  <c r="AZ251" i="3"/>
  <c r="AZ247" i="3"/>
  <c r="AZ459" i="3"/>
  <c r="AZ427" i="3"/>
  <c r="AZ414" i="3"/>
  <c r="AZ263" i="3"/>
  <c r="AZ223" i="3"/>
  <c r="AC23" i="36"/>
  <c r="W23" i="36"/>
  <c r="AC9" i="36"/>
  <c r="W9" i="36"/>
  <c r="AB31" i="39"/>
  <c r="U31" i="39"/>
  <c r="AC23" i="35"/>
  <c r="W23" i="35"/>
  <c r="C70" i="71"/>
  <c r="D70" i="71" s="1"/>
  <c r="D71" i="71"/>
  <c r="D20" i="53"/>
  <c r="B40" i="72" s="1"/>
  <c r="AZ174" i="3"/>
  <c r="AZ141" i="3"/>
  <c r="AZ299" i="3"/>
  <c r="D60" i="71"/>
  <c r="T60" i="71"/>
  <c r="T52" i="71"/>
  <c r="D52" i="71"/>
  <c r="E26" i="43"/>
  <c r="H26" i="43"/>
  <c r="G30" i="6"/>
  <c r="G31" i="6" s="1"/>
  <c r="S9" i="34"/>
  <c r="Q65" i="71"/>
  <c r="AZ80" i="3"/>
  <c r="AZ23" i="3"/>
  <c r="AZ285" i="3"/>
  <c r="V20" i="71"/>
  <c r="AZ101" i="3"/>
  <c r="D83" i="71"/>
  <c r="C82" i="71"/>
  <c r="D82" i="71" s="1"/>
  <c r="C36" i="71"/>
  <c r="D35" i="71"/>
  <c r="N65" i="71"/>
  <c r="N66" i="71"/>
  <c r="T32" i="71"/>
  <c r="D32" i="71"/>
  <c r="AZ102" i="3"/>
  <c r="AZ41" i="3"/>
  <c r="AZ31" i="3"/>
  <c r="AZ229" i="3"/>
  <c r="AZ218" i="3"/>
  <c r="AZ483" i="3"/>
  <c r="AZ457" i="3"/>
  <c r="AZ412" i="3"/>
  <c r="AZ271" i="3"/>
  <c r="AZ243" i="3"/>
  <c r="AZ368" i="3"/>
  <c r="AZ353" i="3"/>
  <c r="AZ405" i="3"/>
  <c r="AA25" i="37"/>
  <c r="S25" i="37"/>
  <c r="U12" i="35"/>
  <c r="AB12" i="35"/>
  <c r="AZ126" i="3"/>
  <c r="W31" i="39"/>
  <c r="AC31" i="39"/>
  <c r="U23" i="35"/>
  <c r="AB23" i="35"/>
  <c r="T28" i="71"/>
  <c r="D28" i="71"/>
  <c r="U28" i="71" s="1"/>
  <c r="C27" i="71"/>
  <c r="D79" i="71"/>
  <c r="C78" i="71"/>
  <c r="D78" i="71" s="1"/>
  <c r="O65" i="71"/>
  <c r="D66" i="71"/>
  <c r="O66" i="71"/>
  <c r="G5" i="3"/>
  <c r="B3" i="3" s="1"/>
  <c r="E212" i="3" s="1"/>
  <c r="AZ42" i="3"/>
  <c r="AZ32" i="3"/>
  <c r="AZ36" i="3"/>
  <c r="AZ281" i="3"/>
  <c r="AZ482" i="3"/>
  <c r="AZ317" i="3"/>
  <c r="C40" i="71"/>
  <c r="D39" i="71"/>
  <c r="AZ108" i="3"/>
  <c r="C56" i="71"/>
  <c r="D55" i="71"/>
  <c r="AZ59" i="3"/>
  <c r="AZ38" i="3"/>
  <c r="AZ435" i="3"/>
  <c r="AZ238" i="3"/>
  <c r="AZ404" i="3"/>
  <c r="AZ398" i="3"/>
  <c r="AZ417" i="3"/>
  <c r="AA37" i="39"/>
  <c r="S37" i="39"/>
  <c r="AB33" i="36"/>
  <c r="U33" i="36"/>
  <c r="W12" i="34"/>
  <c r="AC12" i="34"/>
  <c r="U25" i="37"/>
  <c r="AB25" i="37"/>
  <c r="AB9" i="34"/>
  <c r="U9" i="34"/>
  <c r="G16" i="1"/>
  <c r="F10" i="39" s="1"/>
  <c r="S10" i="39" s="1"/>
  <c r="J7" i="37"/>
  <c r="K1" i="73"/>
  <c r="E510" i="3"/>
  <c r="E539" i="3"/>
  <c r="E575" i="3"/>
  <c r="E502" i="3"/>
  <c r="E449" i="3"/>
  <c r="I3" i="6"/>
  <c r="E491" i="3"/>
  <c r="E417" i="3"/>
  <c r="E192" i="3"/>
  <c r="E241" i="3"/>
  <c r="E76" i="3"/>
  <c r="E59" i="3"/>
  <c r="E64" i="3"/>
  <c r="E103" i="3"/>
  <c r="E371" i="3"/>
  <c r="E23" i="3"/>
  <c r="E184" i="3"/>
  <c r="E233" i="3"/>
  <c r="E264" i="3"/>
  <c r="E283" i="3"/>
  <c r="E198" i="3"/>
  <c r="E391" i="3"/>
  <c r="E75" i="3"/>
  <c r="E18" i="3"/>
  <c r="E129" i="3"/>
  <c r="E522" i="3"/>
  <c r="E86" i="3"/>
  <c r="E34" i="3"/>
  <c r="E102" i="3"/>
  <c r="E287" i="3"/>
  <c r="E308" i="3"/>
  <c r="E140" i="3"/>
  <c r="E197" i="3"/>
  <c r="E173" i="3"/>
  <c r="T6" i="3"/>
  <c r="E405" i="3"/>
  <c r="E469" i="3"/>
  <c r="E408" i="3"/>
  <c r="E360" i="3"/>
  <c r="E556" i="3"/>
  <c r="E452" i="3"/>
  <c r="E470" i="3"/>
  <c r="E420" i="3"/>
  <c r="E41" i="3"/>
  <c r="E115" i="3"/>
  <c r="E243" i="3"/>
  <c r="E428"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Q61" i="67" l="1"/>
  <c r="F1" i="67"/>
  <c r="J5" i="67"/>
  <c r="J24" i="67" s="1"/>
  <c r="J10" i="39"/>
  <c r="W10" i="39" s="1"/>
  <c r="Q73" i="67"/>
  <c r="H6" i="3"/>
  <c r="E494" i="3"/>
  <c r="E63" i="3"/>
  <c r="E67" i="3"/>
  <c r="E300" i="3"/>
  <c r="E467" i="3"/>
  <c r="E349" i="3"/>
  <c r="E95" i="3"/>
  <c r="E435" i="3"/>
  <c r="E541" i="3"/>
  <c r="E286" i="3"/>
  <c r="E473" i="3"/>
  <c r="L6" i="3"/>
  <c r="E276" i="3"/>
  <c r="E108" i="3"/>
  <c r="E401" i="3"/>
  <c r="AH6" i="3"/>
  <c r="E422" i="3"/>
  <c r="E543" i="3"/>
  <c r="E105" i="3"/>
  <c r="E16" i="3"/>
  <c r="E158" i="3"/>
  <c r="E49" i="3"/>
  <c r="E220" i="3"/>
  <c r="E356" i="3"/>
  <c r="E104" i="3"/>
  <c r="E497" i="3"/>
  <c r="E512" i="3"/>
  <c r="E534" i="3"/>
  <c r="E22" i="3"/>
  <c r="AF6" i="3"/>
  <c r="AC6" i="3" s="1"/>
  <c r="E174" i="3"/>
  <c r="AL6" i="3"/>
  <c r="E21" i="3"/>
  <c r="E381" i="3"/>
  <c r="E84" i="3"/>
  <c r="E267" i="3"/>
  <c r="E409" i="3"/>
  <c r="E363" i="3"/>
  <c r="E37" i="3"/>
  <c r="AP6" i="3"/>
  <c r="E442" i="3"/>
  <c r="E199" i="3"/>
  <c r="AA10" i="39"/>
  <c r="F10" i="40"/>
  <c r="S10" i="40" s="1"/>
  <c r="H10" i="39"/>
  <c r="U10" i="39" s="1"/>
  <c r="H10" i="40"/>
  <c r="AB10" i="40" s="1"/>
  <c r="J10" i="40"/>
  <c r="AC10" i="40" s="1"/>
  <c r="E3" i="6"/>
  <c r="E251" i="3"/>
  <c r="E235" i="3"/>
  <c r="E482" i="3"/>
  <c r="E332" i="3"/>
  <c r="E309" i="3"/>
  <c r="E68" i="3"/>
  <c r="E144" i="3"/>
  <c r="E310" i="3"/>
  <c r="E160" i="3"/>
  <c r="E425" i="3"/>
  <c r="E389" i="3"/>
  <c r="E258" i="3"/>
  <c r="E56" i="3"/>
  <c r="E554" i="3"/>
  <c r="E430" i="3"/>
  <c r="R6" i="3"/>
  <c r="E536" i="3"/>
  <c r="D56" i="71"/>
  <c r="T56" i="71"/>
  <c r="C26" i="71"/>
  <c r="D26" i="71" s="1"/>
  <c r="D27" i="71"/>
  <c r="R36" i="36"/>
  <c r="D36" i="71"/>
  <c r="T36" i="71"/>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F41" i="67" s="1"/>
  <c r="M27" i="15"/>
  <c r="F41" i="15"/>
  <c r="M27" i="67"/>
  <c r="V3" i="43" l="1"/>
  <c r="C6" i="69"/>
  <c r="C7" i="69" s="1"/>
  <c r="F69" i="67"/>
  <c r="F25" i="12"/>
  <c r="W10" i="40"/>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34" i="69"/>
  <c r="D10" i="69"/>
  <c r="C14" i="67"/>
  <c r="C17" i="67"/>
  <c r="C17" i="15"/>
  <c r="C23" i="68" l="1"/>
  <c r="C44" i="68"/>
  <c r="D41" i="68" s="1"/>
  <c r="C26" i="68"/>
  <c r="D22" i="68" s="1"/>
  <c r="C44" i="11"/>
  <c r="D41" i="11" s="1"/>
  <c r="H25" i="6"/>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4"/>
  <c r="D2" i="37"/>
  <c r="D2" i="35"/>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0" i="1"/>
  <c r="AO12" i="1"/>
  <c r="AO8" i="1"/>
  <c r="AO6" i="1"/>
  <c r="AO9" i="1"/>
  <c r="AO11"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I4" i="52" l="1"/>
  <c r="H118" i="9"/>
  <c r="H102" i="9"/>
  <c r="D7" i="53" s="1"/>
  <c r="B21" i="72" s="1"/>
  <c r="F118" i="9"/>
  <c r="E118" i="9"/>
  <c r="C104" i="9" l="1"/>
  <c r="D14" i="74"/>
  <c r="G14" i="74" s="1"/>
  <c r="B6" i="74" s="1"/>
  <c r="D6" i="74" s="1"/>
  <c r="H119" i="9"/>
  <c r="H5" i="52" s="1"/>
  <c r="H101" i="9"/>
  <c r="D5" i="53" s="1"/>
  <c r="H4" i="52"/>
  <c r="E4" i="52"/>
  <c r="B48" i="72" s="1"/>
  <c r="D118" i="9"/>
  <c r="F119" i="9"/>
  <c r="F5" i="52" s="1"/>
  <c r="B53" i="72" s="1"/>
  <c r="F4" i="52"/>
  <c r="B51" i="72" s="1"/>
  <c r="H107" i="9" l="1"/>
  <c r="D45" i="9"/>
  <c r="M48" i="9"/>
  <c r="E14" i="74"/>
  <c r="F14" i="74"/>
  <c r="B5" i="74"/>
  <c r="D119" i="9"/>
  <c r="D5" i="52" s="1"/>
  <c r="B49" i="72" s="1"/>
  <c r="D4" i="52"/>
  <c r="B47" i="72" s="1"/>
  <c r="D13" i="53"/>
  <c r="M49" i="9"/>
  <c r="H108" i="9"/>
  <c r="D122" i="9"/>
  <c r="D6" i="53"/>
  <c r="B22" i="72" s="1"/>
  <c r="B20" i="72"/>
  <c r="C78" i="9"/>
  <c r="C73" i="9" s="1"/>
  <c r="C64" i="9"/>
  <c r="C63" i="9" s="1"/>
  <c r="C67" i="9" s="1"/>
  <c r="D53" i="9"/>
  <c r="C93" i="9"/>
  <c r="C86" i="9" s="1"/>
  <c r="D52" i="9"/>
  <c r="C85" i="9"/>
  <c r="C72" i="9"/>
  <c r="D55" i="9"/>
  <c r="M53" i="9" s="1"/>
  <c r="D5" i="74" l="1"/>
  <c r="C5" i="74"/>
  <c r="C79" i="9"/>
  <c r="C80" i="9" s="1"/>
  <c r="E80" i="9" s="1"/>
  <c r="E81" i="9" s="1"/>
  <c r="L65" i="9"/>
  <c r="M65" i="9" s="1"/>
  <c r="L63" i="9"/>
  <c r="M63" i="9" s="1"/>
  <c r="L64" i="9"/>
  <c r="M64" i="9" s="1"/>
  <c r="L68" i="9"/>
  <c r="M68" i="9" s="1"/>
  <c r="L66" i="9"/>
  <c r="M66" i="9" s="1"/>
  <c r="L67" i="9"/>
  <c r="M67" i="9" s="1"/>
  <c r="D14" i="53"/>
  <c r="B32" i="72" s="1"/>
  <c r="B30" i="72"/>
  <c r="C95" i="9"/>
  <c r="D59" i="9"/>
  <c r="M55" i="9" s="1"/>
  <c r="C68" i="9"/>
  <c r="D54" i="9" s="1"/>
  <c r="D123" i="9"/>
  <c r="D9" i="52" s="1"/>
  <c r="D8" i="52"/>
  <c r="C6" i="74"/>
  <c r="D15" i="53"/>
  <c r="B31" i="72" s="1"/>
  <c r="C81" i="9" l="1"/>
  <c r="C96" i="9"/>
  <c r="E96" i="9" s="1"/>
  <c r="E97" i="9" s="1"/>
  <c r="M69" i="9"/>
  <c r="N69" i="9" s="1"/>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<sst xmlns="http://schemas.openxmlformats.org/spreadsheetml/2006/main" count="7904" uniqueCount="3452">
  <si>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</si>
  <si>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</si>
  <si>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</si>
  <si>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</si>
  <si>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</si>
  <si>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</si>
  <si>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</si>
  <si>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</si>
  <si>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</si>
  <si>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</si>
  <si>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</si>
  <si>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</si>
  <si>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</si>
  <si>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</si>
  <si>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</si>
  <si>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</si>
  <si>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</si>
  <si>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</si>
  <si>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</si>
  <si>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</si>
  <si>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</si>
  <si>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</si>
  <si>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</si>
  <si>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</si>
  <si>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</si>
  <si>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</si>
  <si>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</si>
  <si>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</si>
  <si>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</si>
  <si>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</si>
  <si>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</si>
  <si>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</si>
  <si>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</si>
  <si>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</si>
  <si>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</si>
  <si>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</si>
  <si>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</si>
  <si>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</si>
  <si>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</si>
  <si>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</si>
  <si>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</si>
  <si>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</si>
  <si>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</si>
  <si>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</si>
  <si>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</si>
  <si>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</si>
  <si>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</si>
  <si>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</si>
  <si>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</si>
  <si>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</si>
  <si>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</si>
  <si>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</si>
  <si>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</si>
  <si>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</si>
  <si>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</si>
  <si>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</si>
  <si>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</si>
  <si>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</si>
  <si>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</si>
  <si>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</si>
  <si>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</si>
  <si>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</si>
  <si>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</si>
  <si>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</si>
  <si>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</si>
  <si>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</si>
  <si>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</si>
  <si>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</si>
  <si>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</si>
  <si>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</si>
  <si>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</si>
  <si>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</si>
  <si>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</si>
  <si>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</si>
  <si>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</si>
  <si>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</si>
  <si>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</si>
  <si>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</si>
  <si>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</si>
  <si>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</si>
  <si>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</si>
  <si>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</si>
  <si>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</si>
  <si>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</si>
  <si>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</si>
  <si>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</si>
  <si>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</si>
  <si>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</si>
  <si>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</si>
  <si>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</si>
  <si>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</si>
  <si>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</si>
  <si>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</si>
  <si>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</si>
  <si>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</si>
  <si>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</si>
  <si>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</si>
  <si>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</si>
  <si>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</si>
  <si>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</si>
  <si>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</si>
  <si>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</si>
  <si>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</si>
  <si>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</si>
  <si>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</si>
  <si>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</si>
  <si>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</si>
  <si>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</si>
  <si>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</si>
  <si>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</si>
  <si>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</si>
  <si>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</si>
  <si>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</si>
  <si>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</si>
  <si>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</si>
  <si>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</si>
  <si>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</si>
  <si>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</si>
  <si>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</si>
  <si>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</si>
  <si>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</si>
  <si>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</si>
  <si>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</si>
  <si>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</si>
  <si>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</si>
  <si>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</si>
  <si>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</si>
  <si>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</si>
  <si>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</si>
  <si>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</si>
  <si>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</si>
  <si>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</si>
  <si>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</si>
  <si>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</si>
  <si>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</si>
  <si>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</si>
  <si>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</si>
  <si>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</si>
  <si>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</si>
  <si>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</si>
  <si>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</si>
  <si>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</si>
  <si>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</si>
  <si>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</si>
  <si>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</si>
  <si>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</si>
  <si>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</si>
  <si>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</si>
  <si>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</si>
  <si>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</si>
  <si>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</si>
  <si>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</si>
  <si>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</si>
  <si>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</si>
  <si>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</si>
  <si>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</si>
  <si>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</si>
  <si>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</si>
  <si>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</si>
  <si>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</si>
  <si>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</si>
  <si>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</si>
  <si>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</si>
  <si>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</si>
  <si>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</si>
  <si>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</si>
  <si>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</si>
  <si>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</si>
  <si>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</si>
  <si>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</si>
  <si>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</si>
  <si>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</si>
  <si>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</si>
  <si>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</si>
  <si>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</si>
  <si>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</si>
  <si>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</si>
  <si>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</si>
  <si>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</si>
  <si>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</si>
  <si>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</si>
  <si>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</si>
  <si>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</si>
  <si>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</si>
  <si>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</si>
  <si>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</si>
  <si>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</si>
  <si>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</si>
  <si>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</si>
  <si>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</si>
  <si>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</si>
  <si>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</si>
  <si>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</si>
  <si>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</si>
  <si>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</si>
  <si>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</si>
  <si>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</si>
  <si>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</si>
  <si>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</si>
  <si>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</si>
  <si>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</si>
  <si>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</si>
  <si>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</si>
  <si>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</si>
  <si>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</si>
  <si>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</si>
  <si>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</si>
  <si>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</si>
  <si>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</si>
  <si>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</si>
  <si>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</si>
  <si>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</si>
  <si>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</si>
  <si>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</si>
  <si>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</si>
  <si>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</si>
  <si>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</si>
  <si>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</si>
  <si>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</si>
  <si>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</si>
  <si>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</si>
  <si>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</si>
  <si>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</si>
  <si>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</si>
  <si>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</si>
  <si>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</si>
  <si>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</si>
  <si>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</si>
  <si>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</si>
  <si>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</si>
  <si>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</si>
  <si>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</si>
  <si>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</si>
  <si>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</si>
  <si>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</si>
  <si>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</si>
  <si>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</si>
  <si>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</si>
  <si>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</si>
  <si>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</si>
  <si>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</si>
  <si>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</si>
  <si>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</si>
  <si>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</si>
  <si>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</si>
  <si>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</si>
  <si>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</si>
  <si>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</si>
  <si>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</si>
  <si>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</si>
  <si>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</si>
  <si>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</si>
  <si>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</si>
  <si>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</si>
  <si>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</si>
  <si>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</si>
  <si>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</si>
  <si>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</si>
  <si>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</si>
  <si>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</si>
  <si>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</si>
  <si>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</si>
  <si>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</si>
  <si>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</si>
  <si>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</si>
  <si>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</si>
  <si>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</si>
  <si>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</si>
  <si>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</si>
  <si>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</si>
  <si>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</si>
  <si>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</si>
  <si>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</si>
  <si>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</si>
  <si>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</si>
  <si>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</si>
  <si>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</si>
  <si>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</si>
  <si>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</si>
  <si>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</si>
  <si>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</si>
  <si>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</si>
  <si>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</si>
  <si>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</si>
  <si>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</si>
  <si>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</si>
  <si>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</si>
  <si>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</si>
  <si>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</si>
  <si>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</si>
  <si>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</si>
  <si>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</si>
  <si>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</si>
  <si>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</si>
  <si>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</si>
  <si>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</si>
  <si>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</si>
  <si>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</si>
  <si>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</si>
  <si>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</si>
  <si>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</si>
  <si>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</si>
  <si>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</si>
  <si>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</si>
  <si>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</si>
  <si>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</si>
  <si>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</si>
  <si>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</si>
  <si>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</si>
  <si>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</si>
  <si>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</si>
  <si>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</si>
  <si>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</si>
  <si>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</si>
  <si>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</si>
  <si>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</si>
  <si>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</si>
  <si>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</si>
  <si>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</si>
  <si>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</si>
  <si>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</si>
  <si>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</si>
  <si>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</si>
  <si>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</si>
  <si>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</si>
  <si>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</si>
  <si>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</si>
  <si>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</si>
  <si>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</si>
  <si>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</si>
  <si>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</si>
  <si>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</si>
  <si>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</si>
  <si>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</si>
  <si>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</si>
  <si>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</si>
  <si>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</si>
  <si>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</si>
  <si>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</si>
  <si>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</si>
  <si>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</si>
  <si>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</si>
  <si>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</si>
  <si>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</si>
  <si>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</si>
  <si>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</si>
  <si>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</si>
  <si>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</si>
  <si>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</si>
  <si>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</si>
  <si>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</si>
  <si>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</si>
  <si>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</si>
  <si>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</si>
  <si>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</si>
  <si>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</si>
  <si>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</si>
  <si>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</si>
  <si>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</si>
  <si>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</si>
  <si>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</si>
  <si>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</si>
  <si>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</si>
  <si>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</si>
  <si>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</si>
  <si>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</si>
  <si>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</si>
  <si>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</si>
  <si>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</si>
  <si>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</si>
  <si>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</si>
  <si>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</si>
  <si>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</si>
  <si>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</si>
  <si>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</si>
  <si>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</si>
  <si>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</si>
  <si>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</si>
  <si>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</si>
  <si>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</si>
  <si>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</si>
  <si>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</si>
  <si>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</si>
  <si>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</si>
  <si>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</si>
  <si>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</si>
  <si>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</si>
  <si>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</si>
  <si>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</si>
  <si>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</si>
  <si>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</si>
  <si>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</si>
  <si>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</si>
  <si>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</si>
  <si>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</si>
  <si>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</si>
  <si>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</si>
  <si>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</si>
  <si>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</si>
  <si>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</si>
  <si>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</si>
  <si>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</si>
  <si>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</si>
  <si>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</si>
  <si>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</si>
  <si>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</si>
  <si>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</si>
  <si>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</si>
  <si>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</si>
  <si>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</si>
  <si>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</si>
  <si>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</si>
  <si>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</si>
  <si>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</si>
  <si>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</si>
  <si>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</si>
  <si>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</si>
  <si>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</si>
  <si>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</si>
  <si>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</si>
  <si>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</si>
  <si>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</si>
  <si>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</si>
  <si>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</si>
  <si>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</si>
  <si>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</si>
  <si>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</si>
  <si>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</si>
  <si>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</si>
  <si>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</si>
  <si>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</si>
  <si>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</si>
  <si>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</si>
  <si>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</si>
  <si>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</si>
  <si>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</si>
  <si>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</si>
  <si>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</si>
  <si>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</si>
  <si>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</si>
  <si>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</si>
  <si>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</si>
  <si>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</si>
  <si>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</si>
  <si>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</si>
  <si>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</si>
  <si>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</si>
  <si>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</si>
  <si>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</si>
  <si>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</si>
  <si>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</si>
  <si>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</si>
  <si>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</si>
  <si>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</si>
  <si>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</si>
  <si>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</si>
  <si>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</si>
  <si>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</si>
  <si>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</si>
  <si>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</si>
  <si>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</si>
  <si>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</si>
  <si>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</si>
  <si>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</si>
  <si>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</si>
  <si>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</si>
  <si>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</si>
  <si>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</si>
  <si>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</si>
  <si>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</si>
  <si>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</si>
  <si>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</si>
  <si>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</si>
  <si>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</si>
  <si>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</si>
  <si>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</si>
  <si>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</si>
  <si>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</si>
  <si>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</si>
  <si>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</si>
  <si>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</si>
  <si>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</si>
  <si>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</si>
  <si>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</si>
  <si>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</si>
  <si>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</si>
  <si>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</si>
  <si>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</si>
  <si>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</si>
  <si>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</si>
  <si>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</si>
  <si>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</si>
  <si>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</si>
  <si>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</si>
  <si>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</si>
  <si>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</si>
  <si>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</si>
  <si>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</si>
  <si>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</si>
  <si>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</si>
  <si>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</si>
  <si>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</si>
  <si>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</si>
  <si>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</si>
  <si>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</si>
  <si>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</si>
  <si>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</si>
  <si>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</si>
  <si>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</si>
  <si>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</si>
  <si>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</si>
  <si>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</si>
  <si>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</si>
  <si>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</si>
  <si>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</si>
  <si>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</si>
  <si>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</si>
  <si>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</si>
  <si>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</si>
  <si>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</si>
  <si>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</si>
  <si>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</si>
  <si>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</si>
  <si>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</si>
  <si>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</si>
  <si>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</si>
  <si>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</si>
  <si>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</si>
  <si>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</si>
  <si>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</si>
  <si>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</si>
  <si>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</si>
  <si>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</si>
  <si>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</si>
  <si>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</si>
  <si>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</si>
  <si>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</si>
  <si>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</si>
  <si>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</si>
  <si>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</si>
  <si>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</si>
  <si>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</si>
  <si>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</si>
  <si>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</si>
  <si>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</si>
  <si>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</si>
  <si>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</si>
  <si>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</si>
  <si>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</si>
  <si>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</si>
  <si>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</si>
  <si>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</si>
  <si>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</si>
  <si>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</si>
  <si>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</si>
  <si>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</si>
  <si>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</si>
  <si>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</si>
  <si>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</si>
  <si>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</si>
  <si>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</si>
  <si>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</si>
  <si>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</si>
  <si>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</si>
  <si>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</si>
  <si>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</si>
  <si>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</si>
  <si>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</si>
  <si>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</si>
  <si>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</si>
  <si>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</si>
  <si>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</si>
  <si>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</si>
  <si>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</si>
  <si>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</si>
  <si>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</si>
  <si>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</si>
  <si>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</si>
  <si>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</si>
  <si>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</si>
  <si>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</si>
  <si>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</si>
  <si>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</si>
  <si>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</si>
  <si>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</si>
  <si>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</si>
  <si>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</si>
  <si>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</si>
  <si>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</si>
  <si>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</si>
  <si>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</si>
  <si>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</si>
  <si>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</si>
  <si>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</si>
  <si>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</si>
  <si>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</si>
  <si>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</si>
  <si>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</si>
  <si>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</si>
  <si>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</si>
  <si>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</si>
  <si>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</si>
  <si>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</si>
  <si>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</si>
  <si>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</si>
  <si>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</si>
  <si>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</si>
  <si>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</si>
  <si>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</si>
  <si>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</si>
  <si>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</si>
  <si>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</si>
  <si>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</si>
  <si>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</si>
  <si>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</si>
  <si>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</si>
  <si>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</si>
  <si>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</si>
  <si>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</si>
  <si>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</si>
  <si>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</si>
  <si>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</si>
  <si>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</si>
  <si>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</si>
  <si>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</si>
  <si>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</si>
  <si>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</si>
  <si>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</si>
  <si>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</si>
  <si>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</si>
  <si>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</si>
  <si>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</si>
  <si>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</si>
  <si>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</si>
  <si>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</si>
  <si>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</si>
  <si>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</si>
  <si>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</si>
  <si>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</si>
  <si>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</si>
  <si>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</si>
  <si>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</si>
  <si>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</si>
  <si>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</si>
  <si>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</si>
  <si>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</si>
  <si>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</si>
  <si>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</si>
  <si>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</si>
  <si>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</si>
  <si>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</si>
  <si>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</si>
  <si>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</si>
  <si>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</si>
  <si>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</si>
  <si>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</si>
  <si>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</si>
  <si>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</si>
  <si>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</si>
  <si>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</si>
  <si>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</si>
  <si>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</si>
  <si>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</si>
  <si>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</si>
  <si>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</si>
  <si>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</si>
  <si>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</si>
  <si>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</si>
  <si>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</si>
  <si>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</si>
  <si>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</si>
  <si>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</si>
  <si>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</si>
  <si>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</si>
  <si>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</si>
  <si>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</si>
  <si>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</si>
  <si>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</si>
  <si>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</si>
  <si>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</si>
  <si>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</si>
  <si>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</si>
  <si>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</si>
  <si>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</si>
  <si>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</si>
  <si>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</si>
  <si>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</si>
  <si>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</si>
  <si>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</si>
  <si>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</si>
  <si>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</si>
  <si>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</si>
  <si>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</si>
  <si>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</si>
  <si>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</si>
  <si>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</si>
  <si>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</si>
  <si>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</si>
  <si>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</si>
  <si>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</si>
  <si>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</si>
  <si>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</si>
  <si>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</si>
  <si>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</si>
  <si>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</si>
  <si>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</si>
  <si>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</si>
  <si>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</si>
  <si>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</si>
  <si>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</si>
  <si>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</si>
  <si>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</si>
  <si>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</si>
  <si>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</si>
  <si>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</si>
  <si>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</si>
  <si>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</si>
  <si>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</si>
  <si>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</si>
  <si>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</si>
  <si>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</si>
  <si>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</si>
  <si>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</si>
  <si>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</si>
  <si>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</si>
  <si>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</si>
  <si>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</si>
  <si>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</si>
  <si>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</si>
  <si>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</si>
  <si>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</si>
  <si>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</si>
  <si>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</si>
  <si>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</si>
  <si>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</si>
  <si>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</si>
  <si>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</si>
  <si>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</si>
  <si>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</si>
  <si>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</si>
  <si>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</si>
  <si>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</si>
  <si>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</si>
  <si>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</si>
  <si>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</si>
  <si>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</si>
  <si>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</si>
  <si>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</si>
  <si>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</si>
  <si>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</si>
  <si>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</si>
  <si>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</si>
  <si>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</si>
  <si>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</si>
  <si>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</si>
  <si>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</si>
  <si>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</si>
  <si>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</si>
  <si>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</si>
  <si>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</si>
  <si>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</si>
  <si>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</si>
  <si>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</si>
  <si>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</si>
  <si>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</si>
  <si>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</si>
  <si>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</si>
  <si>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</si>
  <si>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</si>
  <si>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</si>
  <si>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</si>
  <si>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</si>
  <si>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</si>
  <si>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</si>
  <si>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</si>
  <si>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</si>
  <si>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</si>
  <si>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</si>
  <si>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</si>
  <si>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</si>
  <si>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</si>
  <si>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</si>
  <si>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</si>
  <si>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</si>
  <si>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</si>
  <si>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</si>
  <si>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</si>
  <si>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</si>
  <si>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</si>
  <si>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</si>
  <si>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</si>
  <si>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</si>
  <si>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</si>
  <si>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</si>
  <si>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</si>
  <si>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</si>
  <si>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</si>
  <si>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</si>
  <si>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</si>
  <si>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</si>
  <si>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</si>
  <si>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</si>
  <si>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</si>
  <si>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</si>
  <si>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</si>
  <si>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</si>
  <si>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</si>
  <si>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</si>
  <si>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</si>
  <si>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</si>
  <si>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</si>
  <si>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</si>
  <si>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</si>
  <si>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</si>
  <si>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</si>
  <si>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</si>
  <si>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</si>
  <si>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</si>
  <si>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</si>
  <si>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</si>
  <si>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</si>
  <si>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</si>
  <si>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</si>
  <si>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</si>
  <si>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</si>
  <si>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</si>
  <si>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</si>
  <si>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</si>
  <si>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</si>
  <si>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</si>
  <si>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</si>
  <si>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</si>
  <si>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</si>
  <si>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</si>
  <si>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</si>
  <si>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</si>
  <si>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</si>
  <si>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</si>
  <si>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</si>
  <si>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</si>
  <si>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</si>
  <si>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</si>
  <si>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</si>
  <si>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</si>
  <si>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</si>
  <si>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</si>
  <si>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</si>
  <si>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</si>
  <si>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</si>
  <si>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</si>
  <si>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</si>
  <si>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</si>
  <si>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</si>
  <si>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</si>
  <si>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</si>
  <si>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</si>
  <si>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</si>
  <si>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</si>
  <si>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</si>
  <si>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</si>
  <si>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</si>
  <si>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</si>
  <si>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</si>
  <si>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</si>
  <si>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</si>
  <si>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</si>
  <si>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</si>
  <si>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</si>
  <si>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</si>
  <si>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</si>
  <si>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</si>
  <si>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</si>
  <si>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</si>
  <si>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</si>
  <si>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</si>
  <si>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</si>
  <si>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</si>
  <si>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</si>
  <si>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</si>
  <si>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</si>
  <si>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</si>
  <si>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</si>
  <si>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</si>
  <si>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</si>
  <si>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</si>
  <si>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</si>
  <si>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</si>
  <si>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</si>
  <si>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</si>
  <si>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</si>
  <si>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</si>
  <si>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</si>
  <si>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</si>
  <si>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</si>
  <si>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</si>
  <si>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</si>
  <si>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</si>
  <si>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</si>
  <si>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</si>
  <si>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</si>
  <si>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</si>
  <si>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</si>
  <si>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</si>
  <si>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</si>
  <si>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</si>
  <si>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</si>
  <si>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</si>
  <si>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</si>
  <si>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</si>
  <si>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</si>
  <si>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</si>
  <si>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</si>
  <si>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</si>
  <si>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</si>
  <si>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</si>
  <si>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</si>
  <si>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</si>
  <si>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</si>
  <si>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</si>
  <si>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</si>
  <si>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</si>
  <si>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</si>
  <si>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</si>
  <si>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</si>
  <si>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</si>
  <si>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</si>
  <si>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</si>
  <si>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</si>
  <si>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</si>
  <si>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</si>
  <si>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</si>
  <si>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</si>
  <si>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</si>
  <si>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</si>
  <si>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</si>
  <si>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</si>
  <si>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</si>
  <si>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</si>
  <si>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</si>
  <si>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</si>
  <si>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</si>
  <si>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</si>
  <si>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</si>
  <si>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</si>
  <si>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</si>
  <si>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</si>
  <si>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</si>
  <si>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</si>
  <si>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</si>
  <si>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</si>
  <si>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</si>
  <si>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</si>
  <si>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</si>
  <si>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</si>
  <si>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</si>
  <si>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</si>
  <si>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</si>
  <si>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</si>
  <si>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</si>
  <si>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</si>
  <si>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</si>
  <si>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</si>
  <si>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</si>
  <si>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</si>
  <si>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</si>
  <si>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</si>
  <si>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</si>
  <si>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</si>
  <si>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</si>
  <si>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</si>
  <si>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</si>
  <si>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</si>
  <si>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</si>
  <si>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</si>
  <si>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</si>
  <si>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</si>
  <si>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</si>
  <si>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</si>
  <si>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</si>
  <si>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</si>
  <si>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</si>
  <si>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</si>
  <si>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</si>
  <si>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</si>
  <si>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</si>
  <si>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</si>
  <si>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</si>
  <si>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</si>
  <si>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</si>
  <si>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</si>
  <si>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</si>
  <si>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</si>
  <si>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</si>
  <si>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</si>
  <si>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</si>
  <si>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</si>
  <si>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</si>
  <si>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</si>
  <si>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</si>
  <si>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</si>
  <si>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</si>
  <si>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</si>
  <si>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</si>
  <si>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</si>
  <si>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</si>
  <si>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</si>
  <si>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</si>
  <si>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</si>
  <si>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</si>
  <si>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</si>
  <si>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</si>
  <si>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</si>
  <si>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</si>
  <si>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</si>
  <si>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</si>
  <si>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</si>
  <si>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</si>
  <si>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</si>
  <si>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</si>
  <si>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</si>
  <si>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</si>
  <si>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</si>
  <si>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</si>
  <si>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</si>
  <si>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</si>
  <si>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</si>
  <si>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</si>
  <si>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</si>
  <si>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</si>
  <si>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</si>
  <si>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</si>
  <si>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</si>
  <si>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</si>
  <si>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</si>
  <si>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</si>
  <si>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</si>
  <si>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</si>
  <si>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</si>
  <si>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</si>
  <si>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</si>
  <si>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</si>
  <si>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</si>
  <si>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</si>
  <si>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</si>
  <si>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</si>
  <si>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</si>
  <si>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</si>
  <si>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</si>
  <si>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</si>
  <si>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</si>
  <si>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</si>
  <si>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</si>
  <si>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</si>
  <si>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</si>
  <si>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</si>
  <si>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</si>
  <si>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</si>
  <si>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</si>
  <si>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</si>
  <si>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</si>
  <si>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</si>
  <si>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</si>
  <si>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</si>
  <si>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</si>
  <si>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</si>
  <si>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</si>
  <si>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</si>
  <si>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</si>
  <si>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</si>
  <si>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</si>
  <si>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</si>
  <si>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</si>
  <si>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</si>
  <si>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</si>
  <si>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</si>
  <si>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</si>
  <si>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</si>
  <si>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</si>
  <si>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</si>
  <si>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</si>
  <si>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</si>
  <si>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</si>
  <si>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</si>
  <si>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</si>
  <si>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</si>
  <si>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</si>
  <si>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</si>
  <si>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</si>
  <si>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</si>
  <si>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</si>
  <si>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</si>
  <si>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</si>
  <si>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</si>
  <si>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</si>
  <si>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</si>
  <si>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</si>
  <si>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</si>
  <si>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</si>
  <si>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</si>
  <si>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</si>
  <si>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</si>
  <si>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</si>
  <si>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</si>
  <si>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</si>
  <si>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</si>
  <si>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</si>
  <si>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</si>
  <si>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</si>
  <si>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</si>
  <si>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</si>
  <si>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</si>
  <si>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</si>
  <si>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</si>
  <si>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</si>
  <si>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</si>
  <si>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</si>
  <si>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</si>
  <si>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</si>
  <si>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</si>
  <si>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</si>
  <si>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</si>
  <si>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</si>
  <si>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</si>
  <si>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</si>
  <si>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</si>
  <si>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</si>
  <si>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</si>
  <si>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</si>
  <si>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</si>
  <si>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</si>
  <si>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</si>
  <si>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</si>
  <si>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</si>
  <si>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</si>
  <si>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</si>
  <si>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</si>
  <si>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</si>
  <si>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</si>
  <si>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</si>
  <si>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</si>
  <si>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</si>
  <si>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</si>
  <si>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</si>
  <si>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</si>
  <si>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</si>
  <si>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</si>
  <si>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</si>
  <si>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</si>
  <si>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</si>
  <si>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</si>
  <si>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</si>
  <si>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</si>
  <si>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</si>
  <si>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</si>
  <si>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</si>
  <si>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</si>
  <si>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</si>
  <si>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</si>
  <si>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</si>
  <si>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</si>
  <si>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</si>
  <si>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</si>
  <si>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</si>
  <si>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</si>
  <si>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</si>
  <si>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</si>
  <si>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</si>
  <si>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</si>
  <si>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</si>
  <si>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</si>
  <si>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</si>
  <si>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</si>
  <si>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</si>
  <si>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</si>
  <si>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</si>
  <si>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</si>
  <si>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</si>
  <si>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</si>
  <si>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</si>
  <si>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</si>
  <si>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</si>
  <si>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</si>
  <si>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</si>
  <si>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</si>
  <si>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</si>
  <si>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</si>
  <si>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</si>
  <si>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</si>
  <si>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</si>
  <si>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</si>
  <si>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</si>
  <si>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</si>
  <si>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</si>
  <si>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</si>
  <si>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</si>
  <si>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</si>
  <si>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</si>
  <si>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</si>
  <si>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</si>
  <si>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</si>
  <si>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</si>
  <si>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</si>
  <si>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</si>
  <si>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</si>
  <si>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</si>
  <si>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</si>
  <si>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</si>
  <si>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</si>
  <si>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</si>
  <si>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</si>
  <si>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</si>
  <si>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</si>
  <si>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</si>
  <si>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</si>
  <si>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</si>
  <si>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</si>
  <si>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</si>
  <si>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</si>
  <si>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</si>
  <si>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</si>
  <si>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</si>
  <si>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</si>
  <si>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</si>
  <si>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</si>
  <si>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</si>
  <si>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</si>
  <si>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</si>
  <si>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</si>
  <si>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</si>
  <si>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</si>
  <si>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</si>
  <si>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</si>
  <si>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</si>
  <si>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</si>
  <si>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</si>
  <si>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</si>
  <si>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</si>
  <si>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</si>
  <si>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</si>
  <si>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</si>
  <si>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</si>
  <si>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</si>
  <si>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</si>
  <si>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</si>
  <si>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</si>
  <si>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</si>
  <si>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</si>
  <si>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</si>
  <si>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</si>
  <si>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</si>
  <si>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</si>
  <si>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</si>
  <si>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</si>
  <si>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</si>
  <si>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</si>
  <si>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</si>
  <si>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</si>
  <si>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</si>
  <si>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</si>
  <si>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</si>
  <si>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</si>
  <si>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</si>
  <si>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</si>
  <si>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</si>
  <si>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</si>
  <si>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</si>
  <si>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</si>
  <si>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</si>
  <si>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</si>
  <si>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</si>
  <si>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</si>
  <si>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</si>
  <si>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</si>
  <si>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</si>
  <si>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</si>
  <si>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</si>
  <si>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</si>
  <si>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</si>
  <si>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</si>
  <si>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</si>
  <si>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</si>
  <si>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</si>
  <si>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</si>
  <si>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</si>
  <si>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</si>
  <si>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</si>
  <si>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</si>
  <si>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</si>
  <si>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</si>
  <si>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</si>
  <si>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</si>
  <si>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</si>
  <si>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</si>
  <si>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</si>
  <si>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</si>
  <si>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</si>
  <si>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</si>
  <si>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</si>
  <si>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</si>
  <si>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</si>
  <si>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</si>
  <si>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</si>
  <si>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</si>
  <si>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</si>
  <si>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</si>
  <si>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</si>
  <si>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</si>
  <si>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</si>
  <si>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</si>
  <si>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</si>
  <si>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</si>
  <si>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</si>
  <si>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</si>
  <si>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</si>
  <si>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</si>
  <si>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</si>
  <si>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</si>
  <si>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</si>
  <si>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</si>
  <si>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</si>
  <si>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</si>
  <si>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</si>
  <si>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</si>
  <si>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</si>
  <si>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</si>
  <si>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</si>
  <si>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</si>
  <si>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</si>
  <si>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</si>
  <si>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</si>
  <si>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</si>
  <si>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</si>
  <si>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</si>
  <si>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</si>
  <si>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</si>
  <si>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</si>
  <si>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</si>
  <si>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</si>
  <si>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</si>
  <si>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</si>
  <si>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</si>
  <si>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</si>
  <si>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</si>
  <si>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</si>
  <si>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</si>
  <si>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</si>
  <si>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</si>
  <si>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</si>
  <si>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</si>
  <si>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</si>
  <si>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</si>
  <si>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</si>
  <si>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</si>
  <si>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</si>
  <si>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</si>
  <si>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</si>
  <si>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</si>
  <si>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</si>
  <si>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</si>
  <si>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</si>
  <si>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</si>
  <si>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</si>
  <si>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</si>
  <si>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</si>
  <si>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</si>
  <si>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</si>
  <si>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</si>
  <si>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</si>
  <si>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</si>
  <si>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</si>
  <si>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</si>
  <si>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</si>
  <si>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</si>
  <si>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</si>
  <si>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</si>
  <si>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</si>
  <si>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</si>
  <si>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</si>
  <si>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</si>
  <si>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</si>
  <si>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</si>
  <si>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</si>
  <si>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</si>
  <si>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</si>
  <si>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</si>
  <si>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</si>
  <si>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</si>
  <si>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</si>
  <si>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</si>
  <si>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</si>
  <si>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</si>
  <si>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</si>
  <si>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</si>
  <si>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</si>
  <si>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</si>
  <si>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</si>
  <si>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</si>
  <si>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</si>
  <si>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</si>
  <si>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</si>
  <si>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</si>
  <si>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</si>
  <si>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</si>
  <si>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</si>
  <si>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</si>
  <si>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</si>
  <si>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</si>
  <si>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</si>
  <si>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</si>
  <si>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</si>
  <si>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</si>
  <si>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</si>
  <si>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</si>
  <si>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</si>
  <si>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</si>
  <si>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</si>
  <si>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</si>
  <si>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</si>
  <si>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</si>
  <si>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</si>
  <si>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</si>
  <si>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</si>
  <si>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</si>
  <si>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</si>
  <si>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</si>
  <si>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</si>
  <si>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</si>
  <si>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</si>
  <si>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</si>
  <si>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</si>
  <si>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</si>
  <si>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</si>
  <si>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</si>
  <si>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</si>
  <si>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</si>
  <si>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</si>
  <si>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</si>
  <si>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</si>
  <si>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</si>
  <si>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</si>
  <si>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</si>
  <si>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</si>
  <si>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</si>
  <si>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</si>
  <si>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</si>
  <si>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</si>
  <si>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</si>
  <si>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</si>
  <si>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</si>
  <si>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</si>
  <si>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</si>
  <si>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</si>
  <si>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</si>
  <si>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</si>
  <si>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</si>
  <si>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</si>
  <si>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</si>
  <si>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</si>
  <si>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</si>
  <si>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</si>
  <si>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</si>
  <si>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</si>
  <si>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</si>
  <si>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</si>
  <si>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</si>
  <si>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</si>
  <si>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</si>
  <si>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</si>
  <si>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</si>
  <si>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</si>
  <si>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</si>
  <si>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</si>
  <si>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</si>
  <si>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</si>
  <si>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</si>
  <si>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</si>
  <si>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</si>
  <si>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</si>
  <si>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</si>
  <si>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</si>
  <si>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</si>
  <si>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</si>
  <si>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</si>
  <si>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</si>
  <si>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</si>
  <si>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</si>
  <si>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</si>
  <si>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</si>
  <si>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</si>
  <si>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</si>
  <si>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</si>
  <si>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</si>
  <si>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</si>
  <si>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</si>
  <si>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</si>
  <si>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</si>
  <si>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</si>
  <si>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</si>
  <si>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</si>
  <si>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</si>
  <si>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</si>
  <si>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</si>
  <si>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</si>
  <si>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</si>
  <si>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</si>
  <si>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</si>
  <si>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</si>
  <si>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</si>
  <si>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</si>
  <si>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</si>
  <si>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</si>
  <si>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</si>
  <si>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</si>
  <si>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</si>
  <si>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</si>
  <si>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</si>
  <si>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</si>
  <si>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</si>
  <si>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</si>
  <si>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</si>
  <si>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</si>
  <si>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</si>
  <si>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</si>
  <si>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</si>
  <si>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</si>
  <si>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</si>
  <si>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</si>
  <si>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</si>
  <si>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</si>
  <si>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</si>
  <si>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</si>
  <si>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</si>
  <si>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</si>
  <si>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</si>
  <si>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</si>
  <si>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</si>
  <si>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</si>
  <si>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</si>
  <si>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</si>
  <si>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</si>
  <si>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</si>
  <si>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</si>
  <si>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</si>
  <si>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</si>
  <si>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</si>
  <si>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</si>
  <si>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</si>
  <si>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</si>
  <si>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</si>
  <si>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</si>
  <si>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</si>
  <si>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</si>
  <si>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</si>
  <si>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</si>
  <si>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</si>
  <si>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</si>
  <si>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</si>
  <si>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</si>
  <si>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</si>
  <si>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</si>
  <si>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</si>
  <si>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</si>
  <si>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</si>
  <si>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</si>
  <si>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</si>
  <si>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</si>
  <si>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</si>
  <si>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</si>
  <si>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</si>
  <si>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</si>
  <si>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</si>
  <si>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</si>
  <si>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</si>
  <si>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</si>
  <si>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</si>
  <si>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</si>
  <si>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</si>
  <si>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</si>
  <si>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</si>
  <si>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</si>
  <si>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</si>
  <si>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</si>
  <si>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</si>
  <si>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</si>
  <si>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</si>
  <si>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</si>
  <si>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</si>
  <si>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</si>
  <si>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</si>
  <si>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</si>
  <si>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</si>
  <si>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</si>
  <si>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</si>
  <si>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</si>
  <si>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</si>
  <si>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</si>
  <si>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</si>
  <si>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</si>
  <si>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</si>
  <si>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</si>
  <si>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</si>
  <si>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</si>
  <si>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</si>
  <si>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</si>
  <si>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</si>
  <si>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</si>
  <si>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</si>
  <si>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</si>
  <si>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</si>
  <si>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</si>
  <si>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</si>
  <si>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</si>
  <si>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</si>
  <si>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</si>
  <si>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</si>
  <si>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</si>
  <si>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</si>
  <si>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</si>
  <si>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</si>
  <si>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</si>
  <si>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</si>
  <si>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</si>
  <si>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</si>
  <si>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</si>
  <si>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</si>
  <si>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</si>
  <si>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</si>
  <si>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</si>
  <si>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</si>
  <si>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</si>
  <si>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</si>
  <si>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</si>
  <si>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</si>
  <si>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</si>
  <si>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</si>
  <si>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</si>
  <si>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</si>
  <si>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</si>
  <si>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</si>
  <si>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</si>
  <si>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</si>
  <si>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</si>
  <si>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</si>
  <si>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</si>
  <si>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</si>
  <si>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</si>
  <si>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</si>
  <si>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</si>
  <si>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</si>
  <si>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</si>
  <si>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</si>
  <si>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</si>
  <si>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</si>
  <si>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</si>
  <si>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</si>
  <si>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</si>
  <si>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</si>
  <si>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</si>
  <si>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</si>
  <si>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</si>
  <si>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</si>
  <si>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</si>
  <si>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</si>
  <si>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</si>
  <si>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</si>
  <si>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</si>
  <si>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</si>
  <si>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</si>
  <si>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</si>
  <si>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</si>
  <si>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</si>
  <si>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</si>
  <si>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</si>
  <si>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</si>
  <si>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</si>
  <si>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</si>
  <si>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</si>
  <si>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</si>
  <si>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</si>
  <si>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</si>
  <si>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</si>
  <si>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</si>
  <si>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</si>
  <si>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</si>
  <si>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</si>
  <si>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</si>
  <si>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</si>
  <si>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</si>
  <si>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</si>
  <si>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</si>
  <si>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</si>
  <si>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</si>
  <si>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</si>
  <si>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</si>
  <si>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</si>
  <si>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</si>
  <si>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</si>
  <si>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</si>
  <si>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</si>
  <si>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</si>
  <si>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</si>
  <si>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</si>
  <si>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</si>
  <si>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</si>
  <si>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</si>
  <si>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</si>
  <si>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</si>
  <si>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</si>
  <si>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</si>
  <si>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</si>
  <si>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</si>
  <si>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</si>
  <si>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</si>
  <si>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</si>
  <si>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</si>
  <si>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</si>
  <si>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</si>
  <si>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</si>
  <si>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</si>
  <si>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</si>
  <si>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</si>
  <si>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</si>
  <si>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</si>
  <si>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</si>
  <si>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</si>
  <si>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</si>
  <si>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</si>
  <si>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</si>
  <si>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</si>
  <si>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</si>
  <si>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</si>
  <si>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</si>
  <si>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</si>
  <si>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</si>
  <si>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</si>
  <si>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</si>
  <si>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</si>
  <si>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</si>
  <si>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</si>
  <si>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</si>
  <si>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</si>
  <si>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</si>
  <si>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</si>
  <si>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</si>
  <si>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</si>
  <si>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</si>
  <si>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</si>
  <si>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</si>
  <si>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</si>
  <si>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</si>
  <si>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</si>
  <si>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</si>
  <si>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</si>
  <si>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</si>
  <si>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</si>
  <si>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</si>
  <si>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</si>
  <si>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</si>
  <si>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</si>
  <si>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</si>
  <si>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</si>
  <si>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</si>
  <si>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</si>
  <si>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</si>
  <si>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</si>
  <si>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</si>
  <si>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</si>
  <si>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</si>
  <si>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</si>
  <si>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</si>
  <si>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</si>
  <si>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</si>
  <si>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</si>
  <si>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</si>
  <si>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</si>
  <si>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</si>
  <si>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</si>
  <si>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</si>
  <si>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</si>
  <si>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</si>
  <si>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</si>
  <si>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</si>
  <si>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</si>
  <si>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</si>
  <si>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</si>
  <si>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</si>
  <si>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</si>
  <si>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</si>
  <si>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</si>
  <si>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</si>
  <si>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</si>
  <si>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</si>
  <si>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</si>
  <si>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</si>
  <si>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</si>
  <si>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</si>
  <si>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</si>
  <si>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</si>
  <si>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</si>
  <si>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</si>
  <si>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</si>
  <si>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</si>
  <si>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</si>
  <si>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</si>
  <si>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</si>
  <si>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</si>
  <si>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</si>
  <si>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</si>
  <si>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</si>
  <si>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</si>
  <si>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</si>
  <si>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</si>
  <si>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</si>
  <si>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</si>
  <si>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</si>
  <si>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</si>
  <si>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</si>
  <si>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</si>
  <si>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</si>
  <si>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</si>
  <si>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</si>
  <si>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</si>
  <si>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</si>
  <si>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</si>
  <si>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</si>
  <si>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</si>
  <si>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</si>
  <si>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</si>
  <si>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</si>
  <si>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</si>
  <si>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</si>
  <si>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</si>
  <si>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</si>
  <si>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</si>
  <si>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</si>
  <si>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</si>
  <si>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</si>
  <si>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</si>
  <si>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</si>
  <si>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</si>
  <si>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</si>
  <si>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</si>
  <si>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</si>
  <si>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</si>
  <si>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</si>
  <si>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</si>
  <si>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</si>
  <si>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</si>
  <si>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</si>
  <si>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</si>
  <si>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</si>
  <si>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</si>
  <si>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</si>
  <si>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</si>
  <si>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</si>
  <si>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</si>
  <si>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</si>
  <si>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</si>
  <si>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</si>
  <si>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</si>
  <si>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</si>
  <si>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</si>
  <si>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</si>
  <si>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</si>
  <si>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</si>
  <si>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</si>
  <si>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</si>
  <si>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</si>
  <si>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</si>
  <si>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</si>
  <si>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</si>
  <si>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</si>
  <si>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</si>
  <si>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</si>
  <si>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</si>
  <si>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</si>
  <si>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</si>
  <si>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</si>
  <si>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</si>
  <si>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</si>
  <si>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</si>
  <si>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</si>
  <si>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</si>
  <si>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</si>
  <si>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</si>
  <si>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</si>
  <si>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</si>
  <si>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</si>
  <si>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</si>
  <si>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</si>
  <si>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</si>
  <si>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</si>
  <si>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</si>
  <si>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</si>
  <si>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</si>
  <si>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</si>
  <si>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</si>
  <si>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</si>
  <si>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</si>
  <si>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</si>
  <si>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</si>
  <si>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</si>
  <si>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</si>
  <si>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</si>
  <si>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</si>
  <si>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</si>
  <si>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</si>
  <si>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</si>
  <si>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</si>
  <si>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</si>
  <si>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</si>
  <si>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</si>
  <si>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</si>
  <si>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</si>
  <si>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</si>
  <si>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</si>
  <si>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</si>
  <si>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</si>
  <si>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</si>
  <si>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</si>
  <si>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</si>
  <si>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</si>
  <si>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</si>
  <si>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</si>
  <si>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</si>
  <si>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</si>
  <si>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</si>
  <si>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</si>
  <si>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</si>
  <si>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</si>
  <si>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</si>
  <si>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</si>
  <si>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</si>
  <si>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</si>
  <si>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</si>
  <si>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</si>
  <si>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</si>
  <si>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</si>
  <si>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</si>
  <si>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</si>
  <si>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</si>
  <si>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</si>
  <si>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</si>
  <si>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</si>
  <si>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</si>
  <si>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</si>
  <si>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</si>
  <si>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</si>
  <si>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</si>
  <si>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</si>
  <si>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</si>
  <si>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</si>
  <si>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</si>
  <si>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</si>
  <si>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</si>
  <si>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</si>
  <si>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</si>
  <si>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</si>
  <si>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</si>
  <si>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</si>
  <si>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</si>
  <si>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</si>
  <si>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</si>
  <si>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</si>
  <si>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</si>
  <si>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</si>
  <si>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</si>
  <si>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</si>
  <si>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</si>
  <si>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</si>
  <si>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</si>
  <si>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</si>
  <si>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</si>
  <si>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</si>
  <si>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</si>
  <si>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</si>
  <si>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</si>
  <si>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</si>
  <si>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</si>
  <si>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</si>
  <si>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</si>
  <si>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</si>
  <si>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</si>
  <si>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</si>
  <si>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</si>
  <si>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</si>
  <si>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</si>
  <si>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</si>
  <si>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</si>
  <si>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</si>
  <si>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</si>
  <si>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</si>
  <si>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</si>
  <si>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</si>
  <si>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</si>
  <si>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</si>
  <si>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</si>
  <si>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</si>
  <si>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</si>
  <si>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</si>
  <si>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</si>
  <si>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</si>
  <si>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</si>
  <si>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</si>
  <si>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</si>
  <si>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</si>
  <si>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</si>
  <si>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</si>
  <si>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</si>
  <si>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</si>
  <si>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</si>
  <si>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</si>
  <si>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</si>
  <si>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</si>
  <si>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</si>
  <si>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</si>
  <si>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</si>
  <si>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</si>
  <si>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</si>
  <si>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</si>
  <si>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</si>
  <si>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</si>
  <si>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</si>
  <si>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</si>
  <si>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</si>
  <si>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</si>
  <si>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</si>
  <si>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</si>
  <si>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</si>
  <si>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</si>
  <si>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</si>
  <si>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</si>
  <si>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</si>
  <si>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</si>
  <si>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</si>
  <si>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</si>
  <si>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</si>
  <si>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</si>
  <si>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</si>
  <si>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</si>
  <si>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</si>
  <si>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</si>
  <si>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</si>
  <si>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</si>
  <si>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</si>
  <si>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</si>
  <si>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</si>
  <si>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</si>
  <si>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</si>
  <si>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</si>
  <si>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</si>
  <si>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</si>
  <si>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</si>
  <si>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</si>
  <si>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</si>
  <si>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</si>
  <si>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</si>
  <si>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</si>
  <si>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</si>
  <si>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</si>
  <si>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</si>
  <si>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</si>
  <si>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</si>
  <si>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</si>
  <si>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</si>
  <si>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</si>
  <si>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</si>
  <si>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</si>
  <si>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</si>
  <si>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</si>
  <si>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</si>
  <si>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</si>
  <si>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</si>
  <si>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</si>
  <si>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</si>
  <si>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</si>
  <si>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</si>
  <si>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</si>
  <si>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</si>
  <si>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</si>
  <si>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</si>
  <si>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</si>
  <si>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</si>
  <si>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</si>
  <si>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</si>
  <si>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</si>
  <si>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</si>
  <si>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</si>
  <si>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</si>
  <si>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</si>
  <si>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</si>
  <si>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</si>
  <si>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</si>
  <si>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</si>
  <si>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</si>
  <si>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</si>
  <si>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</si>
  <si>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</si>
  <si>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</si>
  <si>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</si>
  <si>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</si>
  <si>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</si>
  <si>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</si>
  <si>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</si>
  <si>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</si>
  <si>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</si>
  <si>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</si>
  <si>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</si>
  <si>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</si>
  <si>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</si>
  <si>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</si>
  <si>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</si>
  <si>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</si>
  <si>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</si>
  <si>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</si>
  <si>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</si>
  <si>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</si>
  <si>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</si>
  <si>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</si>
  <si>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</si>
  <si>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</si>
  <si>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</si>
  <si>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</si>
  <si>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</si>
  <si>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</si>
  <si>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</si>
  <si>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</si>
  <si>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</si>
  <si>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</si>
  <si>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</si>
  <si>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</si>
  <si>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</si>
  <si>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</si>
  <si>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</si>
  <si>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</si>
  <si>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</si>
  <si>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</si>
  <si>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</si>
  <si>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</si>
  <si>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</si>
  <si>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</si>
  <si>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</si>
  <si>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</si>
  <si>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</si>
  <si>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</si>
  <si>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</si>
  <si>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</si>
  <si>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</si>
  <si>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</si>
  <si>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</si>
  <si>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</si>
  <si>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</si>
  <si>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</si>
  <si>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</si>
  <si>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</si>
  <si>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</si>
  <si>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</si>
  <si>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</si>
  <si>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</si>
  <si>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</si>
  <si>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</si>
  <si>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</si>
  <si>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</si>
  <si>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</si>
  <si>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</si>
  <si>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</si>
  <si>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</si>
  <si>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</si>
  <si>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</si>
  <si>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</si>
  <si>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</si>
  <si>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</si>
  <si>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</si>
  <si>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</si>
  <si>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</si>
  <si>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</si>
  <si>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</si>
  <si>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</si>
  <si>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</si>
  <si>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</si>
  <si>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</si>
  <si>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</si>
  <si>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</si>
  <si>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</si>
  <si>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</si>
  <si>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</si>
  <si>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</si>
  <si>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</si>
  <si>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</si>
  <si>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</si>
  <si>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</si>
  <si>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</si>
  <si>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</si>
  <si>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</si>
  <si>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</si>
  <si>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</si>
  <si>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</si>
  <si>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</si>
  <si>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</si>
  <si>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</si>
  <si>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</si>
  <si>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</si>
  <si>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</si>
  <si>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</si>
  <si>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</si>
  <si>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</si>
  <si>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</si>
  <si>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</si>
  <si>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</si>
  <si>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</si>
  <si>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</si>
  <si>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</si>
  <si>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</si>
  <si>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</si>
  <si>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</si>
  <si>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</si>
  <si>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</si>
  <si>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</si>
  <si>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</si>
  <si>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</si>
  <si>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</si>
  <si>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</si>
  <si>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</si>
  <si>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</si>
  <si>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</si>
  <si>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</si>
  <si>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</si>
  <si>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</si>
  <si>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</si>
  <si>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</si>
  <si>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</si>
  <si>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</si>
  <si>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</si>
  <si>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</si>
  <si>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</si>
  <si>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</si>
  <si>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</si>
  <si>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</si>
  <si>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</si>
  <si>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</si>
  <si>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</si>
  <si>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</si>
  <si>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</si>
  <si>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</si>
  <si>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</si>
  <si>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</si>
  <si>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</si>
  <si>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</si>
  <si>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</si>
  <si>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</si>
  <si>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</si>
  <si>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</si>
  <si>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</si>
  <si>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</si>
  <si>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</si>
  <si>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</si>
  <si>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</si>
  <si>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</si>
  <si>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</si>
  <si>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</si>
  <si>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</si>
  <si>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</si>
  <si>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</si>
  <si>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</si>
  <si>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</si>
  <si>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</si>
  <si>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</si>
  <si>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</si>
  <si>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</si>
  <si>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</si>
  <si>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</si>
  <si>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</si>
  <si>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</si>
  <si>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</si>
  <si>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</si>
  <si>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</si>
  <si>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</si>
  <si>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</si>
  <si>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</si>
  <si>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</si>
  <si>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</si>
  <si>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</si>
  <si>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</si>
  <si>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</si>
  <si>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</si>
  <si>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</si>
  <si>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</si>
  <si>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</si>
  <si>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</si>
  <si>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</si>
  <si>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</si>
  <si>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</si>
  <si>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</si>
  <si>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</si>
  <si>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</si>
  <si>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</si>
  <si>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</si>
  <si>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</si>
  <si>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</si>
  <si>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</si>
  <si>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</si>
  <si>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</si>
  <si>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</si>
  <si>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</si>
  <si>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</si>
  <si>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</si>
  <si>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</si>
  <si>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</si>
  <si>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</si>
  <si>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</si>
  <si>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</si>
  <si>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</si>
  <si>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</si>
  <si>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</si>
  <si>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</si>
  <si>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</si>
  <si>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</si>
  <si>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</si>
  <si>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</si>
  <si>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</si>
  <si>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</si>
  <si>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</si>
  <si>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</si>
  <si>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</si>
  <si>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</si>
  <si>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</si>
  <si>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</si>
  <si>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</si>
  <si>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</si>
  <si>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</si>
  <si>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</si>
  <si>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</si>
  <si>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</si>
  <si>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</si>
  <si>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</si>
  <si>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</si>
  <si>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</si>
  <si>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</si>
  <si>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</si>
  <si>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</si>
  <si>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</si>
  <si>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</si>
  <si>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</si>
  <si>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</si>
  <si>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</si>
  <si>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</si>
  <si>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</si>
  <si>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</si>
  <si>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</si>
  <si>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</si>
  <si>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</si>
  <si>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</si>
  <si>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</si>
  <si>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</si>
  <si>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</si>
  <si>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</si>
  <si>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</si>
  <si>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</si>
  <si>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</si>
  <si>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</si>
  <si>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</si>
  <si>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</si>
  <si>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</si>
  <si>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</si>
  <si>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</si>
  <si>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</si>
  <si>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</si>
  <si>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</si>
  <si>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</si>
  <si>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</si>
  <si>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</si>
  <si>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</si>
  <si>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</si>
  <si>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</si>
  <si>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</si>
  <si>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</si>
  <si>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</si>
  <si>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</si>
  <si>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</si>
  <si>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</si>
  <si>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</si>
  <si>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</si>
  <si>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</si>
  <si>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</si>
  <si>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</si>
  <si>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</si>
  <si>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</si>
  <si>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</si>
  <si>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</si>
  <si>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</si>
  <si>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</si>
  <si>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</si>
  <si>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</si>
  <si>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</si>
  <si>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</si>
  <si>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</si>
  <si>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</si>
  <si>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</si>
  <si>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</si>
  <si>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</si>
  <si>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</si>
  <si>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</si>
  <si>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</si>
  <si>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</si>
  <si>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</si>
  <si>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</si>
  <si>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</si>
  <si>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</si>
  <si>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</si>
  <si>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</si>
  <si>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</si>
  <si>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</si>
  <si>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</si>
  <si>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</si>
  <si>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</si>
  <si>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</si>
  <si>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</si>
  <si>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</si>
  <si>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</si>
  <si>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</si>
  <si>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</si>
  <si>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</si>
  <si>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</si>
  <si>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</si>
  <si>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</si>
  <si>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</si>
  <si>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</si>
  <si>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</si>
  <si>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</si>
  <si>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</si>
  <si>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</si>
  <si>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</si>
  <si>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</si>
  <si>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</si>
  <si>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</si>
  <si>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</si>
  <si>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</si>
  <si>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</si>
  <si>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</si>
  <si>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</si>
  <si>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</si>
  <si>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</si>
  <si>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</si>
  <si>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</si>
  <si>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</si>
  <si>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</si>
  <si>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</si>
  <si>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</si>
  <si>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</si>
  <si>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</si>
  <si>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</si>
  <si>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</si>
  <si>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</si>
  <si>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</si>
  <si>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</si>
  <si>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</si>
  <si>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</si>
  <si>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</si>
  <si>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</si>
  <si>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</si>
  <si>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</si>
  <si>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</si>
  <si>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</si>
  <si>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</si>
  <si>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</si>
  <si>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</si>
  <si>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</si>
  <si>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</si>
  <si>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</si>
  <si>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</si>
  <si>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</si>
  <si>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</si>
  <si>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</si>
  <si>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</si>
  <si>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</si>
  <si>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</si>
  <si>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</si>
  <si>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</si>
  <si>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</si>
  <si>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</si>
  <si>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</si>
  <si>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</si>
  <si>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</si>
  <si>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</si>
  <si>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</si>
  <si>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</si>
  <si>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</si>
  <si>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</si>
  <si>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</si>
  <si>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</si>
  <si>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</si>
  <si>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</si>
  <si>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</si>
  <si>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</si>
  <si>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</si>
  <si>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</si>
  <si>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</si>
  <si>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</si>
  <si>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</si>
  <si>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</si>
  <si>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</si>
  <si>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</si>
  <si>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</si>
  <si>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</si>
  <si>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</si>
  <si>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</si>
  <si>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</si>
  <si>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</si>
  <si>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</si>
  <si>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</si>
  <si>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</si>
  <si>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</si>
  <si>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</si>
  <si>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</si>
  <si>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</si>
  <si>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</si>
  <si>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</si>
  <si>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</si>
  <si>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</si>
  <si>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</si>
  <si>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</si>
  <si>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</si>
  <si>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</si>
  <si>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</si>
  <si>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</si>
  <si>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</si>
  <si>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</si>
  <si>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</si>
  <si>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</si>
  <si>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</si>
  <si>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</si>
  <si>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</si>
  <si>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</si>
  <si>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</si>
  <si>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</si>
  <si>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</si>
  <si>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</si>
  <si>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</si>
  <si>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</si>
  <si>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</si>
  <si>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</si>
  <si>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</si>
  <si>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</si>
  <si>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</si>
  <si>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</si>
  <si>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</si>
  <si>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</si>
  <si>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</si>
  <si>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</si>
  <si>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</si>
  <si>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</si>
  <si>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</si>
  <si>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</si>
  <si>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</si>
  <si>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</si>
  <si>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</si>
  <si>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</si>
  <si>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</si>
  <si>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</si>
  <si>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</si>
  <si>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</si>
  <si>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</si>
  <si>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</si>
  <si>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</si>
  <si>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</si>
  <si>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</si>
  <si>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</si>
  <si>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</si>
  <si>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</si>
  <si>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</si>
  <si>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</si>
  <si>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</si>
  <si>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</si>
  <si>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</si>
  <si>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</si>
  <si>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</si>
  <si>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</si>
  <si>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</si>
  <si>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</si>
  <si>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</si>
  <si>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</si>
  <si>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</si>
  <si>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</si>
  <si>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</si>
  <si>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</si>
  <si>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</si>
  <si>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</si>
  <si>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</si>
  <si>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</si>
  <si>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</si>
  <si>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</si>
  <si>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</si>
  <si>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</si>
  <si>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</si>
  <si>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</si>
  <si>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</si>
  <si>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</si>
  <si>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</si>
  <si>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</si>
  <si>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</si>
  <si>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</si>
  <si>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</si>
  <si>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</si>
  <si>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</si>
  <si>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</si>
  <si>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</si>
  <si>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</si>
  <si>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</si>
  <si>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</si>
  <si>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</si>
  <si>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</si>
  <si>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</si>
  <si>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</si>
  <si>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</si>
  <si>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</si>
  <si>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</si>
  <si>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</si>
  <si>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</si>
  <si>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</si>
  <si>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</si>
  <si>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</si>
  <si>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</si>
  <si>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</si>
  <si>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</si>
  <si>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</si>
  <si>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</si>
  <si>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</si>
  <si>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</si>
  <si>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</si>
  <si>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</si>
  <si>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</si>
  <si>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</si>
  <si>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</si>
  <si>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</si>
  <si>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</si>
  <si>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</si>
  <si>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</si>
  <si>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</si>
  <si>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</si>
  <si>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</si>
  <si>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</si>
  <si>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</si>
  <si>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</si>
  <si>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</si>
  <si>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</si>
  <si>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</si>
  <si>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</si>
  <si>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</si>
  <si>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</si>
  <si>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</si>
  <si>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</si>
  <si>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</si>
  <si>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</si>
  <si>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</si>
  <si>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</si>
  <si>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</si>
  <si>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</si>
  <si>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</si>
  <si>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</si>
  <si>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</si>
  <si>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</si>
  <si>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</si>
  <si>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</si>
  <si>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</si>
  <si>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</si>
  <si>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</si>
  <si>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</si>
  <si>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</si>
  <si>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</si>
  <si>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</si>
  <si>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</si>
  <si>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</si>
  <si>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</si>
  <si>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</si>
  <si>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</si>
  <si>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</si>
  <si>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</si>
  <si>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</si>
  <si>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</si>
  <si>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</si>
  <si>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</si>
  <si>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</si>
  <si>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</si>
  <si>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</si>
  <si>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</si>
  <si>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</si>
  <si>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</si>
  <si>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</si>
  <si>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</si>
  <si>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</si>
  <si>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</si>
  <si>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</si>
  <si>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</si>
  <si>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</si>
  <si>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</si>
  <si>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</si>
  <si>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</si>
  <si>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</si>
  <si>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</si>
  <si>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</si>
  <si>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</si>
  <si>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</si>
  <si>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</si>
  <si>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</si>
  <si>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</si>
  <si>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</si>
  <si>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</si>
  <si>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</si>
  <si>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</si>
  <si>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</si>
  <si>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</si>
  <si>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</si>
  <si>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</si>
  <si>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</si>
  <si>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</si>
  <si>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</si>
  <si>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</si>
  <si>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</si>
  <si>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</si>
  <si>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</si>
  <si>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</si>
  <si>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</si>
  <si>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</si>
  <si>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</si>
  <si>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</si>
  <si>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</si>
  <si>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</si>
  <si>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</si>
  <si>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</si>
  <si>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</si>
  <si>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</si>
  <si>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</si>
  <si>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</si>
  <si>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</si>
  <si>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</si>
  <si>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</si>
  <si>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</si>
  <si>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</si>
  <si>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</si>
  <si>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</si>
  <si>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</si>
  <si>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</si>
  <si>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</si>
  <si>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</si>
  <si>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</si>
  <si>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</si>
  <si>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</si>
  <si>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</si>
  <si>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</si>
  <si>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</si>
  <si>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</si>
  <si>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</si>
  <si>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</si>
  <si>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</si>
  <si>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</si>
  <si>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</si>
  <si>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</si>
  <si>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</si>
  <si>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</si>
  <si>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</si>
  <si>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</si>
  <si>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</si>
  <si>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</si>
  <si>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</si>
  <si>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</si>
  <si>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</si>
  <si>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</si>
  <si>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</si>
  <si>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</si>
  <si>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</si>
  <si>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</si>
  <si>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</si>
  <si>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</si>
  <si>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</si>
  <si>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</si>
  <si>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</si>
  <si>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</si>
  <si>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</si>
  <si>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</si>
  <si>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</si>
  <si>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</si>
  <si>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</si>
  <si>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</si>
  <si>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</si>
  <si>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</si>
  <si>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</si>
  <si>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</si>
  <si>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</si>
  <si>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</si>
  <si>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</si>
  <si>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</si>
  <si>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</si>
  <si>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</si>
  <si>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</si>
  <si>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</si>
  <si>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</si>
  <si>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</si>
  <si>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</si>
  <si>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</si>
  <si>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</si>
  <si>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</si>
  <si>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</si>
  <si>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</si>
  <si>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</si>
  <si>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</si>
  <si>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</si>
  <si>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</si>
  <si>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</si>
  <si>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</si>
  <si>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</si>
  <si>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</si>
  <si>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</si>
  <si>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</si>
  <si>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</si>
  <si>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</si>
  <si>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</si>
  <si>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</si>
  <si>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</si>
  <si>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</si>
  <si>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</si>
  <si>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</si>
  <si>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</si>
  <si>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</si>
  <si>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</si>
  <si>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</si>
  <si>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</si>
  <si>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</si>
  <si>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</si>
  <si>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</si>
  <si>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</si>
  <si>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</si>
  <si>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</si>
  <si>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</si>
  <si>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</si>
  <si>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</si>
  <si>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</si>
  <si>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</si>
  <si>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</si>
  <si>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</si>
  <si>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</si>
  <si>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</si>
  <si>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</si>
  <si>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</si>
  <si>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</si>
  <si>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</si>
  <si>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</si>
  <si>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</si>
  <si>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</si>
  <si>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</si>
  <si>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</si>
  <si>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</si>
  <si>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</si>
  <si>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</si>
  <si>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</si>
  <si>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</si>
  <si>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</si>
  <si>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</si>
  <si>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</si>
  <si>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</si>
  <si>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</si>
  <si>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</si>
  <si>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</si>
  <si>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</si>
  <si>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</si>
  <si>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</si>
  <si>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</si>
  <si>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</si>
  <si>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</si>
  <si>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</si>
  <si>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</si>
  <si>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</si>
  <si>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</si>
  <si>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</si>
  <si>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</si>
  <si>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</si>
  <si>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</si>
  <si>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</si>
  <si>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</si>
  <si>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</si>
  <si>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</si>
  <si>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</si>
  <si>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</si>
  <si>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</si>
  <si>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</si>
  <si>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</si>
  <si>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</si>
  <si>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</si>
  <si>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</si>
  <si>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</si>
  <si>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</si>
  <si>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</si>
  <si>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</si>
  <si>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</si>
  <si>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</si>
  <si>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</si>
  <si>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</si>
  <si>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</si>
  <si>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</si>
  <si>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</si>
  <si>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</si>
  <si>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</si>
  <si>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</si>
  <si>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</si>
  <si>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</si>
  <si>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</si>
  <si>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</si>
  <si>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</si>
  <si>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</si>
  <si>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</si>
  <si>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</si>
  <si>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</si>
  <si>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</si>
  <si>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</si>
  <si>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</si>
  <si>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</si>
  <si>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</si>
  <si>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</si>
  <si>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</si>
  <si>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</si>
  <si>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</si>
  <si>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</si>
  <si>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</si>
  <si>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</si>
  <si>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</si>
  <si>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</si>
  <si>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</si>
  <si>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</si>
  <si>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</si>
  <si>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</si>
  <si>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</si>
  <si>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</si>
  <si>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</si>
  <si>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</si>
  <si>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</si>
  <si>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</si>
  <si>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</si>
  <si>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</si>
  <si>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</si>
  <si>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</si>
  <si>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</si>
  <si>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</si>
  <si>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</si>
  <si>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</si>
  <si>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</si>
  <si>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</si>
  <si>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</si>
  <si>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</si>
  <si>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</si>
  <si>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</si>
  <si>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</si>
  <si>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</si>
  <si>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</si>
  <si>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</si>
  <si>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</si>
  <si>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</si>
  <si>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</si>
  <si>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</si>
  <si>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</si>
  <si>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</si>
  <si>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</si>
  <si>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</si>
  <si>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</si>
  <si>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</si>
  <si>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</si>
  <si>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</si>
  <si>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</si>
  <si>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</si>
  <si>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</si>
  <si>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</si>
  <si>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</si>
  <si>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</si>
  <si>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</si>
  <si>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</si>
  <si>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</si>
  <si>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</si>
  <si>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</si>
  <si>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</si>
  <si>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</si>
  <si>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</si>
  <si>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</si>
  <si>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</si>
  <si>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</si>
  <si>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</si>
  <si>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</si>
  <si>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</si>
  <si>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</si>
  <si>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</si>
  <si>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</si>
  <si>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</si>
  <si>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</si>
  <si>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</si>
  <si>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</si>
  <si>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</si>
  <si>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</si>
  <si>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</si>
  <si>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</si>
  <si>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</si>
  <si>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</si>
  <si>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</si>
  <si>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</si>
  <si>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</si>
  <si>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</si>
  <si>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</si>
  <si>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</si>
  <si>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</si>
  <si>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</si>
  <si>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</si>
  <si>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</si>
  <si>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</si>
  <si>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</si>
  <si>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</si>
  <si>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</si>
  <si>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</si>
  <si>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</si>
  <si>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</si>
  <si>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</si>
  <si>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</si>
  <si>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</si>
  <si>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</si>
  <si>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</si>
  <si>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</si>
  <si>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</si>
  <si>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</si>
  <si>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</si>
  <si>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</si>
  <si>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</si>
  <si>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</si>
  <si>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</si>
  <si>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</si>
  <si>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</si>
  <si>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</si>
  <si>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</si>
  <si>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</si>
  <si>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</si>
  <si>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</si>
  <si>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</si>
  <si>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</si>
  <si>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</si>
  <si>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</si>
  <si>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</si>
  <si>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</si>
  <si>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</si>
  <si>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</si>
  <si>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</si>
  <si>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</si>
  <si>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</si>
  <si>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</si>
  <si>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</si>
  <si>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</si>
  <si>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</si>
  <si>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</si>
  <si>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</si>
  <si>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</si>
  <si>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</si>
  <si>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</si>
  <si>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</si>
  <si>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</si>
  <si>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</si>
  <si>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</si>
  <si>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</si>
  <si>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</si>
  <si>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</si>
  <si>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</si>
  <si>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</si>
  <si>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</si>
  <si>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</si>
  <si>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</si>
  <si>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</si>
  <si>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</si>
  <si>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</si>
  <si>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</si>
  <si>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</si>
  <si>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</si>
  <si>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</si>
  <si>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</si>
  <si>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</si>
  <si>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</si>
  <si>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</si>
  <si>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</si>
  <si>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</si>
  <si>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</si>
  <si>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</si>
  <si>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</si>
  <si>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</si>
  <si>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</si>
  <si>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</si>
  <si>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</si>
  <si>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</si>
  <si>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</si>
  <si>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</si>
  <si>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</si>
  <si>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</si>
  <si>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</si>
  <si>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</si>
  <si>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</si>
  <si>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</si>
  <si>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</si>
  <si>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</si>
  <si>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</si>
  <si>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</si>
  <si>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</si>
  <si>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</si>
  <si>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</si>
  <si>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</si>
  <si>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</si>
  <si>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</si>
  <si>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</si>
  <si>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</si>
  <si>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</si>
  <si>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</si>
  <si>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</si>
  <si>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</si>
  <si>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</si>
  <si>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</si>
  <si>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</si>
  <si>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</si>
  <si>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</si>
  <si>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</si>
  <si>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</si>
  <si>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</si>
  <si>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</si>
  <si>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</si>
  <si>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</si>
  <si>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</si>
  <si>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</si>
  <si>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</si>
  <si>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</si>
  <si>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</si>
  <si>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</si>
  <si>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</si>
  <si>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</si>
  <si>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</si>
  <si>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</si>
  <si>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</si>
  <si>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</si>
  <si>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</si>
  <si>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</si>
  <si>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</si>
  <si>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</si>
  <si>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</si>
  <si>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</si>
  <si>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</si>
  <si>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</si>
  <si>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</si>
  <si>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</si>
  <si>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</si>
  <si>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</si>
  <si>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</si>
  <si>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</si>
  <si>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</si>
  <si>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</si>
  <si>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</si>
  <si>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</si>
  <si>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</si>
  <si>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</si>
  <si>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</si>
  <si>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</si>
  <si>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</si>
  <si>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</si>
  <si>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</si>
  <si>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</si>
  <si>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</si>
  <si>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</si>
  <si>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</si>
  <si>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</si>
  <si>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</si>
  <si>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</si>
  <si>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</si>
  <si>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</si>
  <si>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</si>
  <si>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</si>
  <si>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</si>
  <si>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</si>
  <si>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</si>
  <si>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</si>
  <si>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</si>
  <si>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</si>
  <si>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</si>
  <si>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</si>
  <si>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</si>
  <si>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</si>
  <si>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</si>
  <si>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</si>
  <si>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</si>
  <si>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</si>
  <si>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</si>
  <si>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</si>
  <si>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</si>
  <si>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</si>
  <si>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</si>
  <si>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</si>
  <si>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</si>
  <si>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</si>
  <si>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</si>
  <si>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</si>
  <si>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</si>
  <si>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</si>
  <si>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</si>
  <si>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</si>
  <si>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</si>
  <si>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</si>
  <si>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</si>
  <si>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</si>
  <si>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</si>
  <si>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</si>
  <si>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</si>
  <si>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</si>
  <si>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</si>
  <si>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</si>
  <si>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</si>
  <si>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</si>
  <si>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</si>
  <si>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</si>
  <si>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</si>
  <si>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</si>
  <si>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</si>
  <si>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</si>
  <si>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</si>
  <si>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</si>
  <si>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</si>
  <si>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</si>
  <si>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</si>
  <si>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</si>
  <si>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</si>
  <si>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</si>
  <si>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</si>
  <si>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</si>
  <si>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</si>
  <si>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</si>
  <si>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</si>
  <si>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</si>
  <si>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</si>
  <si>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</si>
  <si>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</si>
  <si>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</si>
  <si>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</si>
  <si>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</si>
  <si>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</si>
  <si>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</si>
  <si>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</si>
  <si>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</si>
  <si>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</si>
  <si>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</si>
  <si>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</si>
  <si>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</si>
  <si>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</si>
  <si>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</si>
  <si>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</si>
  <si>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</si>
  <si>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</si>
  <si>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</si>
  <si>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</si>
  <si>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</si>
  <si>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</si>
  <si>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</si>
  <si>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</si>
  <si>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</si>
  <si>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</si>
  <si>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</si>
  <si>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</si>
  <si>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</si>
  <si>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</si>
  <si>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</si>
  <si>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</si>
  <si>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</si>
  <si>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</si>
  <si>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</si>
  <si>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</si>
  <si>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</si>
  <si>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</si>
  <si>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</si>
  <si>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</si>
  <si>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</si>
  <si>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</si>
  <si>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</si>
  <si>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</si>
  <si>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</si>
  <si>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</si>
  <si>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</si>
  <si>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</si>
  <si>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</si>
  <si>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</si>
  <si>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</si>
  <si>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</si>
  <si>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</si>
  <si>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</si>
  <si>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</si>
  <si>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</si>
  <si>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</si>
  <si>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</si>
  <si>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</si>
  <si>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</si>
  <si>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</si>
  <si>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</si>
  <si>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</si>
  <si>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</si>
  <si>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</si>
  <si>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</si>
  <si>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</si>
  <si>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</si>
  <si>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</si>
  <si>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</si>
  <si>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</si>
  <si>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</si>
  <si>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</si>
  <si>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</si>
  <si>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</si>
  <si>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</si>
  <si>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</si>
  <si>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</si>
  <si>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</si>
  <si>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</si>
  <si>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</si>
  <si>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</si>
  <si>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</si>
  <si>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</si>
  <si>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</si>
  <si>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</si>
  <si>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</si>
  <si>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</si>
  <si>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</si>
  <si>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</si>
  <si>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</si>
  <si>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</si>
  <si>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</si>
  <si>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</si>
  <si>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</si>
  <si>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</si>
  <si>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</si>
  <si>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</si>
  <si>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</si>
  <si>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</si>
  <si>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</si>
  <si>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</si>
  <si>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</si>
  <si>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</si>
  <si>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</si>
  <si>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</si>
  <si>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</si>
  <si>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</si>
  <si>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</si>
  <si>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</si>
  <si>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</si>
  <si>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</si>
  <si>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</si>
  <si>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</si>
  <si>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</si>
  <si>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</si>
  <si>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</si>
  <si>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</si>
  <si>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</si>
  <si>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</si>
  <si>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</si>
  <si>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</si>
  <si>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</si>
  <si>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</si>
  <si>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</si>
  <si>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</si>
  <si>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</si>
  <si>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</si>
  <si>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</si>
  <si>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</si>
  <si>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</si>
  <si>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</si>
  <si>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</si>
  <si>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</si>
  <si>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</si>
  <si>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</si>
  <si>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</si>
  <si>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</si>
  <si>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</si>
  <si>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</si>
  <si>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</si>
  <si>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</si>
  <si>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</si>
  <si>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</si>
  <si>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</si>
  <si>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</si>
  <si>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</si>
  <si>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</si>
  <si>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</si>
  <si>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</si>
  <si>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</si>
  <si>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</si>
  <si>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</si>
  <si>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</si>
  <si>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</si>
  <si>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</si>
  <si>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</si>
  <si>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</si>
  <si>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</si>
  <si>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</si>
  <si>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</si>
  <si>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</si>
  <si>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</si>
  <si>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</si>
  <si>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</si>
  <si>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</si>
  <si>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</si>
  <si>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</si>
  <si>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</si>
  <si>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</si>
  <si>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</si>
  <si>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</si>
  <si>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</si>
  <si>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</si>
  <si>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</si>
  <si>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</si>
  <si>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</si>
  <si>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</si>
  <si>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</si>
  <si>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</si>
  <si>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</si>
  <si>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</si>
  <si>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</si>
  <si>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</si>
  <si>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</si>
  <si>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</si>
  <si>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</si>
  <si>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</si>
  <si>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r>
      <rPr>
        <sz val="10"/>
        <color theme="9" tint="-0.249977111117893"/>
        <rFont val="宋体"/>
        <family val="3"/>
        <charset val="134"/>
      </rPr>
      <t>昌平区英泽路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202</t>
    </r>
    <phoneticPr fontId="6" type="noConversion"/>
  </si>
  <si>
    <t>否</t>
  </si>
  <si>
    <t>办公项目</t>
  </si>
  <si>
    <t>现房</t>
  </si>
  <si>
    <t>是</t>
  </si>
  <si>
    <t>地上</t>
  </si>
  <si>
    <t>商业</t>
    <phoneticPr fontId="7" type="noConversion"/>
  </si>
  <si>
    <t>2层</t>
    <phoneticPr fontId="134" type="noConversion"/>
  </si>
  <si>
    <t>1层</t>
    <phoneticPr fontId="134" type="noConversion"/>
  </si>
  <si>
    <t>成新度</t>
  </si>
  <si>
    <t>北七家镇</t>
    <phoneticPr fontId="3" type="noConversion"/>
  </si>
  <si>
    <t>竣工时间</t>
    <phoneticPr fontId="3" type="noConversion"/>
  </si>
  <si>
    <t>收益法 (元)</t>
  </si>
  <si>
    <t>不临65条商业街</t>
  </si>
  <si>
    <t>与级别开发程度一致</t>
  </si>
  <si>
    <t>按公示增长率计算</t>
  </si>
  <si>
    <t>中心城区以外</t>
  </si>
  <si>
    <t>楼层修正</t>
  </si>
  <si>
    <t>一般</t>
  </si>
  <si>
    <t>较好</t>
  </si>
  <si>
    <t>较差</t>
  </si>
  <si>
    <t>好</t>
  </si>
  <si>
    <t>未包含在土地购买价格中</t>
  </si>
  <si>
    <t>已包含在土地取得成本中</t>
  </si>
  <si>
    <t>押一</t>
  </si>
  <si>
    <t>非生产用房</t>
  </si>
  <si>
    <t>钢混</t>
  </si>
  <si>
    <t>成本法 (元)</t>
  </si>
  <si>
    <t>楼面单价</t>
  </si>
  <si>
    <t>自定义</t>
  </si>
  <si>
    <t>自定义容积率</t>
  </si>
  <si>
    <t>级别平均容积率</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</si>
</sst>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409143</xdr:colOff>
      <xdr:row>57</xdr:row>
      <xdr:rowOff>93971</xdr:rowOff>
    </xdr:to>
    <xdr:pic>
      <xdr:nvPicPr>
        <xdr:cNvPr id="2" name="图片 1">
          <a:extLst>
            <a:ext uri="{FF2B5EF4-FFF2-40B4-BE49-F238E27FC236}">
              <a16:creationId xmlns:a16="http://schemas.microsoft.com/office/drawing/2014/main" id="{4EA708E3-4E1B-477D-3C45-078D03316FDE}"/>
            </a:ext>
          </a:extLst>
        </xdr:cNvPr>
        <xdr:cNvPicPr>
          <a:picLocks noChangeAspect="1"/>
        </xdr:cNvPicPr>
      </xdr:nvPicPr>
      <xdr:blipFill>
        <a:blip xmlns:r="http://schemas.openxmlformats.org/officeDocument/2006/relationships" r:embed="rId1"/>
        <a:stretch>
          <a:fillRect/>
        </a:stretch>
      </xdr:blipFill>
      <xdr:spPr>
        <a:xfrm>
          <a:off x="0" y="0"/>
          <a:ext cx="3457143" cy="10228571"/>
        </a:xfrm>
        <a:prstGeom prst="rect">
          <a:avLst/>
        </a:prstGeom>
      </xdr:spPr>
    </xdr:pic>
    <xdr:clientData/>
  </xdr:twoCellAnchor>
  <xdr:twoCellAnchor editAs="oneCell">
    <xdr:from>
      <xdr:col>6</xdr:col>
      <xdr:colOff>0</xdr:colOff>
      <xdr:row>0</xdr:row>
      <xdr:rowOff>0</xdr:rowOff>
    </xdr:from>
    <xdr:to>
      <xdr:col>11</xdr:col>
      <xdr:colOff>552000</xdr:colOff>
      <xdr:row>54</xdr:row>
      <xdr:rowOff>170228</xdr:rowOff>
    </xdr:to>
    <xdr:pic>
      <xdr:nvPicPr>
        <xdr:cNvPr id="3" name="图片 2">
          <a:extLst>
            <a:ext uri="{FF2B5EF4-FFF2-40B4-BE49-F238E27FC236}">
              <a16:creationId xmlns:a16="http://schemas.microsoft.com/office/drawing/2014/main" id="{3F4E5164-7259-1DD3-4857-E19A49668E2C}"/>
            </a:ext>
          </a:extLst>
        </xdr:cNvPr>
        <xdr:cNvPicPr>
          <a:picLocks noChangeAspect="1"/>
        </xdr:cNvPicPr>
      </xdr:nvPicPr>
      <xdr:blipFill>
        <a:blip xmlns:r="http://schemas.openxmlformats.org/officeDocument/2006/relationships" r:embed="rId2"/>
        <a:stretch>
          <a:fillRect/>
        </a:stretch>
      </xdr:blipFill>
      <xdr:spPr>
        <a:xfrm>
          <a:off x="3657600" y="0"/>
          <a:ext cx="3600000" cy="9771428"/>
        </a:xfrm>
        <a:prstGeom prst="rect">
          <a:avLst/>
        </a:prstGeom>
      </xdr:spPr>
    </xdr:pic>
    <xdr:clientData/>
  </xdr:twoCellAnchor>
  <xdr:twoCellAnchor editAs="oneCell">
    <xdr:from>
      <xdr:col>12</xdr:col>
      <xdr:colOff>6350</xdr:colOff>
      <xdr:row>0</xdr:row>
      <xdr:rowOff>0</xdr:rowOff>
    </xdr:from>
    <xdr:to>
      <xdr:col>33</xdr:col>
      <xdr:colOff>519036</xdr:colOff>
      <xdr:row>52</xdr:row>
      <xdr:rowOff>97257</xdr:rowOff>
    </xdr:to>
    <xdr:pic>
      <xdr:nvPicPr>
        <xdr:cNvPr id="4" name="图片 3">
          <a:extLst>
            <a:ext uri="{FF2B5EF4-FFF2-40B4-BE49-F238E27FC236}">
              <a16:creationId xmlns:a16="http://schemas.microsoft.com/office/drawing/2014/main" id="{DCAB3732-329F-AB20-0881-52D90DD1B7C5}"/>
            </a:ext>
          </a:extLst>
        </xdr:cNvPr>
        <xdr:cNvPicPr>
          <a:picLocks noChangeAspect="1"/>
        </xdr:cNvPicPr>
      </xdr:nvPicPr>
      <xdr:blipFill>
        <a:blip xmlns:r="http://schemas.openxmlformats.org/officeDocument/2006/relationships" r:embed="rId3"/>
        <a:stretch>
          <a:fillRect/>
        </a:stretch>
      </xdr:blipFill>
      <xdr:spPr>
        <a:xfrm>
          <a:off x="7321550" y="0"/>
          <a:ext cx="13314286" cy="9342857"/>
        </a:xfrm>
        <a:prstGeom prst="rect">
          <a:avLst/>
        </a:prstGeom>
      </xdr:spPr>
    </xdr:pic>
    <xdr:clientData/>
  </xdr:twoCellAnchor>
  <xdr:twoCellAnchor editAs="oneCell">
    <xdr:from>
      <xdr:col>0</xdr:col>
      <xdr:colOff>0</xdr:colOff>
      <xdr:row>59</xdr:row>
      <xdr:rowOff>0</xdr:rowOff>
    </xdr:from>
    <xdr:to>
      <xdr:col>6</xdr:col>
      <xdr:colOff>28114</xdr:colOff>
      <xdr:row>114</xdr:row>
      <xdr:rowOff>21000</xdr:rowOff>
    </xdr:to>
    <xdr:pic>
      <xdr:nvPicPr>
        <xdr:cNvPr id="5" name="图片 4">
          <a:extLst>
            <a:ext uri="{FF2B5EF4-FFF2-40B4-BE49-F238E27FC236}">
              <a16:creationId xmlns:a16="http://schemas.microsoft.com/office/drawing/2014/main" id="{E5EDEB8D-D413-C582-A91F-4F5DA2F4268C}"/>
            </a:ext>
          </a:extLst>
        </xdr:cNvPr>
        <xdr:cNvPicPr>
          <a:picLocks noChangeAspect="1"/>
        </xdr:cNvPicPr>
      </xdr:nvPicPr>
      <xdr:blipFill>
        <a:blip xmlns:r="http://schemas.openxmlformats.org/officeDocument/2006/relationships" r:embed="rId4"/>
        <a:stretch>
          <a:fillRect/>
        </a:stretch>
      </xdr:blipFill>
      <xdr:spPr>
        <a:xfrm>
          <a:off x="0" y="10490200"/>
          <a:ext cx="3685714" cy="9800000"/>
        </a:xfrm>
        <a:prstGeom prst="rect">
          <a:avLst/>
        </a:prstGeom>
      </xdr:spPr>
    </xdr:pic>
    <xdr:clientData/>
  </xdr:twoCellAnchor>
  <xdr:twoCellAnchor editAs="oneCell">
    <xdr:from>
      <xdr:col>7</xdr:col>
      <xdr:colOff>0</xdr:colOff>
      <xdr:row>59</xdr:row>
      <xdr:rowOff>0</xdr:rowOff>
    </xdr:from>
    <xdr:to>
      <xdr:col>13</xdr:col>
      <xdr:colOff>256686</xdr:colOff>
      <xdr:row>115</xdr:row>
      <xdr:rowOff>71771</xdr:rowOff>
    </xdr:to>
    <xdr:pic>
      <xdr:nvPicPr>
        <xdr:cNvPr id="6" name="图片 5">
          <a:extLst>
            <a:ext uri="{FF2B5EF4-FFF2-40B4-BE49-F238E27FC236}">
              <a16:creationId xmlns:a16="http://schemas.microsoft.com/office/drawing/2014/main" id="{C7490CBD-10C0-2985-28B4-50AD02D895EC}"/>
            </a:ext>
          </a:extLst>
        </xdr:cNvPr>
        <xdr:cNvPicPr>
          <a:picLocks noChangeAspect="1"/>
        </xdr:cNvPicPr>
      </xdr:nvPicPr>
      <xdr:blipFill>
        <a:blip xmlns:r="http://schemas.openxmlformats.org/officeDocument/2006/relationships" r:embed="rId5"/>
        <a:stretch>
          <a:fillRect/>
        </a:stretch>
      </xdr:blipFill>
      <xdr:spPr>
        <a:xfrm>
          <a:off x="4267200" y="10490200"/>
          <a:ext cx="3914286" cy="10028571"/>
        </a:xfrm>
        <a:prstGeom prst="rect">
          <a:avLst/>
        </a:prstGeom>
      </xdr:spPr>
    </xdr:pic>
    <xdr:clientData/>
  </xdr:twoCellAnchor>
  <xdr:twoCellAnchor editAs="oneCell">
    <xdr:from>
      <xdr:col>18</xdr:col>
      <xdr:colOff>0</xdr:colOff>
      <xdr:row>58</xdr:row>
      <xdr:rowOff>0</xdr:rowOff>
    </xdr:from>
    <xdr:to>
      <xdr:col>24</xdr:col>
      <xdr:colOff>542400</xdr:colOff>
      <xdr:row>100</xdr:row>
      <xdr:rowOff>46686</xdr:rowOff>
    </xdr:to>
    <xdr:pic>
      <xdr:nvPicPr>
        <xdr:cNvPr id="7" name="图片 6">
          <a:extLst>
            <a:ext uri="{FF2B5EF4-FFF2-40B4-BE49-F238E27FC236}">
              <a16:creationId xmlns:a16="http://schemas.microsoft.com/office/drawing/2014/main" id="{B9412CFF-B80E-DE61-D018-6F141C04928A}"/>
            </a:ext>
          </a:extLst>
        </xdr:cNvPr>
        <xdr:cNvPicPr>
          <a:picLocks noChangeAspect="1"/>
        </xdr:cNvPicPr>
      </xdr:nvPicPr>
      <xdr:blipFill>
        <a:blip xmlns:r="http://schemas.openxmlformats.org/officeDocument/2006/relationships" r:embed="rId6"/>
        <a:stretch>
          <a:fillRect/>
        </a:stretch>
      </xdr:blipFill>
      <xdr:spPr>
        <a:xfrm>
          <a:off x="10972800" y="10312400"/>
          <a:ext cx="4200000" cy="7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82550</xdr:rowOff>
    </xdr:from>
    <xdr:to>
      <xdr:col>12</xdr:col>
      <xdr:colOff>67948</xdr:colOff>
      <xdr:row>31</xdr:row>
      <xdr:rowOff>141536</xdr:rowOff>
    </xdr:to>
    <xdr:pic>
      <xdr:nvPicPr>
        <xdr:cNvPr id="2" name="图片 1">
          <a:extLst>
            <a:ext uri="{FF2B5EF4-FFF2-40B4-BE49-F238E27FC236}">
              <a16:creationId xmlns:a16="http://schemas.microsoft.com/office/drawing/2014/main" id="{4F6C27B4-EFEA-BF53-4CEC-9A852C02FA10}"/>
            </a:ext>
          </a:extLst>
        </xdr:cNvPr>
        <xdr:cNvPicPr>
          <a:picLocks noChangeAspect="1"/>
        </xdr:cNvPicPr>
      </xdr:nvPicPr>
      <xdr:blipFill>
        <a:blip xmlns:r="http://schemas.openxmlformats.org/officeDocument/2006/relationships" r:embed="rId1"/>
        <a:stretch>
          <a:fillRect/>
        </a:stretch>
      </xdr:blipFill>
      <xdr:spPr>
        <a:xfrm>
          <a:off x="0" y="82550"/>
          <a:ext cx="7383148" cy="5570786"/>
        </a:xfrm>
        <a:prstGeom prst="rect">
          <a:avLst/>
        </a:prstGeom>
      </xdr:spPr>
    </xdr:pic>
    <xdr:clientData/>
  </xdr:twoCellAnchor>
  <xdr:twoCellAnchor editAs="oneCell">
    <xdr:from>
      <xdr:col>0</xdr:col>
      <xdr:colOff>126875</xdr:colOff>
      <xdr:row>2</xdr:row>
      <xdr:rowOff>88900</xdr:rowOff>
    </xdr:from>
    <xdr:to>
      <xdr:col>6</xdr:col>
      <xdr:colOff>161043</xdr:colOff>
      <xdr:row>23</xdr:row>
      <xdr:rowOff>151493</xdr:rowOff>
    </xdr:to>
    <xdr:pic>
      <xdr:nvPicPr>
        <xdr:cNvPr id="3" name="图片 2">
          <a:extLst>
            <a:ext uri="{FF2B5EF4-FFF2-40B4-BE49-F238E27FC236}">
              <a16:creationId xmlns:a16="http://schemas.microsoft.com/office/drawing/2014/main" id="{E7BF2443-81DB-5DD9-27A2-DB7EBF589334}"/>
            </a:ext>
          </a:extLst>
        </xdr:cNvPr>
        <xdr:cNvPicPr>
          <a:picLocks noChangeAspect="1"/>
        </xdr:cNvPicPr>
      </xdr:nvPicPr>
      <xdr:blipFill>
        <a:blip xmlns:r="http://schemas.openxmlformats.org/officeDocument/2006/relationships" r:embed="rId2"/>
        <a:stretch>
          <a:fillRect/>
        </a:stretch>
      </xdr:blipFill>
      <xdr:spPr>
        <a:xfrm>
          <a:off x="126875" y="444500"/>
          <a:ext cx="3691768" cy="3796393"/>
        </a:xfrm>
        <a:prstGeom prst="rect">
          <a:avLst/>
        </a:prstGeom>
      </xdr:spPr>
    </xdr:pic>
    <xdr:clientData/>
  </xdr:twoCellAnchor>
  <xdr:twoCellAnchor editAs="oneCell">
    <xdr:from>
      <xdr:col>0</xdr:col>
      <xdr:colOff>0</xdr:colOff>
      <xdr:row>35</xdr:row>
      <xdr:rowOff>31750</xdr:rowOff>
    </xdr:from>
    <xdr:to>
      <xdr:col>12</xdr:col>
      <xdr:colOff>286276</xdr:colOff>
      <xdr:row>72</xdr:row>
      <xdr:rowOff>106521</xdr:rowOff>
    </xdr:to>
    <xdr:pic>
      <xdr:nvPicPr>
        <xdr:cNvPr id="4" name="图片 3">
          <a:extLst>
            <a:ext uri="{FF2B5EF4-FFF2-40B4-BE49-F238E27FC236}">
              <a16:creationId xmlns:a16="http://schemas.microsoft.com/office/drawing/2014/main" id="{595F1FF8-28CE-38C1-0997-9474FD31BB46}"/>
            </a:ext>
          </a:extLst>
        </xdr:cNvPr>
        <xdr:cNvPicPr>
          <a:picLocks noChangeAspect="1"/>
        </xdr:cNvPicPr>
      </xdr:nvPicPr>
      <xdr:blipFill>
        <a:blip xmlns:r="http://schemas.openxmlformats.org/officeDocument/2006/relationships" r:embed="rId3"/>
        <a:stretch>
          <a:fillRect/>
        </a:stretch>
      </xdr:blipFill>
      <xdr:spPr>
        <a:xfrm>
          <a:off x="0" y="6254750"/>
          <a:ext cx="7601476" cy="6653371"/>
        </a:xfrm>
        <a:prstGeom prst="rect">
          <a:avLst/>
        </a:prstGeom>
      </xdr:spPr>
    </xdr:pic>
    <xdr:clientData/>
  </xdr:twoCellAnchor>
  <xdr:twoCellAnchor editAs="oneCell">
    <xdr:from>
      <xdr:col>0</xdr:col>
      <xdr:colOff>63501</xdr:colOff>
      <xdr:row>33</xdr:row>
      <xdr:rowOff>95250</xdr:rowOff>
    </xdr:from>
    <xdr:to>
      <xdr:col>5</xdr:col>
      <xdr:colOff>280273</xdr:colOff>
      <xdr:row>59</xdr:row>
      <xdr:rowOff>151100</xdr:rowOff>
    </xdr:to>
    <xdr:pic>
      <xdr:nvPicPr>
        <xdr:cNvPr id="5" name="图片 4">
          <a:extLst>
            <a:ext uri="{FF2B5EF4-FFF2-40B4-BE49-F238E27FC236}">
              <a16:creationId xmlns:a16="http://schemas.microsoft.com/office/drawing/2014/main" id="{D14AB58F-657C-E93B-A713-15DDF4730134}"/>
            </a:ext>
          </a:extLst>
        </xdr:cNvPr>
        <xdr:cNvPicPr>
          <a:picLocks noChangeAspect="1"/>
        </xdr:cNvPicPr>
      </xdr:nvPicPr>
      <xdr:blipFill>
        <a:blip xmlns:r="http://schemas.openxmlformats.org/officeDocument/2006/relationships" r:embed="rId4"/>
        <a:stretch>
          <a:fillRect/>
        </a:stretch>
      </xdr:blipFill>
      <xdr:spPr>
        <a:xfrm>
          <a:off x="63501" y="5962650"/>
          <a:ext cx="3264772" cy="4678650"/>
        </a:xfrm>
        <a:prstGeom prst="rect">
          <a:avLst/>
        </a:prstGeom>
      </xdr:spPr>
    </xdr:pic>
    <xdr:clientData/>
  </xdr:twoCellAnchor>
  <xdr:twoCellAnchor editAs="oneCell">
    <xdr:from>
      <xdr:col>20</xdr:col>
      <xdr:colOff>468630</xdr:colOff>
      <xdr:row>4</xdr:row>
      <xdr:rowOff>76200</xdr:rowOff>
    </xdr:from>
    <xdr:to>
      <xdr:col>36</xdr:col>
      <xdr:colOff>119007</xdr:colOff>
      <xdr:row>44</xdr:row>
      <xdr:rowOff>119400</xdr:rowOff>
    </xdr:to>
    <xdr:pic>
      <xdr:nvPicPr>
        <xdr:cNvPr id="6" name="图片 5">
          <a:extLst>
            <a:ext uri="{FF2B5EF4-FFF2-40B4-BE49-F238E27FC236}">
              <a16:creationId xmlns:a16="http://schemas.microsoft.com/office/drawing/2014/main" id="{7826B0A8-C281-46EC-AB78-663C256F97AA}"/>
            </a:ext>
          </a:extLst>
        </xdr:cNvPr>
        <xdr:cNvPicPr>
          <a:picLocks noChangeAspect="1"/>
        </xdr:cNvPicPr>
      </xdr:nvPicPr>
      <xdr:blipFill>
        <a:blip xmlns:r="http://schemas.openxmlformats.org/officeDocument/2006/relationships" r:embed="rId5"/>
        <a:stretch>
          <a:fillRect/>
        </a:stretch>
      </xdr:blipFill>
      <xdr:spPr>
        <a:xfrm>
          <a:off x="12660630" y="787400"/>
          <a:ext cx="9403977" cy="715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183413</xdr:colOff>
      <xdr:row>24</xdr:row>
      <xdr:rowOff>152400</xdr:rowOff>
    </xdr:to>
    <xdr:pic>
      <xdr:nvPicPr>
        <xdr:cNvPr id="2" name="图片 1">
          <a:extLst>
            <a:ext uri="{FF2B5EF4-FFF2-40B4-BE49-F238E27FC236}">
              <a16:creationId xmlns:a16="http://schemas.microsoft.com/office/drawing/2014/main" id="{66CDF83B-957B-3D1F-8FBC-3860C978267B}"/>
            </a:ext>
          </a:extLst>
        </xdr:cNvPr>
        <xdr:cNvPicPr>
          <a:picLocks noChangeAspect="1"/>
        </xdr:cNvPicPr>
      </xdr:nvPicPr>
      <xdr:blipFill>
        <a:blip xmlns:r="http://schemas.openxmlformats.org/officeDocument/2006/relationships" r:embed="rId1"/>
        <a:stretch>
          <a:fillRect/>
        </a:stretch>
      </xdr:blipFill>
      <xdr:spPr>
        <a:xfrm>
          <a:off x="1" y="0"/>
          <a:ext cx="9327412" cy="441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北京市昌平区英泽路8号院4号楼2层202房地产抵押价值预评估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受贵公司委托，我公司对北京市昌平区英泽路8号院4号楼2层202房地产抵押价值进行了预评估。</v>
      </c>
    </row>
    <row r="7" spans="1:2">
      <c r="A7" s="1119" t="s">
        <v>566</v>
      </c>
      <c r="B7" s="1120" t="str">
        <f>'预评函-1'!A7</f>
        <v>估价对象为北京市昌平区英泽路8号院4号楼2层202房地产，为所有。根据《国有土地使用证》[]，估价对象（分摊）出让国有建设用地使用权面积为0平方米，建筑面积为1011.59平方米。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英泽路8号院4号楼2层202房地产,属开发建设的办公项目，该项目尚在开发建设中。根据《国有土地使用证》[]，估价对象（分摊）出让国有建设用地使用权面积为0平方米，规划建筑面积为1011.59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英泽路8号院4号楼2层202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2025年10月23日</v>
      </c>
    </row>
    <row r="13" spans="1:2">
      <c r="A13" s="1119" t="s">
        <v>529</v>
      </c>
      <c r="B13" s="1120" t="str">
        <f>'预评函-1'!A18</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2153</v>
      </c>
    </row>
    <row r="21" spans="1:2">
      <c r="A21" s="1119" t="s">
        <v>537</v>
      </c>
      <c r="B21" s="1120">
        <f ca="1">'预评函-2'!D7</f>
        <v>21282</v>
      </c>
    </row>
    <row r="22" spans="1:2">
      <c r="A22" s="1119" t="s">
        <v>538</v>
      </c>
      <c r="B22" s="1120" t="str">
        <f ca="1">'预评函-2'!D6</f>
        <v>贰仟壹佰伍拾叁万元整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2153</v>
      </c>
    </row>
    <row r="31" spans="1:2">
      <c r="A31" s="1119" t="s">
        <v>576</v>
      </c>
      <c r="B31" s="1120">
        <f ca="1">'预评函-2'!D15</f>
        <v>21282</v>
      </c>
    </row>
    <row r="32" spans="1:2">
      <c r="A32" s="1119" t="s">
        <v>543</v>
      </c>
      <c r="B32" s="1120" t="str">
        <f ca="1">'预评函-2'!D14</f>
        <v>贰仟壹佰伍拾叁万元整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北京市昌平区英泽路8号院4号楼2层202房地产</v>
      </c>
    </row>
    <row r="42" spans="1:2" ht="30">
      <c r="A42" s="1119" t="s">
        <v>590</v>
      </c>
      <c r="B42" s="1120" t="str">
        <f>'预评函-3'!B2</f>
        <v>建筑面积</v>
      </c>
    </row>
    <row r="43" spans="1:2">
      <c r="A43" s="1119" t="s">
        <v>591</v>
      </c>
      <c r="B43" s="1120">
        <f>'预评函-3'!B4</f>
        <v>1011.59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泽路8号院4号楼2层202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45953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1.1499999999999999</v>
      </c>
      <c r="D5" s="2766">
        <f>IF(ISERROR(ROUND(POWER(1+E5,A5-C5)*(POWER(1+E5,C5)-1)/(POWER(1+E5,A5)-1),3)),0,ROUND(POWER(1+E5,A5-C5)*(POWER(1+E5,C5)-1)/(POWER(1+E5,A5)-1),4))</f>
        <v>5.57E-2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11.16</v>
      </c>
      <c r="D6" s="2766">
        <f>IF(ISERROR(ROUND(POWER(1+E6,A6-C6)*(POWER(1+E6,C6)-1)/(POWER(1+E6,A6)-1),3)),0,ROUND(POWER(1+E6,A6-C6)*(POWER(1+E6,C6)-1)/(POWER(1+E6,A6)-1),4))</f>
        <v>0.41249999999999998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31.17</v>
      </c>
      <c r="D7" s="2766">
        <f>IF(ISERROR(ROUND(POWER(1+E7,A7-C7)*(POWER(1+E7,C7)-1)/(POWER(1+E7,A7)-1),3)),0,ROUND(POWER(1+E7,A7-C7)*(POWER(1+E7,C7)-1)/(POWER(1+E7,A7)-1),4))</f>
        <v>0.75390000000000001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1" sqref="F1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17" t="str">
        <f>IF(B10="北京市","北京市",C10)&amp;F10&amp;IF(结果表!G1="在建","出让国有建设用地使用权及在建建筑物",IF(结果表!G1="土地","出让国有建设用地使用权",))&amp;B9&amp;"预评估"</f>
        <v>北京市昌平区英泽路8号院4号楼2层202房地产抵押价值预评估</v>
      </c>
      <c r="C1" s="3218"/>
      <c r="D1" s="3218"/>
      <c r="E1" s="3218"/>
      <c r="F1" s="3218"/>
      <c r="G1" s="3218"/>
      <c r="H1" s="3218"/>
      <c r="I1" s="3219"/>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北京市昌平区英泽路8号院4号楼2层202房地产抵押价值</v>
      </c>
      <c r="T1" s="1618"/>
      <c r="U1" s="1618"/>
      <c r="V1" s="1618"/>
      <c r="W1" s="1618"/>
      <c r="X1" s="1618"/>
      <c r="Y1" s="1618"/>
      <c r="Z1" s="1618"/>
      <c r="AA1" s="1618"/>
      <c r="AB1" s="1618"/>
    </row>
    <row r="2" spans="1:30" ht="13">
      <c r="A2" s="2181" t="s">
        <v>2169</v>
      </c>
      <c r="B2" s="122"/>
      <c r="D2" s="2446"/>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北京市昌平区英泽路8号院4号楼2层202房地产</v>
      </c>
      <c r="T2" s="1618"/>
      <c r="U2" s="1618"/>
      <c r="V2" s="1618"/>
      <c r="W2" s="1618"/>
      <c r="X2" s="1618"/>
      <c r="Y2" s="1618"/>
      <c r="Z2" s="1618"/>
      <c r="AA2" s="1618"/>
      <c r="AB2" s="1618"/>
    </row>
    <row r="3" spans="1:30" ht="13">
      <c r="A3" s="294" t="s">
        <v>2170</v>
      </c>
      <c r="B3" s="2184"/>
      <c r="C3" s="2185" t="s">
        <v>2171</v>
      </c>
      <c r="D3" s="2184">
        <v>45953</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ht="13">
      <c r="A7" s="2193" t="s">
        <v>2175</v>
      </c>
      <c r="B7" s="2197"/>
      <c r="C7" s="2195"/>
      <c r="D7" s="2196"/>
      <c r="E7" s="2440"/>
      <c r="F7" s="2441"/>
      <c r="G7" s="2441"/>
      <c r="H7" s="2441"/>
      <c r="I7" s="2441"/>
      <c r="J7" s="2244"/>
      <c r="K7" s="2401"/>
      <c r="L7" s="2398"/>
      <c r="M7" s="2398"/>
      <c r="N7" s="2244"/>
      <c r="O7" s="1670"/>
      <c r="P7" s="2244"/>
      <c r="Q7" s="2244"/>
      <c r="R7" s="2244"/>
    </row>
    <row r="8" spans="1:30" ht="13">
      <c r="A8" s="2198" t="s">
        <v>2176</v>
      </c>
      <c r="B8" s="2199" t="s">
        <v>3416</v>
      </c>
      <c r="C8" s="2200"/>
      <c r="D8" s="3220" t="s">
        <v>2177</v>
      </c>
      <c r="E8" s="2201" t="s">
        <v>3417</v>
      </c>
      <c r="F8" s="2202"/>
      <c r="G8" s="2441"/>
      <c r="H8" s="2441"/>
      <c r="I8" s="2441"/>
      <c r="J8" s="2244"/>
      <c r="K8" s="2399"/>
      <c r="L8" s="2398"/>
      <c r="M8" s="2398"/>
      <c r="N8" s="2244"/>
      <c r="O8" s="1670"/>
      <c r="P8" s="2244"/>
      <c r="Q8" s="2244"/>
      <c r="R8" s="2244"/>
    </row>
    <row r="9" spans="1:30" ht="13.5" thickBot="1">
      <c r="A9" s="2203" t="s">
        <v>2178</v>
      </c>
      <c r="B9" s="2204" t="s">
        <v>3417</v>
      </c>
      <c r="C9" s="2205"/>
      <c r="D9" s="3221"/>
      <c r="E9" s="2204"/>
      <c r="F9" s="2206"/>
      <c r="G9" s="2442"/>
      <c r="H9" s="2442"/>
      <c r="I9" s="2442"/>
      <c r="J9" s="2244"/>
      <c r="K9" s="2401"/>
      <c r="L9" s="2398"/>
      <c r="M9" s="2398"/>
      <c r="N9" s="2244"/>
      <c r="O9" s="1670"/>
      <c r="P9" s="2244"/>
      <c r="Q9" s="2244"/>
      <c r="R9" s="2244"/>
    </row>
    <row r="10" spans="1:30" ht="13.5" thickTop="1">
      <c r="A10" s="2207" t="s">
        <v>2179</v>
      </c>
      <c r="B10" s="2208" t="s">
        <v>3418</v>
      </c>
      <c r="C10" s="2209"/>
      <c r="D10" s="2192"/>
      <c r="E10" s="2210" t="s">
        <v>2180</v>
      </c>
      <c r="F10" s="3505" t="s">
        <v>3420</v>
      </c>
      <c r="G10" s="2443"/>
      <c r="H10" s="2444"/>
      <c r="I10" s="2445"/>
      <c r="J10" s="2244"/>
      <c r="K10" s="2401"/>
      <c r="L10" s="2398"/>
      <c r="M10" s="2398"/>
      <c r="N10" s="2244"/>
      <c r="O10" s="1670"/>
      <c r="P10" s="2244"/>
      <c r="Q10" s="2244"/>
      <c r="R10" s="2244"/>
    </row>
    <row r="11" spans="1:30" ht="13">
      <c r="A11" s="2211" t="s">
        <v>2181</v>
      </c>
      <c r="B11" s="2212" t="s">
        <v>3419</v>
      </c>
      <c r="C11" s="2213"/>
      <c r="D11" s="2214"/>
      <c r="E11" s="2181"/>
      <c r="F11" s="2181"/>
      <c r="G11" s="2181"/>
      <c r="H11" s="2181"/>
      <c r="I11" s="2181"/>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56314</v>
      </c>
      <c r="E13" s="803"/>
      <c r="F13" s="803"/>
      <c r="G13" s="803"/>
      <c r="H13" s="803"/>
      <c r="I13" s="803"/>
      <c r="J13" s="2801"/>
      <c r="K13" s="2398"/>
      <c r="L13" s="2398"/>
      <c r="M13" s="2244"/>
      <c r="N13" s="1670"/>
      <c r="O13" s="2244"/>
      <c r="P13" s="2244"/>
      <c r="Q13" s="2244"/>
      <c r="AD13" s="1618"/>
    </row>
    <row r="14" spans="1:30" ht="13">
      <c r="A14" s="1018"/>
      <c r="B14" s="2217" t="s">
        <v>2191</v>
      </c>
      <c r="C14" s="2218"/>
      <c r="D14" s="2218"/>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28.38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0"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1011.59</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3421</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3422</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3423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2"/>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304</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288</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ht="13">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1011.59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1011.59</v>
      </c>
      <c r="H5" s="13">
        <f t="shared" ref="H5:AT5" si="0">SUM(H13:H656)</f>
        <v>1011.59</v>
      </c>
      <c r="I5" s="13">
        <f t="shared" si="0"/>
        <v>1011.59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1011.59</v>
      </c>
      <c r="BA5" s="15">
        <f t="shared" si="1"/>
        <v>1011.59</v>
      </c>
      <c r="BB5" s="15">
        <f t="shared" si="1"/>
        <v>1011.59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3424</v>
      </c>
      <c r="E13" s="13">
        <f>IF($C$3="是",ROUND($A$3*G13/$B$3,2),ROUND($A$3*(G13-AT13)/$B$3,2))</f>
        <v>0</v>
      </c>
      <c r="F13" s="29"/>
      <c r="G13" s="30">
        <f>H13+AC13+AT13</f>
        <v>1011.59</v>
      </c>
      <c r="H13" s="17">
        <f>SUMIF(I$12:AB$12,"总值",I13:AB13)</f>
        <v>1011.59</v>
      </c>
      <c r="I13" s="1514">
        <v>1011.59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1011.59</v>
      </c>
      <c r="BA13" s="13">
        <f>SUM(BB13:BK13)</f>
        <v>1011.59</v>
      </c>
      <c r="BB13" s="13">
        <f>IF($D13="是",I13-J13,0)</f>
        <v>1011.59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5" t="s">
        <v>1132</v>
      </c>
      <c r="J2" s="2438"/>
      <c r="K2" s="2438"/>
      <c r="L2" s="2438"/>
      <c r="M2" s="2438"/>
      <c r="N2" s="2439"/>
      <c r="O2" s="2438"/>
      <c r="P2" s="2438"/>
    </row>
    <row r="3" spans="1:16" ht="14.5" thickBot="1">
      <c r="A3" s="3249" t="s">
        <v>1105</v>
      </c>
      <c r="B3" s="3249"/>
      <c r="C3" s="3249"/>
      <c r="D3" s="41">
        <f>'数据-基础表'!AY6</f>
        <v>0</v>
      </c>
      <c r="E3" s="41">
        <f>'数据-基础表'!AZ5</f>
        <v>1011.59</v>
      </c>
      <c r="F3" s="2438"/>
      <c r="G3" s="42"/>
      <c r="H3" s="43" t="s">
        <v>1106</v>
      </c>
      <c r="I3" s="802" t="e">
        <f>ROUND('数据-基础表'!B3/'数据-基础表'!A3,2)</f>
        <v>#DIV/0!</v>
      </c>
      <c r="J3" s="2438"/>
      <c r="K3" s="2438"/>
      <c r="L3" s="2438"/>
      <c r="M3" s="2438"/>
      <c r="N3" s="2439"/>
      <c r="O3" s="2438"/>
      <c r="P3" s="2438"/>
    </row>
    <row r="4" spans="1:16">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3" t="s">
        <v>1111</v>
      </c>
      <c r="C6" s="3253"/>
      <c r="D6" s="43">
        <f>ROUND($D$3*E6/$E$3,2)</f>
        <v>0</v>
      </c>
      <c r="E6" s="44">
        <f>E3-E5</f>
        <v>1011.59</v>
      </c>
      <c r="F6" s="2438"/>
      <c r="G6" s="1529" t="s">
        <v>1112</v>
      </c>
      <c r="H6" s="45" t="s">
        <v>1113</v>
      </c>
      <c r="I6" s="2434" t="e">
        <f>ROUND(F31/D31,2)</f>
        <v>#DIV/0!</v>
      </c>
      <c r="J6" s="2438"/>
      <c r="K6" s="2438"/>
      <c r="L6" s="2438"/>
      <c r="M6" s="2438"/>
      <c r="N6" s="2438"/>
      <c r="O6" s="2438"/>
      <c r="P6" s="2438"/>
    </row>
    <row r="7" spans="1:16" ht="14.5" thickBot="1">
      <c r="A7" s="3245"/>
      <c r="B7" s="3246"/>
      <c r="C7" s="3247"/>
      <c r="D7" s="1524" t="s">
        <v>1107</v>
      </c>
      <c r="E7" s="1528" t="s">
        <v>1114</v>
      </c>
      <c r="F7" s="2438"/>
      <c r="G7" s="2435" t="s">
        <v>1115</v>
      </c>
      <c r="H7" s="95"/>
      <c r="I7" s="2436">
        <v>2.5</v>
      </c>
      <c r="J7" s="3509" t="s">
        <v>3451</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1011.59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1011.59</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3426</v>
      </c>
      <c r="D19" s="43">
        <f>ROUND($D$3*E19/$E$3,2)</f>
        <v>0</v>
      </c>
      <c r="E19" s="51">
        <f t="shared" ref="E19:E26" si="1">SUM(F19:G19)</f>
        <v>1011.59</v>
      </c>
      <c r="F19" s="2556">
        <f>'数据-基础表'!G13</f>
        <v>1011.59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1011.59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1011.59</v>
      </c>
      <c r="F27" s="1072">
        <f>IF(SUM(F19:F26)=E8,SUM(F19:F26),"地上面积有误")</f>
        <v>1011.59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1011.59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1011.59</v>
      </c>
      <c r="F31" s="644">
        <f>F27+F30</f>
        <v>1011.59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L6" sqref="AL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0</v>
      </c>
      <c r="E6" s="804">
        <f>IF(B6="","",SUMIF(项目基本情况!C$12:I$12,C6,项目基本情况!C$13:I$13))</f>
        <v>56314</v>
      </c>
      <c r="F6" s="61">
        <f>SUMIF(项目基本情况!C$12:I$12,C6,项目基本情况!C$15:I$15)</f>
        <v>28.38</v>
      </c>
      <c r="G6" s="62">
        <f>IF(ISERROR(ROUND(POWER(1+H6,D6-F6)*(POWER(1+H6,F6)-1)/(POWER(1+H6,D6)-1),3)),0,ROUND(POWER(1+H6,D6-F6)*(POWER(1+H6,F6)-1)/(POWER(1+H6,D6)-1),3))</f>
        <v>0</v>
      </c>
      <c r="H6" s="691">
        <v>0.05</v>
      </c>
      <c r="I6" s="691">
        <v>5.5E-2</v>
      </c>
      <c r="J6" s="63">
        <v>7.0000000000000007E-2</v>
      </c>
      <c r="K6" s="970">
        <f>SUMIF('数据-汇总表'!C$19:C$33,A6,'数据-汇总表'!E$19:E$33)</f>
        <v>1011.59</v>
      </c>
      <c r="L6" s="692">
        <v>3500</v>
      </c>
      <c r="M6" s="64">
        <f t="shared" ref="M6:M14" si="0">ROUND(K6*L6/10000,0)</f>
        <v>354</v>
      </c>
      <c r="N6" s="690">
        <f>N19</f>
        <v>0.97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4.4000000000000004</v>
      </c>
      <c r="V6" s="67">
        <v>0.02</v>
      </c>
      <c r="W6" s="67">
        <v>0.1</v>
      </c>
      <c r="X6" s="979"/>
      <c r="Y6" s="68">
        <f>N6</f>
        <v>0.97</v>
      </c>
      <c r="Z6" s="69"/>
      <c r="AA6" s="63"/>
      <c r="AB6" s="63"/>
      <c r="AC6" s="979"/>
      <c r="AD6" s="70"/>
      <c r="AE6" s="980">
        <f ca="1">IF(AN6="",0,SUMIF(INDIRECT("'"&amp;AN6&amp;"'"&amp;"!E:E"),$AE$5,INDIRECT("'"&amp;AN6&amp;"'"&amp;"!F:F")))</f>
        <v>28.38</v>
      </c>
      <c r="AF6" s="74"/>
      <c r="AG6" s="130">
        <f>IF(AF6="",0,AE6-AF6)</f>
        <v>0</v>
      </c>
      <c r="AH6" s="71"/>
      <c r="AI6" s="73">
        <v>365</v>
      </c>
      <c r="AJ6" s="74"/>
      <c r="AK6" s="75">
        <v>5.0000000000000001E-3</v>
      </c>
      <c r="AL6" s="76">
        <v>1E-3</v>
      </c>
      <c r="AM6" s="77">
        <v>0.01</v>
      </c>
      <c r="AN6" s="1589" t="s">
        <v>3432</v>
      </c>
      <c r="AO6" s="50">
        <f ca="1">SUMIF(INDIRECT("'"&amp;AN6&amp;"'"&amp;"!A:A"),"总价",INDIRECT("'"&amp;AN6&amp;"'"&amp;"!B:B"))</f>
        <v>2333.6188999999999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1011.59</v>
      </c>
      <c r="L16" s="87">
        <f>ROUND(M16*10000/SUM(K6:K14),0)</f>
        <v>3499</v>
      </c>
      <c r="M16" s="87">
        <f>SUM(M6:M14)</f>
        <v>354</v>
      </c>
      <c r="N16" s="88">
        <f>ROUND(SUMPRODUCT(M6:M14,N6:N14)/M16,3)</f>
        <v>0.97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507" t="s">
        <v>3431</v>
      </c>
      <c r="N18" s="2447">
        <v>2023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0.97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506" t="s">
        <v>3430</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0" sqref="I20"/>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1011.59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45953</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2153</v>
      </c>
      <c r="C5" s="2299">
        <f ca="1">IF(B5=D14,结果表!H102,ROUND(B5*10000/$B$1,0))</f>
        <v>21282</v>
      </c>
      <c r="D5" s="2299" t="e">
        <f ca="1">ROUND(B5*10000/$B$2,0)</f>
        <v>#DIV/0!</v>
      </c>
      <c r="E5" s="2460"/>
      <c r="F5" s="2461"/>
      <c r="G5" s="2461"/>
      <c r="H5" s="2461"/>
      <c r="I5" s="2461"/>
      <c r="J5" s="2461"/>
      <c r="K5" s="2461"/>
    </row>
    <row r="6" spans="1:11" ht="16.5">
      <c r="A6" s="2299" t="s">
        <v>656</v>
      </c>
      <c r="B6" s="2299">
        <f ca="1">SUM(G14:G23)</f>
        <v>2153</v>
      </c>
      <c r="C6" s="2299">
        <f ca="1">IF(B6=G14,结果表!H108,ROUND(B6*10000/$B$1,0))</f>
        <v>21282</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1011.59</v>
      </c>
      <c r="C14" s="2305"/>
      <c r="D14" s="2305">
        <f ca="1">结果表!H118</f>
        <v>2153</v>
      </c>
      <c r="E14" s="2305">
        <f ca="1">ROUND(D14*10000/B14,0)</f>
        <v>21283</v>
      </c>
      <c r="F14" s="2305" t="e">
        <f ca="1">ROUND(D14*10000/C14,0)</f>
        <v>#DIV/0!</v>
      </c>
      <c r="G14" s="2305">
        <f ca="1">D14</f>
        <v>2153</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H24" sqref="H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290" t="str">
        <f>项目基本情况!S2</f>
        <v>北京市昌平区英泽路8号院4号楼2层202房地产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3447</v>
      </c>
      <c r="D4" s="1626" t="s">
        <v>3432</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5</v>
      </c>
      <c r="D14" s="3293">
        <v>5</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0" t="s">
        <v>2131</v>
      </c>
      <c r="F18" s="3281"/>
      <c r="G18" s="3281"/>
      <c r="H18" s="3281"/>
      <c r="I18" s="3281"/>
      <c r="K18" s="294" t="s">
        <v>1289</v>
      </c>
      <c r="L18" s="294">
        <f>IF(C1="",'数据-汇总表'!E3,SUMIF(项目类型,C1,'数据-汇总表'!E17:E26)+SUMIF(项目类型,C1,'数据-汇总表'!I17:I26))</f>
        <v>1011.59</v>
      </c>
      <c r="M18" s="294">
        <f>IF(C1="",'数据-汇总表'!E3,SUMIF(项目类型,C1,'数据-汇总表'!E17:E26))</f>
        <v>1011.59</v>
      </c>
    </row>
    <row r="19" spans="1:36" ht="14">
      <c r="A19" s="1630" t="s">
        <v>1290</v>
      </c>
      <c r="B19" s="1631" t="s">
        <v>1291</v>
      </c>
      <c r="C19" s="126">
        <f ca="1">SUMIF(INDIRECT("'"&amp;C4&amp;"'"&amp;"!A:A"),结果表!B19,INDIRECT("'"&amp;C4&amp;"'"&amp;"!B:B"))</f>
        <v>1972.0459000000001</v>
      </c>
      <c r="D19" s="127">
        <f ca="1">SUMIF(INDIRECT("'"&amp;D4&amp;"'"&amp;"!A:A"),结果表!B19,INDIRECT("'"&amp;D4&amp;"'"&amp;"!B:B"))</f>
        <v>2333.6188999999999</v>
      </c>
      <c r="E19" s="1630" t="s">
        <v>1292</v>
      </c>
      <c r="F19" s="1631" t="s">
        <v>1291</v>
      </c>
      <c r="G19" s="128">
        <f ca="1">ROUND(C19*$C$18+D19*$D$18,0)</f>
        <v>2153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19495</v>
      </c>
      <c r="D20" s="130">
        <f ca="1">SUMIF(INDIRECT("'"&amp;D4&amp;"'"&amp;"!A:A"),结果表!B20,INDIRECT("'"&amp;D4&amp;"'"&amp;"!B:B"))</f>
        <v>23069</v>
      </c>
      <c r="E20" s="1633"/>
      <c r="F20" s="43" t="s">
        <v>1295</v>
      </c>
      <c r="G20" s="131">
        <f ca="1">ROUND(C20*$C$18+D20*$D$18,0)</f>
        <v>21282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0.18334918066562245</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21282</v>
      </c>
      <c r="D32" s="1641" t="s">
        <v>3448</v>
      </c>
      <c r="E32" s="121"/>
      <c r="F32" s="121"/>
      <c r="G32" s="121"/>
      <c r="H32" s="121"/>
      <c r="I32" s="121"/>
    </row>
    <row r="33" spans="1:15" ht="14">
      <c r="A33" s="740" t="s">
        <v>1306</v>
      </c>
      <c r="B33" s="123"/>
      <c r="C33" s="1642" t="s">
        <v>3449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2153</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45953</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0" t="s">
        <v>1340</v>
      </c>
      <c r="L48" s="3320"/>
      <c r="M48" s="3342">
        <f ca="1">H101</f>
        <v>2153</v>
      </c>
      <c r="N48" s="3342"/>
      <c r="O48" s="3342"/>
    </row>
    <row r="49" spans="1:35" ht="25.5" customHeight="1">
      <c r="A49" s="2151" t="s">
        <v>1341</v>
      </c>
      <c r="B49" s="3256" t="s">
        <v>1342</v>
      </c>
      <c r="C49" s="3256"/>
      <c r="D49" s="1478">
        <v>0</v>
      </c>
      <c r="E49" s="316" t="s">
        <v>1343</v>
      </c>
      <c r="F49" s="2232" t="s">
        <v>28</v>
      </c>
      <c r="G49" s="3326"/>
      <c r="H49" s="2133" t="s">
        <v>2134</v>
      </c>
      <c r="I49" s="2134"/>
      <c r="J49" s="2309">
        <v>4</v>
      </c>
      <c r="K49" s="3320" t="str">
        <f>IF(项目基本情况!E8="房地产抵押价值","房地产抵押价值","抵押担保权已注销时的房地产抵押价值")</f>
        <v>房地产抵押价值</v>
      </c>
      <c r="L49" s="3320"/>
      <c r="M49" s="3342">
        <f ca="1">IF(项目基本情况!E8="房地产抵押价值",H107,H109)</f>
        <v>2153</v>
      </c>
      <c r="N49" s="3342"/>
      <c r="O49" s="3342"/>
    </row>
    <row r="50" spans="1:35" ht="25.5" customHeight="1">
      <c r="A50" s="2337"/>
      <c r="B50" s="3256" t="s">
        <v>1344</v>
      </c>
      <c r="C50" s="3256"/>
      <c r="D50" s="2188"/>
      <c r="E50" s="323"/>
      <c r="F50" s="2232"/>
      <c r="G50" s="3327"/>
      <c r="H50" s="2135" t="s">
        <v>2135</v>
      </c>
      <c r="I50" s="2134"/>
      <c r="J50" s="3339" t="s">
        <v>1345</v>
      </c>
      <c r="K50" s="3339"/>
      <c r="L50" s="3339"/>
      <c r="M50" s="3339"/>
      <c r="N50" s="3339"/>
      <c r="O50" s="3339"/>
    </row>
    <row r="51" spans="1:35" ht="20.5" customHeight="1">
      <c r="A51" s="2338"/>
      <c r="B51" s="3256" t="s">
        <v>1346</v>
      </c>
      <c r="C51" s="3256"/>
      <c r="D51" s="1024"/>
      <c r="E51" s="319"/>
      <c r="F51" s="2232"/>
      <c r="G51" s="3328"/>
      <c r="H51" s="2135" t="s">
        <v>2136</v>
      </c>
      <c r="I51" s="2134"/>
      <c r="J51" s="2310" t="s">
        <v>1347</v>
      </c>
      <c r="K51" s="3320" t="s">
        <v>1348</v>
      </c>
      <c r="L51" s="3320"/>
      <c r="M51" s="2310" t="s">
        <v>1349</v>
      </c>
      <c r="N51" s="2310" t="s">
        <v>1350</v>
      </c>
      <c r="O51" s="2310" t="s">
        <v>1351</v>
      </c>
    </row>
    <row r="52" spans="1:35" ht="24" customHeight="1">
      <c r="A52" s="2152" t="s">
        <v>1352</v>
      </c>
      <c r="B52" s="3256" t="s">
        <v>1353</v>
      </c>
      <c r="C52" s="3256"/>
      <c r="D52" s="1024">
        <f ca="1">ROUND(D45*'数据-取费表'!B41/(1+'数据-取费表'!C42),0)</f>
        <v>113</v>
      </c>
      <c r="E52" s="1256" t="s">
        <v>1354</v>
      </c>
      <c r="F52" s="2339">
        <f>'数据-取费表'!B41</f>
        <v>5.5000000000000007E-2</v>
      </c>
      <c r="G52" s="2340"/>
      <c r="H52" s="2330"/>
      <c r="I52" s="1669"/>
      <c r="J52" s="2309">
        <v>1</v>
      </c>
      <c r="K52" s="3321" t="s">
        <v>1355</v>
      </c>
      <c r="L52" s="3321"/>
      <c r="M52" s="2311" t="b">
        <f>D48</f>
        <v>0</v>
      </c>
      <c r="N52" s="2309" t="str">
        <f>E48</f>
        <v>销售额×税（费）率</v>
      </c>
      <c r="O52" s="2312">
        <f>F48</f>
        <v>5.5000000000000007E-2</v>
      </c>
    </row>
    <row r="53" spans="1:35" ht="12" customHeight="1">
      <c r="A53" s="2152" t="s">
        <v>1356</v>
      </c>
      <c r="B53" s="3282" t="s">
        <v>2291</v>
      </c>
      <c r="C53" s="3283"/>
      <c r="D53" s="1024">
        <f ca="1">ROUND(D45*'数据-取费表'!B41/(1+'数据-取费表'!C42),0)</f>
        <v>113</v>
      </c>
      <c r="E53" s="1256" t="s">
        <v>1354</v>
      </c>
      <c r="F53" s="2339">
        <f>'数据-取费表'!B41</f>
        <v>5.5000000000000007E-2</v>
      </c>
      <c r="G53" s="2340"/>
      <c r="H53" s="2330"/>
      <c r="I53" s="1669"/>
      <c r="J53" s="2309">
        <v>2</v>
      </c>
      <c r="K53" s="3321" t="s">
        <v>1357</v>
      </c>
      <c r="L53" s="3321"/>
      <c r="M53" s="2311">
        <f t="shared" ref="M53:O54" ca="1" si="0">D55</f>
        <v>1</v>
      </c>
      <c r="N53" s="2309" t="str">
        <f t="shared" si="0"/>
        <v>销售额×税（费）率</v>
      </c>
      <c r="O53" s="2312" t="str">
        <f t="shared" si="0"/>
        <v>免征</v>
      </c>
    </row>
    <row r="54" spans="1:35" ht="12" customHeight="1">
      <c r="A54" s="2152" t="s">
        <v>1358</v>
      </c>
      <c r="B54" s="3282" t="s">
        <v>2292</v>
      </c>
      <c r="C54" s="3283"/>
      <c r="D54" s="1024">
        <f ca="1">C68</f>
        <v>113</v>
      </c>
      <c r="E54" s="319" t="s">
        <v>1359</v>
      </c>
      <c r="F54" s="2339">
        <f>'数据-取费表'!B41</f>
        <v>5.5000000000000007E-2</v>
      </c>
      <c r="G54" s="2340"/>
      <c r="H54" s="2341"/>
      <c r="I54" s="1669"/>
      <c r="J54" s="2309">
        <v>3</v>
      </c>
      <c r="K54" s="3321" t="s">
        <v>1360</v>
      </c>
      <c r="L54" s="3321"/>
      <c r="M54" s="2311">
        <f t="shared" ca="1" si="0"/>
        <v>1221</v>
      </c>
      <c r="N54" s="2309" t="str">
        <f t="shared" si="0"/>
        <v>增值额×税（费）率</v>
      </c>
      <c r="O54" s="2313" t="str">
        <f t="shared" si="0"/>
        <v>免征</v>
      </c>
    </row>
    <row r="55" spans="1:35" ht="24" customHeight="1">
      <c r="A55" s="3271" t="s">
        <v>1361</v>
      </c>
      <c r="B55" s="3272"/>
      <c r="C55" s="3272"/>
      <c r="D55" s="12">
        <f ca="1">IF(H55="个人住宅",0,ROUND(D45*I55,0))</f>
        <v>1</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21</v>
      </c>
      <c r="N55" s="1883" t="str">
        <f>E59</f>
        <v>差额计税</v>
      </c>
      <c r="O55" s="2315">
        <f>F59</f>
        <v>0.01</v>
      </c>
    </row>
    <row r="56" spans="1:35" ht="26">
      <c r="A56" s="3271" t="s">
        <v>1363</v>
      </c>
      <c r="B56" s="3272"/>
      <c r="C56" s="3272"/>
      <c r="D56" s="12">
        <f ca="1">IF(H56="个人住宅",D57,D58)</f>
        <v>1221</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2"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1243</v>
      </c>
      <c r="O57" s="2319"/>
      <c r="P57" s="2463">
        <f ca="1">N57/M49</f>
        <v>0.57733395262424525</v>
      </c>
    </row>
    <row r="58" spans="1:35" ht="26">
      <c r="A58" s="2152" t="s">
        <v>1352</v>
      </c>
      <c r="B58" s="3282" t="s">
        <v>1369</v>
      </c>
      <c r="C58" s="3256"/>
      <c r="D58" s="12">
        <f ca="1">IF(H58="转让取得",C81,C97)</f>
        <v>1221</v>
      </c>
      <c r="E58" s="1256" t="s">
        <v>1364</v>
      </c>
      <c r="F58" s="294" t="s">
        <v>28</v>
      </c>
      <c r="G58" s="2340"/>
      <c r="H58" s="2343"/>
      <c r="I58" s="1670"/>
      <c r="J58" s="3321"/>
      <c r="K58" s="3321"/>
      <c r="L58" s="2316" t="s">
        <v>1370</v>
      </c>
      <c r="M58" s="2320"/>
      <c r="N58" s="2321" t="str">
        <f ca="1">NUMBERSTRING(INT(N57*10000),2)&amp;"元整"</f>
        <v>壹仟贰佰肆拾叁万元整</v>
      </c>
      <c r="O58" s="2322"/>
    </row>
    <row r="59" spans="1:35" ht="26.5" thickBot="1">
      <c r="A59" s="3324" t="s">
        <v>1371</v>
      </c>
      <c r="B59" s="3325"/>
      <c r="C59" s="3325"/>
      <c r="D59" s="2345">
        <f ca="1">IF(H59="非个人房产","——",IF(H59="个人住宅（满五唯一有凭证）",0,IF(H59="个人其他（无凭证）",ROUND(D45/(1+'数据-取费表'!C42)*F59,0),ROUND(C67*F59,0))))</f>
        <v>21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2">
        <f>J57+1</f>
        <v>6</v>
      </c>
      <c r="K59" s="3321" t="s">
        <v>1372</v>
      </c>
      <c r="L59" s="2309" t="s">
        <v>1368</v>
      </c>
      <c r="M59" s="2323"/>
      <c r="N59" s="2324">
        <f ca="1">M49-N57</f>
        <v>910</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玖佰壹拾万元整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8996</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2050</v>
      </c>
      <c r="D63" s="159"/>
      <c r="E63" s="160"/>
      <c r="F63" s="1670"/>
      <c r="G63" s="1670"/>
      <c r="H63" s="151"/>
      <c r="I63" s="121"/>
      <c r="J63" s="3346" t="s">
        <v>1379</v>
      </c>
      <c r="K63" s="1245" t="s">
        <v>1380</v>
      </c>
      <c r="L63" s="1245">
        <f ca="1">IF(M49&gt;10000,M49*0.5%,IF(AND(M49&gt;1000,M49&lt;=10000),M49*1%,IF(AND(M49&gt;100,M49&lt;=1000),M49*3%,IF(AND(M49&gt;10,M49&lt;=100),M49*5%,M49*8%))))</f>
        <v>21.53</v>
      </c>
      <c r="M63" s="294">
        <f ca="1">ROUND(L63,1)</f>
        <v>21.5</v>
      </c>
      <c r="N63" s="2329"/>
      <c r="Z63" s="1623"/>
      <c r="AI63" s="1561"/>
    </row>
    <row r="64" spans="1:35" ht="14.25" customHeight="1">
      <c r="A64" s="161" t="s">
        <v>325</v>
      </c>
      <c r="B64" s="162" t="s">
        <v>1381</v>
      </c>
      <c r="C64" s="2350">
        <f ca="1">D45</f>
        <v>2153</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10.765000000000001</v>
      </c>
      <c r="M64" s="294">
        <f t="shared" ref="M64:M65" ca="1" si="1">ROUND(L64,1)</f>
        <v>10.8</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2.153</v>
      </c>
      <c r="M65" s="294">
        <f t="shared" ca="1" si="1"/>
        <v>2.2000000000000002</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10.765000000000001</v>
      </c>
      <c r="M66" s="294">
        <f ca="1">IF(L66&gt;0.5,0.5,ROUND(L66,0))</f>
        <v>0.5</v>
      </c>
      <c r="N66" s="2330" t="s">
        <v>1388</v>
      </c>
      <c r="Z66" s="1623"/>
      <c r="AI66" s="1561"/>
    </row>
    <row r="67" spans="1:35" ht="14.25" customHeight="1">
      <c r="A67" s="165" t="s">
        <v>328</v>
      </c>
      <c r="B67" s="166" t="s">
        <v>1389</v>
      </c>
      <c r="C67" s="2353">
        <f ca="1">C63-C66</f>
        <v>2050</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113</v>
      </c>
      <c r="D68" s="2355">
        <f>'数据-取费表'!B41</f>
        <v>5.5000000000000007E-2</v>
      </c>
      <c r="E68" s="170"/>
      <c r="F68" s="1670"/>
      <c r="G68" s="1670"/>
      <c r="H68" s="151"/>
      <c r="I68" s="121"/>
      <c r="J68" s="3346"/>
      <c r="K68" s="1245" t="s">
        <v>1392</v>
      </c>
      <c r="L68" s="1245">
        <f ca="1">IF(M49&gt;10000,M49*0.5%,IF(AND(M49&gt;5000,M49&lt;=10000),M49*1%,IF(AND(M49&gt;1000,M49&lt;=5000),M49*2%,IF(AND(M49&gt;200,M49&lt;=1000),M49*3%,M49*5%))))</f>
        <v>43.06</v>
      </c>
      <c r="M68" s="294">
        <f ca="1">ROUND(L68,1)</f>
        <v>43.1</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81</v>
      </c>
      <c r="N69" s="2331">
        <f ca="1">M69/M49</f>
        <v>3.7621922898281465E-2</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2050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10</v>
      </c>
      <c r="D78" s="2362">
        <f>'数据-取费表'!B43</f>
        <v>5.000000000000001E-3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2040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204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1221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2050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7"/>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10</v>
      </c>
      <c r="D93" s="2362">
        <f>'数据-取费表'!B43</f>
        <v>5.000000000000001E-3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2040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204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1221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成本法 (元)</v>
      </c>
      <c r="D101" s="2371" t="str">
        <f>D4</f>
        <v>收益法 (元)</v>
      </c>
      <c r="E101" s="3343" t="s">
        <v>1431</v>
      </c>
      <c r="F101" s="3300"/>
      <c r="G101" s="1687" t="s">
        <v>1432</v>
      </c>
      <c r="H101" s="2380">
        <f ca="1">H118</f>
        <v>2153</v>
      </c>
      <c r="I101" s="121"/>
    </row>
    <row r="102" spans="1:35" ht="18.75" customHeight="1">
      <c r="A102" s="3302" t="s">
        <v>1433</v>
      </c>
      <c r="B102" s="2369" t="s">
        <v>1432</v>
      </c>
      <c r="C102" s="2370">
        <f ca="1">IF(D32="楼面单价",ROUND(C19,0),C19)</f>
        <v>1972</v>
      </c>
      <c r="D102" s="2371">
        <f ca="1">IF(D32="楼面单价",ROUND(D19,0),D19)</f>
        <v>2334</v>
      </c>
      <c r="E102" s="3343"/>
      <c r="F102" s="3300"/>
      <c r="G102" s="1687" t="s">
        <v>1434</v>
      </c>
      <c r="H102" s="2340">
        <f ca="1">I118</f>
        <v>21282</v>
      </c>
      <c r="I102" s="121"/>
    </row>
    <row r="103" spans="1:35" ht="42.75" customHeight="1">
      <c r="A103" s="3302"/>
      <c r="B103" s="2369" t="s">
        <v>1434</v>
      </c>
      <c r="C103" s="2372">
        <f ca="1">C20</f>
        <v>19495</v>
      </c>
      <c r="D103" s="2373">
        <f ca="1">D20</f>
        <v>23069</v>
      </c>
      <c r="E103" s="3337" t="s">
        <v>1435</v>
      </c>
      <c r="F103" s="3338"/>
      <c r="G103" s="1688" t="s">
        <v>1436</v>
      </c>
      <c r="H103" s="2380">
        <f>IF(D36="正常操作",H104+H105+H106,H105+H106)</f>
        <v>0</v>
      </c>
      <c r="I103" s="121"/>
    </row>
    <row r="104" spans="1:35" ht="18.75" customHeight="1">
      <c r="A104" s="3302" t="s">
        <v>1437</v>
      </c>
      <c r="B104" s="2374" t="s">
        <v>1432</v>
      </c>
      <c r="C104" s="2375">
        <f ca="1">H118</f>
        <v>2153</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21282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2153</v>
      </c>
      <c r="I107" s="121"/>
    </row>
    <row r="108" spans="1:35" ht="18.75" customHeight="1">
      <c r="A108" s="121"/>
      <c r="B108" s="121"/>
      <c r="C108" s="121"/>
      <c r="D108" s="121"/>
      <c r="E108" s="3299"/>
      <c r="F108" s="3300"/>
      <c r="G108" s="1687" t="s">
        <v>1434</v>
      </c>
      <c r="H108" s="2340">
        <f ca="1">IF(H107=H101,H102,ROUND(H107*10000/'数据-汇总表'!E3,0))</f>
        <v>21282</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49" t="s">
        <v>1449</v>
      </c>
      <c r="E117" s="2149" t="s">
        <v>1450</v>
      </c>
      <c r="F117" s="2149" t="s">
        <v>1449</v>
      </c>
      <c r="G117" s="2149" t="s">
        <v>1451</v>
      </c>
      <c r="H117" s="2149" t="s">
        <v>1449</v>
      </c>
      <c r="I117" s="2149" t="s">
        <v>1451</v>
      </c>
    </row>
    <row r="118" spans="1:27" ht="24.75" customHeight="1">
      <c r="A118" s="2385" t="str">
        <f>项目基本情况!S2</f>
        <v>北京市昌平区英泽路8号院4号楼2层202房地产</v>
      </c>
      <c r="B118" s="2149">
        <f>M18</f>
        <v>1011.59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2153</v>
      </c>
      <c r="I118" s="2149">
        <f ca="1">ROUND(IF(D32="楼面单价",C32,H118*10000/B118),0)</f>
        <v>21282</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贰仟壹佰伍拾叁万元整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2153</v>
      </c>
      <c r="E122" s="3335"/>
      <c r="F122" s="3335"/>
      <c r="G122" s="3335"/>
      <c r="H122" s="3335"/>
      <c r="I122" s="3336"/>
      <c r="AA122" s="684"/>
    </row>
    <row r="123" spans="1:27" ht="18.75" customHeight="1">
      <c r="A123" s="3270" t="s">
        <v>1452</v>
      </c>
      <c r="B123" s="3270"/>
      <c r="C123" s="3270"/>
      <c r="D123" s="3310" t="str">
        <f ca="1">NUMBERSTRING(INT(D122*10000),2)&amp;"元整"</f>
        <v>贰仟壹佰伍拾叁万元整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5467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20</v>
      </c>
      <c r="D10" s="795">
        <f ca="1">IF(B1="",'数据-汇总表'!E6,IF(INDIRECT("'数据-取费表'!c"&amp;$G$1)="住宅",INDIRECT("'数据-取费表'!s"&amp;$G$1),INDIRECT("'数据-取费表'!k"&amp;$G$1)+INDIRECT("'数据-取费表'!s"&amp;$G$1)))</f>
        <v>1011.59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20</v>
      </c>
      <c r="D19" s="204">
        <f ca="1">D9+D10</f>
        <v>1011.59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354</v>
      </c>
      <c r="D34" s="209"/>
      <c r="E34" s="212"/>
      <c r="F34" s="249">
        <f ca="1">IF('数据-取费表'!B24=0,1,IF(B1="",'数据-取费表'!N16,INDIRECT("'数据-取费表'!n"&amp;$G$1)))</f>
        <v>1</v>
      </c>
      <c r="G34" s="211" t="s">
        <v>1526</v>
      </c>
    </row>
    <row r="35" spans="1:7" ht="13.5" customHeight="1">
      <c r="A35" s="734" t="s">
        <v>351</v>
      </c>
      <c r="B35" s="207" t="s">
        <v>1527</v>
      </c>
      <c r="C35" s="212">
        <f ca="1">ROUND(C34*F35,0)</f>
        <v>18</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20</v>
      </c>
      <c r="D37" s="209">
        <f ca="1">D19</f>
        <v>1011.59</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81</v>
      </c>
      <c r="D45" s="227">
        <f ca="1">C47</f>
        <v>4.0000000000000001E-3</v>
      </c>
      <c r="E45" s="228" t="s">
        <v>1539</v>
      </c>
      <c r="F45" s="238">
        <f ca="1">F27</f>
        <v>0.2</v>
      </c>
      <c r="G45" s="239" t="s">
        <v>1548</v>
      </c>
    </row>
    <row r="46" spans="1:7" s="206" customFormat="1" ht="13.5" customHeight="1">
      <c r="A46" s="734" t="s">
        <v>346</v>
      </c>
      <c r="B46" s="240" t="s">
        <v>1549</v>
      </c>
      <c r="C46" s="241">
        <f ca="1">ROUND((C33+C39)*F27,0)</f>
        <v>81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542</v>
      </c>
      <c r="D49" s="224"/>
      <c r="E49" s="224"/>
      <c r="F49" s="256"/>
      <c r="G49" s="226" t="s">
        <v>1554</v>
      </c>
    </row>
    <row r="50" spans="1:7" s="250" customFormat="1" ht="26">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526</v>
      </c>
      <c r="D51" s="224"/>
      <c r="E51" s="224"/>
      <c r="F51" s="256"/>
      <c r="G51" s="226" t="s">
        <v>1560</v>
      </c>
    </row>
    <row r="52" spans="1:7" s="200" customFormat="1" ht="16.5" thickBot="1">
      <c r="A52" s="257" t="s">
        <v>1561</v>
      </c>
      <c r="B52" s="258"/>
      <c r="C52" s="259">
        <f ca="1">C31+C51</f>
        <v>553</v>
      </c>
      <c r="D52" s="258"/>
      <c r="E52" s="258"/>
      <c r="F52" s="258"/>
      <c r="G52" s="260"/>
    </row>
    <row r="55" spans="1:7" ht="15.5">
      <c r="B55" s="262" t="s">
        <v>1562</v>
      </c>
      <c r="C55" s="263"/>
    </row>
    <row r="56" spans="1:7" ht="13">
      <c r="B56" s="265" t="s">
        <v>802</v>
      </c>
      <c r="C56" s="267">
        <f ca="1">1-C57</f>
        <v>4.9000000000000044E-2</v>
      </c>
    </row>
    <row r="57" spans="1:7" ht="13">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北京市昌平区英泽路8号院4号楼2层202房地产抵押价值预评估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1972.0459000000001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19495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10355718</v>
      </c>
      <c r="D5" s="203" t="s">
        <v>1469</v>
      </c>
      <c r="E5" s="204" t="s">
        <v>1470</v>
      </c>
      <c r="F5" s="204" t="s">
        <v>1471</v>
      </c>
      <c r="G5" s="205"/>
    </row>
    <row r="6" spans="1:8" s="206" customFormat="1" ht="13.5" customHeight="1">
      <c r="A6" s="732" t="s">
        <v>1472</v>
      </c>
      <c r="B6" s="207" t="s">
        <v>1473</v>
      </c>
      <c r="C6" s="208">
        <f>ROUND(基准地价修正!T3*基准地价修正!U3,0)</f>
        <v>9852887</v>
      </c>
      <c r="D6" s="209"/>
      <c r="E6" s="210"/>
      <c r="F6" s="210"/>
      <c r="G6" s="211"/>
    </row>
    <row r="7" spans="1:8" s="206" customFormat="1" ht="13.5" customHeight="1">
      <c r="A7" s="732" t="s">
        <v>1474</v>
      </c>
      <c r="B7" s="207" t="s">
        <v>1475</v>
      </c>
      <c r="C7" s="212">
        <f>ROUND(C6*F7,0)</f>
        <v>300513</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202318</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202318</v>
      </c>
      <c r="D10" s="795">
        <f ca="1">IF(B1="",'数据-汇总表'!E6,IF(INDIRECT("'数据-取费表'!c"&amp;$G$1)="住宅",INDIRECT("'数据-取费表'!s"&amp;$G$1),INDIRECT("'数据-取费表'!k"&amp;$G$1)+INDIRECT("'数据-取费表'!s"&amp;$G$1)))</f>
        <v>1011.59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1011.59</v>
      </c>
      <c r="E19" s="203">
        <f>'数据-取费表'!B31</f>
        <v>200</v>
      </c>
      <c r="F19" s="223"/>
      <c r="G19" s="1714" t="s">
        <v>3443</v>
      </c>
    </row>
    <row r="20" spans="1:7" s="206" customFormat="1" ht="13.5" customHeight="1">
      <c r="A20" s="247" t="s">
        <v>1574</v>
      </c>
      <c r="B20" s="202" t="s">
        <v>1575</v>
      </c>
      <c r="C20" s="224">
        <f ca="1">ROUND((C5+C19)*F20,0)</f>
        <v>207114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664896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658413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6483</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2112566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2112566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14453190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3990722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3540565</v>
      </c>
      <c r="D34" s="209"/>
      <c r="E34" s="212"/>
      <c r="F34" s="249"/>
      <c r="G34" s="211"/>
    </row>
    <row r="35" spans="1:7" ht="13.5" customHeight="1">
      <c r="A35" s="734" t="s">
        <v>351</v>
      </c>
      <c r="B35" s="207" t="s">
        <v>1527</v>
      </c>
      <c r="C35" s="212">
        <f ca="1">ROUND(C34*F35,0)</f>
        <v>177028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202318</v>
      </c>
      <c r="D37" s="209">
        <f ca="1">D19</f>
        <v>1011.59</v>
      </c>
      <c r="E37" s="241">
        <f>'数据-取费表'!B35</f>
        <v>200</v>
      </c>
      <c r="F37" s="251"/>
      <c r="G37" s="253"/>
    </row>
    <row r="38" spans="1:7" ht="13.5" customHeight="1">
      <c r="A38" s="734" t="s">
        <v>354</v>
      </c>
      <c r="B38" s="207" t="s">
        <v>1533</v>
      </c>
      <c r="C38" s="212">
        <f ca="1">ROUND(C34*F38,0)</f>
        <v>70811</v>
      </c>
      <c r="D38" s="212"/>
      <c r="E38" s="212"/>
      <c r="F38" s="251">
        <f>'数据-取费表'!B36</f>
        <v>0.02</v>
      </c>
      <c r="G38" s="211" t="s">
        <v>1528</v>
      </c>
    </row>
    <row r="39" spans="1:7" s="206" customFormat="1" ht="13.5" customHeight="1">
      <c r="A39" s="247" t="s">
        <v>1534</v>
      </c>
      <c r="B39" s="202" t="s">
        <v>1535</v>
      </c>
      <c r="C39" s="224">
        <f ca="1">ROUND(C33*F20,0)</f>
        <v>79814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127408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124910</v>
      </c>
      <c r="D42" s="230"/>
      <c r="E42" s="230"/>
      <c r="F42" s="231"/>
      <c r="G42" s="3350" t="s">
        <v>1591</v>
      </c>
    </row>
    <row r="43" spans="1:7" ht="13.5" customHeight="1">
      <c r="A43" s="734" t="s">
        <v>347</v>
      </c>
      <c r="B43" s="207" t="s">
        <v>1545</v>
      </c>
      <c r="C43" s="230">
        <f ca="1">ROUND(IF('数据-取费表'!B22&lt;=1,C39*F22*'数据-取费表'!B20/2,C39*(POWER((1+F22),'数据-取费表'!B20/2)-1)),0)</f>
        <v>2498</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814107</v>
      </c>
      <c r="D45" s="227">
        <f ca="1">C47</f>
        <v>4.0000000000000001E-3</v>
      </c>
      <c r="E45" s="228" t="s">
        <v>1539</v>
      </c>
      <c r="F45" s="238">
        <f ca="1">F27</f>
        <v>0.2</v>
      </c>
      <c r="G45" s="239" t="s">
        <v>1548</v>
      </c>
    </row>
    <row r="46" spans="1:7" s="206" customFormat="1" ht="13.5" customHeight="1">
      <c r="A46" s="734" t="s">
        <v>346</v>
      </c>
      <c r="B46" s="240" t="s">
        <v>1549</v>
      </c>
      <c r="C46" s="241">
        <f ca="1">ROUND((C33+C39)*F27,0)</f>
        <v>814107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5430174</v>
      </c>
      <c r="D49" s="224"/>
      <c r="E49" s="224"/>
      <c r="F49" s="256"/>
      <c r="G49" s="226" t="s">
        <v>1554</v>
      </c>
    </row>
    <row r="50" spans="1:7" s="250" customFormat="1" ht="13.5">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5267269</v>
      </c>
      <c r="D51" s="224"/>
      <c r="E51" s="224"/>
      <c r="F51" s="256"/>
      <c r="G51" s="226" t="s">
        <v>1560</v>
      </c>
    </row>
    <row r="52" spans="1:7" s="200" customFormat="1" ht="16.5" thickBot="1">
      <c r="A52" s="257" t="s">
        <v>1561</v>
      </c>
      <c r="B52" s="258"/>
      <c r="C52" s="259">
        <f ca="1">C31+C51</f>
        <v>19720459</v>
      </c>
      <c r="D52" s="258"/>
      <c r="E52" s="258"/>
      <c r="F52" s="258"/>
      <c r="G52" s="260"/>
    </row>
    <row r="55" spans="1:7" ht="15.5">
      <c r="B55" s="262" t="s">
        <v>1562</v>
      </c>
      <c r="C55" s="263"/>
    </row>
    <row r="56" spans="1:7" ht="13">
      <c r="B56" s="265" t="s">
        <v>802</v>
      </c>
      <c r="C56" s="267">
        <f ca="1">1-C57</f>
        <v>0.73299999999999998</v>
      </c>
    </row>
    <row r="57" spans="1:7" ht="13">
      <c r="B57" s="265" t="s">
        <v>803</v>
      </c>
      <c r="C57" s="266">
        <f ca="1">ROUND(C51/C52,3)</f>
        <v>0.26700000000000002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-23</v>
      </c>
      <c r="C2" s="268" t="s">
        <v>1595</v>
      </c>
      <c r="D2" s="268"/>
      <c r="E2" s="2566"/>
      <c r="F2" s="2566"/>
      <c r="G2" s="2566"/>
      <c r="H2" s="2566"/>
      <c r="I2" s="2566"/>
      <c r="J2" s="2566"/>
      <c r="K2" s="2566"/>
    </row>
    <row r="3" spans="1:33" ht="18" customHeight="1" thickBot="1">
      <c r="A3" s="195" t="s">
        <v>1464</v>
      </c>
      <c r="B3" s="196">
        <f ca="1">ROUND(B2*10000/IF(C1="",'数据-汇总表'!E3,INDIRECT("'数据-取费表'!K"&amp;$K$1)),0)</f>
        <v>-227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1011.59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1011.59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20</v>
      </c>
      <c r="D20" s="796">
        <f ca="1">IF(C1="",'数据-汇总表'!E6,IF(INDIRECT("'数据-取费表'!c"&amp;$K$1)="住宅",INDIRECT("'数据-取费表'!s"&amp;$K$1),INDIRECT("'数据-取费表'!k"&amp;$K$1)+INDIRECT("'数据-取费表'!s"&amp;$K$1)))</f>
        <v>1011.59</v>
      </c>
      <c r="E20" s="21">
        <f>'数据-取费表'!B28</f>
        <v>200</v>
      </c>
      <c r="F20" s="756"/>
      <c r="G20" s="12"/>
      <c r="H20" s="761"/>
      <c r="I20" s="761"/>
      <c r="J20" s="761"/>
      <c r="K20" s="762"/>
    </row>
    <row r="21" spans="1:33" s="755" customFormat="1" ht="13.5" customHeight="1">
      <c r="A21" s="744" t="s">
        <v>357</v>
      </c>
      <c r="B21" s="765" t="s">
        <v>1628</v>
      </c>
      <c r="C21" s="766">
        <f ca="1">C16+C17+C18</f>
        <v>20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3356</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2333.6188999999999</v>
      </c>
      <c r="C2" s="1729" t="s">
        <v>1651</v>
      </c>
      <c r="D2" s="1730" t="s">
        <v>1652</v>
      </c>
      <c r="E2" s="2392">
        <f>SUM(E6:E13)</f>
        <v>1011.59</v>
      </c>
      <c r="F2" s="2478"/>
      <c r="G2" s="459"/>
      <c r="H2" s="459"/>
      <c r="I2" s="459"/>
      <c r="J2" s="459"/>
      <c r="K2" s="459"/>
      <c r="L2" s="459"/>
      <c r="M2" s="459"/>
      <c r="N2" s="459"/>
      <c r="O2" s="459"/>
      <c r="P2" s="459"/>
      <c r="Q2" s="459"/>
      <c r="R2" s="459"/>
      <c r="S2" s="459"/>
    </row>
    <row r="3" spans="1:22" ht="15.5">
      <c r="A3" s="1728" t="s">
        <v>686</v>
      </c>
      <c r="B3" s="2386">
        <f ca="1">ROUND(B2*10000/E2,0)</f>
        <v>23069</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2333.6188999999999</v>
      </c>
      <c r="C6" s="1729" t="s">
        <v>1651</v>
      </c>
      <c r="D6" s="2478"/>
      <c r="E6" s="2391">
        <f>IF(OR(A6=0,F6="否"),0,'数据-取费表'!K6+'数据-取费表'!S6)</f>
        <v>1011.59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1011.59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45953</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1011.59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45953</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1011.59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45953</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45953</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45953</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受贵公司委托，我公司对北京市昌平区英泽路8号院4号楼2层202房地产抵押价值进行了预评估。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估价对象为北京市昌平区英泽路8号院4号楼2层202房地产，为所有。根据《国有土地使用证》[]，估价对象（分摊）出让国有建设用地使用权面积为0平方米，建筑面积为1011.59平方米。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泽路8号院4号楼2层202房地产,属开发建设的办公项目，该项目尚在开发建设中。根据《国有土地使用证》[]，估价对象（分摊）出让国有建设用地使用权面积为0平方米，规划建筑面积为1011.59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昌平区英泽路8号院4号楼2层202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2025年10月23日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45953</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1011.59</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七级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七级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七级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1011.59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45953</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1011.59</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七级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七级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七级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985</v>
      </c>
      <c r="C2" s="1984" t="s">
        <v>2074</v>
      </c>
      <c r="D2" s="1984" t="s">
        <v>2075</v>
      </c>
      <c r="E2" s="2397">
        <f ca="1">SUMIF(E6:E13,"&lt;&gt;#ref!",E6:E13)</f>
        <v>0</v>
      </c>
      <c r="F2" s="2543"/>
      <c r="G2" s="2543"/>
      <c r="H2" s="2543"/>
      <c r="I2" s="2543"/>
      <c r="J2" s="2543"/>
      <c r="K2" s="2543"/>
      <c r="L2" s="2543"/>
      <c r="M2" s="2543"/>
      <c r="N2" s="2543"/>
      <c r="O2" s="2543"/>
      <c r="P2" s="2543"/>
    </row>
    <row r="3" spans="1:16" ht="15.5">
      <c r="A3" s="1984" t="s">
        <v>2076</v>
      </c>
      <c r="B3" s="2387" t="e">
        <f ca="1">ROUND(B2*10000/E2,0)</f>
        <v>#DIV/0!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985</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 sqref="F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985</v>
      </c>
      <c r="C2" s="1846" t="s">
        <v>1935</v>
      </c>
      <c r="D2" s="162" t="s">
        <v>1936</v>
      </c>
      <c r="E2" s="3119"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Ⅶ-昌3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12357</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7" t="s">
        <v>2439</v>
      </c>
      <c r="F3" s="1848" t="s">
        <v>3450</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9740</v>
      </c>
      <c r="U3" s="1130">
        <f>'数据-汇总表'!E19</f>
        <v>1011.59</v>
      </c>
      <c r="V3" s="3062">
        <f t="shared" ref="V3:V16" si="1">ROUND(T3*U3/10000,0)</f>
        <v>985</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8232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9030</v>
      </c>
      <c r="D5" s="1252">
        <f>ROUND(C6*C17+C20,0)</f>
        <v>9030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7260</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9030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6977</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9030</v>
      </c>
      <c r="N7" s="813">
        <f>SUMPRODUCT((因素修正幅度!B190:B233=I2)*(因素修正幅度!C3:G3=E2)*(因素修正幅度!C190:G233))</f>
        <v>0.129</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25">
      <c r="A8" s="3008"/>
      <c r="B8" s="162" t="s">
        <v>1957</v>
      </c>
      <c r="C8" s="1870" t="s">
        <v>3433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08" t="s">
        <v>3434</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5" t="s">
        <v>363</v>
      </c>
      <c r="B22" s="1996" t="s">
        <v>2000</v>
      </c>
      <c r="C22" s="1997">
        <f>SUMIF(修正!C20:C53,E3,修正!E20:E53)</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896" t="s">
        <v>2002</v>
      </c>
      <c r="E23" s="717">
        <v>44197</v>
      </c>
      <c r="F23" s="1896" t="s">
        <v>2003</v>
      </c>
      <c r="G23" s="718">
        <f>'数据-取费表'!B2</f>
        <v>45953</v>
      </c>
      <c r="H23" s="3047" t="s">
        <v>3435</v>
      </c>
      <c r="I23" s="3048" t="str">
        <f>IF(H23="季度增幅（自定义）",SUMIF(N25:N28,E2,O25:O28),"")</f>
        <v/>
      </c>
      <c r="J23" s="3140" t="s">
        <v>3436</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0.8851</v>
      </c>
      <c r="D24" s="1902" t="s">
        <v>2007</v>
      </c>
      <c r="E24" s="1248">
        <f>存贷款利率!E28/100</f>
        <v>4.3499999999999997E-2</v>
      </c>
      <c r="F24" s="1902" t="s">
        <v>1999</v>
      </c>
      <c r="G24" s="724">
        <f>SUMIF(M30:Q30,E2,M33:Q33)</f>
        <v>5.5E-2</v>
      </c>
      <c r="H24" s="1902" t="s">
        <v>2008</v>
      </c>
      <c r="I24" s="725">
        <f>SUMIF('数据-取费表'!C6:C15,E2,'数据-取费表'!F6:F15)/COUNTIF('数据-取费表'!C6:C15,E2)</f>
        <v>28.38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3437</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1.0256000000000001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985</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12357</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4936</v>
      </c>
      <c r="D37" s="1940"/>
      <c r="E37" s="163">
        <f>ROUND(C37*D37/10000,0)</f>
        <v>0</v>
      </c>
      <c r="F37" s="163">
        <f>SUMIF(修正!A59:A70,G2,修正!B59:B70)</f>
        <v>0.6</v>
      </c>
      <c r="G37" s="163">
        <f>ROUND(IF(E2="工业",C37*$M$42,C37*$M$41),0)</f>
        <v>1234</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2468</v>
      </c>
      <c r="D38" s="1940"/>
      <c r="E38" s="163">
        <f t="shared" ref="E38:E42" si="4">ROUND(C38*D38/10000,0)</f>
        <v>0</v>
      </c>
      <c r="F38" s="163">
        <f>SUMIF(修正!A59:A70,G2,修正!C59:C70)</f>
        <v>0.3</v>
      </c>
      <c r="G38" s="163">
        <f>ROUND(IF(E2="工业",C38*$M$42,C38*$M$41),0)</f>
        <v>617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2057</v>
      </c>
      <c r="D39" s="1940"/>
      <c r="E39" s="163">
        <f t="shared" si="4"/>
        <v>0</v>
      </c>
      <c r="F39" s="163">
        <f>SUMIF(修正!A59:A70,G2,修正!D59:D70)</f>
        <v>0.25</v>
      </c>
      <c r="G39" s="163">
        <f>ROUND(IF(E2="工业",C39*$M$42,C39*$M$41),0)</f>
        <v>514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2057</v>
      </c>
      <c r="D40" s="1940"/>
      <c r="E40" s="163">
        <f t="shared" si="4"/>
        <v>0</v>
      </c>
      <c r="F40" s="167">
        <f>SUMIF(修正!A59:A70,G2,修正!E59:E70)</f>
        <v>0.25</v>
      </c>
      <c r="G40" s="163">
        <f>ROUND(IF(E2="工业",C40*$M$42,C40*$M$41),0)</f>
        <v>514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1.0256000000000001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3438</v>
      </c>
      <c r="D50" s="1002">
        <f t="shared" ref="D50:D58" si="7">SUMIF($J$49:$N$49,C50,J50:N50)</f>
        <v>0</v>
      </c>
      <c r="E50" s="702">
        <f>ROUND(SUM(D50:D58),4)</f>
        <v>2.5600000000000001E-2</v>
      </c>
      <c r="F50" s="1675">
        <f>IF(E2="商业",SUMIF(L1:L12,G2,N1:N12),"——")</f>
        <v>0.129</v>
      </c>
      <c r="G50" s="1000">
        <v>1.9300000000000001E-2</v>
      </c>
      <c r="H50" s="1003">
        <f t="shared" ref="H50:H58" si="8">IFERROR(ROUNDDOWN($F$50*I50/2,4),"——")</f>
        <v>1.9300000000000001E-2</v>
      </c>
      <c r="I50" s="3067">
        <v>0.3</v>
      </c>
      <c r="J50" s="1001">
        <f t="shared" ref="J50:J58" si="9">K50+$G50</f>
        <v>3.8600000000000002E-2</v>
      </c>
      <c r="K50" s="1001">
        <f t="shared" ref="K50:K58" si="10">$L50+$G50</f>
        <v>1.9300000000000001E-2</v>
      </c>
      <c r="L50" s="1001">
        <v>0</v>
      </c>
      <c r="M50" s="1001">
        <f t="shared" ref="M50:N58" si="11">L50-$G50</f>
        <v>-1.9300000000000001E-2</v>
      </c>
      <c r="N50" s="1001">
        <f t="shared" si="11"/>
        <v>-3.8600000000000002E-2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3438</v>
      </c>
      <c r="D51" s="1002">
        <f t="shared" si="7"/>
        <v>0</v>
      </c>
      <c r="E51" s="703"/>
      <c r="F51" s="1675"/>
      <c r="G51" s="1000">
        <v>1.41E-2</v>
      </c>
      <c r="H51" s="1003">
        <f t="shared" si="8"/>
        <v>1.41E-2</v>
      </c>
      <c r="I51" s="3067">
        <v>0.22</v>
      </c>
      <c r="J51" s="1001">
        <f t="shared" si="9"/>
        <v>2.8199999999999999E-2</v>
      </c>
      <c r="K51" s="1001">
        <f t="shared" si="10"/>
        <v>1.41E-2</v>
      </c>
      <c r="L51" s="1001">
        <v>0</v>
      </c>
      <c r="M51" s="1001">
        <f t="shared" si="11"/>
        <v>-1.41E-2</v>
      </c>
      <c r="N51" s="1001">
        <f t="shared" si="11"/>
        <v>-2.8199999999999999E-2</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t="s">
        <v>3439</v>
      </c>
      <c r="D52" s="1002">
        <f t="shared" si="7"/>
        <v>7.7000000000000002E-3</v>
      </c>
      <c r="E52" s="703"/>
      <c r="F52" s="1675"/>
      <c r="G52" s="1000">
        <v>7.7000000000000002E-3</v>
      </c>
      <c r="H52" s="1003">
        <f t="shared" si="8"/>
        <v>7.7000000000000002E-3</v>
      </c>
      <c r="I52" s="3067">
        <v>0.12</v>
      </c>
      <c r="J52" s="1001">
        <f t="shared" si="9"/>
        <v>1.54E-2</v>
      </c>
      <c r="K52" s="1001">
        <f t="shared" si="10"/>
        <v>7.7000000000000002E-3</v>
      </c>
      <c r="L52" s="1001">
        <v>0</v>
      </c>
      <c r="M52" s="1001">
        <f t="shared" si="11"/>
        <v>-7.7000000000000002E-3</v>
      </c>
      <c r="N52" s="1001">
        <f t="shared" si="11"/>
        <v>-1.54E-2</v>
      </c>
      <c r="AA52" s="1057"/>
      <c r="AB52" s="1057"/>
      <c r="AC52" s="1057"/>
      <c r="AD52" s="1057"/>
      <c r="AE52" s="1057"/>
      <c r="AF52" s="1057"/>
      <c r="AG52" s="1057"/>
      <c r="AH52" s="1057"/>
      <c r="AI52" s="1057"/>
      <c r="AJ52" s="1057"/>
      <c r="AK52" s="1057"/>
    </row>
    <row r="53" spans="1:37" s="1056" customFormat="1" ht="39">
      <c r="A53" s="1970" t="s">
        <v>2054</v>
      </c>
      <c r="B53" s="1974" t="s">
        <v>2055</v>
      </c>
      <c r="C53" s="1887" t="s">
        <v>3439</v>
      </c>
      <c r="D53" s="1002">
        <f t="shared" si="7"/>
        <v>3.2000000000000002E-3</v>
      </c>
      <c r="E53" s="703"/>
      <c r="F53" s="1675"/>
      <c r="G53" s="1000">
        <v>3.2000000000000002E-3</v>
      </c>
      <c r="H53" s="1003">
        <f t="shared" si="8"/>
        <v>3.2000000000000002E-3</v>
      </c>
      <c r="I53" s="3067">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3440</v>
      </c>
      <c r="D54" s="1002">
        <f t="shared" si="7"/>
        <v>-5.1000000000000004E-3</v>
      </c>
      <c r="E54" s="703"/>
      <c r="F54" s="1675"/>
      <c r="G54" s="1000">
        <v>5.1000000000000004E-3</v>
      </c>
      <c r="H54" s="1003">
        <f t="shared" si="8"/>
        <v>5.1000000000000004E-3</v>
      </c>
      <c r="I54" s="3067">
        <v>0.08</v>
      </c>
      <c r="J54" s="1001">
        <f t="shared" si="9"/>
        <v>1.0200000000000001E-2</v>
      </c>
      <c r="K54" s="1001">
        <f t="shared" si="10"/>
        <v>5.1000000000000004E-3</v>
      </c>
      <c r="L54" s="1001">
        <v>0</v>
      </c>
      <c r="M54" s="1001">
        <f t="shared" si="11"/>
        <v>-5.1000000000000004E-3</v>
      </c>
      <c r="N54" s="1001">
        <f t="shared" si="11"/>
        <v>-1.0200000000000001E-2</v>
      </c>
      <c r="AA54" s="1057"/>
      <c r="AB54" s="1057"/>
      <c r="AC54" s="1057"/>
      <c r="AD54" s="1057"/>
      <c r="AE54" s="1057"/>
      <c r="AF54" s="1057"/>
      <c r="AG54" s="1057"/>
      <c r="AH54" s="1057"/>
      <c r="AI54" s="1057"/>
      <c r="AJ54" s="1057"/>
      <c r="AK54" s="1057"/>
    </row>
    <row r="55" spans="1:37" s="1056" customFormat="1" ht="26">
      <c r="A55" s="1970" t="s">
        <v>2057</v>
      </c>
      <c r="B55" s="1975" t="s">
        <v>2058</v>
      </c>
      <c r="C55" s="1887" t="s">
        <v>3439</v>
      </c>
      <c r="D55" s="1002">
        <f t="shared" si="7"/>
        <v>3.2000000000000002E-3</v>
      </c>
      <c r="E55" s="703"/>
      <c r="F55" s="1675"/>
      <c r="G55" s="1000">
        <v>3.2000000000000002E-3</v>
      </c>
      <c r="H55" s="1003">
        <f t="shared" si="8"/>
        <v>3.2000000000000002E-3</v>
      </c>
      <c r="I55" s="3067">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3439</v>
      </c>
      <c r="D56" s="1002">
        <f t="shared" si="7"/>
        <v>3.2000000000000002E-3</v>
      </c>
      <c r="E56" s="703"/>
      <c r="F56" s="1675"/>
      <c r="G56" s="1000">
        <v>3.2000000000000002E-3</v>
      </c>
      <c r="H56" s="1003">
        <f t="shared" si="8"/>
        <v>3.2000000000000002E-3</v>
      </c>
      <c r="I56" s="3067">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3441</v>
      </c>
      <c r="D57" s="1002">
        <f t="shared" si="7"/>
        <v>1.0200000000000001E-2</v>
      </c>
      <c r="E57" s="703"/>
      <c r="F57" s="1675"/>
      <c r="G57" s="1000">
        <v>5.1000000000000004E-3</v>
      </c>
      <c r="H57" s="1003">
        <f t="shared" si="8"/>
        <v>5.1000000000000004E-3</v>
      </c>
      <c r="I57" s="3067">
        <v>0.08</v>
      </c>
      <c r="J57" s="1001">
        <f t="shared" si="9"/>
        <v>1.0200000000000001E-2</v>
      </c>
      <c r="K57" s="1001">
        <f t="shared" si="10"/>
        <v>5.1000000000000004E-3</v>
      </c>
      <c r="L57" s="1001">
        <v>0</v>
      </c>
      <c r="M57" s="1001">
        <f t="shared" si="11"/>
        <v>-5.1000000000000004E-3</v>
      </c>
      <c r="N57" s="1001">
        <f t="shared" si="11"/>
        <v>-1.0200000000000001E-2</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3439</v>
      </c>
      <c r="D58" s="1002">
        <f t="shared" si="7"/>
        <v>3.2000000000000002E-3</v>
      </c>
      <c r="E58" s="704"/>
      <c r="F58" s="1675"/>
      <c r="G58" s="1000">
        <v>3.2000000000000002E-3</v>
      </c>
      <c r="H58" s="1003">
        <f t="shared" si="8"/>
        <v>3.2000000000000002E-3</v>
      </c>
      <c r="I58" s="3068">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49" t="s">
        <v>3287</v>
      </c>
      <c r="K92" s="2149" t="s">
        <v>3288</v>
      </c>
      <c r="L92" s="2149" t="s">
        <v>3289</v>
      </c>
      <c r="M92" s="2149" t="s">
        <v>3290</v>
      </c>
      <c r="N92" s="2149"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56"/>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2.5</v>
      </c>
      <c r="C116" s="3098" t="s">
        <v>3311</v>
      </c>
      <c r="D116" s="3099">
        <f>SUMPRODUCT((A118:A122=F116)*(B117:M117=H116)*B118:M122)</f>
        <v>0.91400000000000003</v>
      </c>
      <c r="E116" s="162" t="s">
        <v>3312</v>
      </c>
      <c r="F116" s="3100" t="str">
        <f>E2</f>
        <v>商业</v>
      </c>
      <c r="G116" s="162" t="s">
        <v>3313</v>
      </c>
      <c r="H116" s="3100" t="str">
        <f>G2</f>
        <v>七级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ht="13">
      <c r="A119" s="3056" t="s">
        <v>3327</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ht="13">
      <c r="A120" s="3056" t="s">
        <v>3328</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3329</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ht="13">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3406</v>
      </c>
      <c r="D26" s="2856"/>
      <c r="E26" s="2847">
        <v>0.43</v>
      </c>
      <c r="F26" s="2844"/>
      <c r="G26" s="2844"/>
    </row>
    <row r="27" spans="1:13" ht="19.5" customHeight="1" thickBot="1">
      <c r="A27" s="3486"/>
      <c r="B27" s="3478"/>
      <c r="C27" s="3163" t="s">
        <v>3407</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29318</v>
      </c>
      <c r="C2" s="2" t="s">
        <v>106</v>
      </c>
      <c r="D2" s="191"/>
      <c r="E2" s="191"/>
      <c r="F2" s="191"/>
      <c r="G2" s="191"/>
    </row>
    <row r="3" spans="1:7" s="192" customFormat="1" ht="18" customHeight="1" thickBot="1">
      <c r="A3" s="195" t="s">
        <v>58</v>
      </c>
      <c r="B3" s="196">
        <f ca="1">ROUND(B2*10000/'数据-汇总表'!E3,0)</f>
        <v>289821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v>
      </c>
      <c r="D10" s="795">
        <f>'数据-汇总表'!E6</f>
        <v>1011.59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20</v>
      </c>
      <c r="D19" s="204">
        <f>'数据-汇总表'!E3</f>
        <v>1011.59</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28792</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354</v>
      </c>
      <c r="D34" s="209"/>
      <c r="E34" s="212"/>
      <c r="F34" s="249">
        <f>IF('数据-取费表'!B24=0,1,'数据-取费表'!N16)</f>
        <v>1</v>
      </c>
      <c r="G34" s="211" t="s">
        <v>89</v>
      </c>
    </row>
    <row r="35" spans="1:7" ht="13.5" customHeight="1">
      <c r="A35" s="734" t="s">
        <v>351</v>
      </c>
      <c r="B35" s="207" t="s">
        <v>33</v>
      </c>
      <c r="C35" s="212">
        <f>ROUND(C34*F35,0)</f>
        <v>18</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20</v>
      </c>
      <c r="D37" s="209">
        <f>'数据-汇总表'!E3</f>
        <v>1011.59</v>
      </c>
      <c r="E37" s="241">
        <f>'数据-取费表'!B35</f>
        <v>200</v>
      </c>
      <c r="F37" s="251"/>
      <c r="G37" s="253" t="s">
        <v>92</v>
      </c>
    </row>
    <row r="38" spans="1:7" ht="13.5" customHeight="1">
      <c r="A38" s="734" t="s">
        <v>354</v>
      </c>
      <c r="B38" s="207" t="s">
        <v>36</v>
      </c>
      <c r="C38" s="212">
        <f>ROUND(C34*F38,0)</f>
        <v>7</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81</v>
      </c>
      <c r="D45" s="227">
        <f>C47</f>
        <v>4.0000000000000001E-3</v>
      </c>
      <c r="E45" s="228" t="s">
        <v>102</v>
      </c>
      <c r="F45" s="238"/>
      <c r="G45" s="239" t="s">
        <v>434</v>
      </c>
    </row>
    <row r="46" spans="1:7" s="206" customFormat="1" ht="13.5" customHeight="1">
      <c r="A46" s="734" t="s">
        <v>349</v>
      </c>
      <c r="B46" s="240" t="s">
        <v>427</v>
      </c>
      <c r="C46" s="241">
        <f>ROUND((C33+C39)*F27,0)</f>
        <v>81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542</v>
      </c>
      <c r="D49" s="224"/>
      <c r="E49" s="224"/>
      <c r="F49" s="256"/>
      <c r="G49" s="226" t="s">
        <v>435</v>
      </c>
    </row>
    <row r="50" spans="1:7" s="250" customFormat="1" ht="26">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526</v>
      </c>
      <c r="D51" s="224"/>
      <c r="E51" s="224"/>
      <c r="F51" s="256"/>
      <c r="G51" s="226" t="s">
        <v>37</v>
      </c>
    </row>
    <row r="52" spans="1:7" s="200" customFormat="1" ht="16.5" thickBot="1">
      <c r="A52" s="257" t="s">
        <v>38</v>
      </c>
      <c r="B52" s="258"/>
      <c r="C52" s="259">
        <f ca="1">C31+C51</f>
        <v>29318</v>
      </c>
      <c r="D52" s="258"/>
      <c r="E52" s="258"/>
      <c r="F52" s="258"/>
      <c r="G52" s="260"/>
    </row>
    <row r="55" spans="1:7" ht="15.5">
      <c r="B55" s="262" t="s">
        <v>39</v>
      </c>
      <c r="C55" s="263"/>
    </row>
    <row r="56" spans="1:7" ht="13">
      <c r="B56" s="265" t="s">
        <v>40</v>
      </c>
      <c r="C56" s="266">
        <f ca="1">ROUND(C51/C52,3)</f>
        <v>1.7999999999999999E-2</v>
      </c>
    </row>
    <row r="57" spans="1:7" ht="13">
      <c r="B57" s="265" t="s">
        <v>41</v>
      </c>
      <c r="C57" s="267">
        <f ca="1">1-C56</f>
        <v>0.98199999999999998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2153</v>
      </c>
    </row>
    <row r="6" spans="1:5" ht="15.5">
      <c r="B6" s="3170"/>
      <c r="C6" s="1392" t="s">
        <v>911</v>
      </c>
      <c r="D6" s="797" t="str">
        <f ca="1">NUMBERSTRING(INT(D5*10000),2)&amp;"元整"</f>
        <v>贰仟壹佰伍拾叁万元整</v>
      </c>
    </row>
    <row r="7" spans="1:5" ht="15.5">
      <c r="B7" s="3175"/>
      <c r="C7" s="1393" t="s">
        <v>912</v>
      </c>
      <c r="D7" s="798">
        <f ca="1">结果表!H102</f>
        <v>21282</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2153</v>
      </c>
    </row>
    <row r="14" spans="1:5" ht="15.5">
      <c r="B14" s="3170"/>
      <c r="C14" s="1392" t="s">
        <v>911</v>
      </c>
      <c r="D14" s="797" t="str">
        <f ca="1">NUMBERSTRING(INT(D13*10000),2)&amp;"元整"</f>
        <v>贰仟壹佰伍拾叁万元整</v>
      </c>
    </row>
    <row r="15" spans="1:5" ht="15.5">
      <c r="B15" s="3175"/>
      <c r="C15" s="1393" t="s">
        <v>921</v>
      </c>
      <c r="D15" s="806">
        <f ca="1">结果表!H108</f>
        <v>21282</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28.38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2333.6188999999999</v>
      </c>
      <c r="C2" s="1289" t="s">
        <v>879</v>
      </c>
      <c r="D2" s="1375">
        <f ca="1">C40+J29+L46</f>
        <v>23336189</v>
      </c>
      <c r="E2" s="1295" t="s">
        <v>880</v>
      </c>
      <c r="F2" s="1296"/>
      <c r="G2" s="2477"/>
      <c r="H2" s="2467"/>
      <c r="I2" s="2467"/>
      <c r="J2" s="2467"/>
      <c r="K2" s="2468"/>
      <c r="L2" s="2467"/>
      <c r="M2" s="2467"/>
    </row>
    <row r="3" spans="1:37" ht="18" customHeight="1" thickBot="1">
      <c r="A3" s="1297" t="s">
        <v>881</v>
      </c>
      <c r="B3" s="1298">
        <f ca="1">IF(ISERROR(D2/F43),0,ROUND(D2/F43,0))</f>
        <v>23069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1463980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1462152</v>
      </c>
      <c r="D6" s="147" t="s">
        <v>2106</v>
      </c>
      <c r="E6" s="294" t="s">
        <v>696</v>
      </c>
      <c r="F6" s="295">
        <f ca="1">INDIRECT("'数据-取费表'!u"&amp;$G$1)</f>
        <v>4.4000000000000004</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1011.59</v>
      </c>
      <c r="G7" s="1292"/>
      <c r="H7" s="296"/>
      <c r="I7" s="3356"/>
      <c r="J7" s="298"/>
      <c r="K7" s="299"/>
      <c r="L7" s="294" t="s">
        <v>697</v>
      </c>
      <c r="M7" s="295">
        <f ca="1">F7</f>
        <v>1011.59</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1828</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5267269</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3540565</v>
      </c>
      <c r="D14" s="1257" t="s">
        <v>708</v>
      </c>
      <c r="E14" s="1255"/>
      <c r="F14" s="311"/>
      <c r="G14" s="1292"/>
      <c r="H14" s="928" t="s">
        <v>398</v>
      </c>
      <c r="I14" s="294" t="s">
        <v>709</v>
      </c>
      <c r="J14" s="21">
        <f ca="1">C29</f>
        <v>5430174</v>
      </c>
      <c r="K14" s="12"/>
      <c r="L14" s="759"/>
      <c r="M14" s="760"/>
    </row>
    <row r="15" spans="1:37" s="1304" customFormat="1" ht="18" customHeight="1" thickBot="1">
      <c r="A15" s="928" t="s">
        <v>399</v>
      </c>
      <c r="B15" s="294" t="s">
        <v>710</v>
      </c>
      <c r="C15" s="21">
        <f ca="1">ROUND(C14*F15,0)</f>
        <v>177028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27151</v>
      </c>
      <c r="K16" s="1024" t="s">
        <v>715</v>
      </c>
      <c r="L16" s="1025"/>
      <c r="M16" s="1009"/>
    </row>
    <row r="17" spans="1:37" s="1304" customFormat="1" ht="18" customHeight="1">
      <c r="A17" s="928" t="s">
        <v>681</v>
      </c>
      <c r="B17" s="294" t="s">
        <v>716</v>
      </c>
      <c r="C17" s="21">
        <f ca="1">ROUND(F17*(F43+INDIRECT("'数据-取费表'!S"&amp;$G$1)),0)</f>
        <v>202318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70811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3990722</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79814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27151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127408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-27151</v>
      </c>
      <c r="K25" s="1032" t="s">
        <v>753</v>
      </c>
      <c r="L25" s="1033"/>
      <c r="M25" s="1034"/>
    </row>
    <row r="26" spans="1:37" ht="18" customHeight="1">
      <c r="A26" s="928" t="s">
        <v>397</v>
      </c>
      <c r="B26" s="294" t="s">
        <v>754</v>
      </c>
      <c r="C26" s="21">
        <f ca="1">ROUND((C19+C20)*F26,0)</f>
        <v>814107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5430174</v>
      </c>
      <c r="D29" s="1029"/>
      <c r="E29" s="1027"/>
      <c r="F29" s="1030"/>
      <c r="G29" s="1303"/>
      <c r="H29" s="325" t="s">
        <v>396</v>
      </c>
      <c r="I29" s="326" t="s">
        <v>768</v>
      </c>
      <c r="J29" s="327">
        <f ca="1">ROUND(J26/(1+F40)^F41,0)</f>
        <v>0</v>
      </c>
      <c r="K29" s="328" t="s">
        <v>769</v>
      </c>
      <c r="L29" s="329"/>
      <c r="M29" s="330">
        <f ca="1">INDIRECT("'数据-取费表'!k"&amp;$G$1)</f>
        <v>1011.59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290750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243692</v>
      </c>
      <c r="D31" s="1257" t="s">
        <v>720</v>
      </c>
      <c r="E31" s="1256" t="s">
        <v>770</v>
      </c>
      <c r="F31" s="2138"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76589</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167103</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27151</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5267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14640</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1173230</v>
      </c>
      <c r="D39" s="1032" t="s">
        <v>773</v>
      </c>
      <c r="E39" s="1033"/>
      <c r="F39" s="1034"/>
      <c r="G39" s="1292"/>
      <c r="H39" s="2472">
        <f ca="1">C39/C5</f>
        <v>0.8013975600759573</v>
      </c>
      <c r="I39" s="1305"/>
      <c r="J39" s="1306"/>
      <c r="K39" s="2470"/>
      <c r="L39" s="2472"/>
      <c r="M39" s="2472"/>
    </row>
    <row r="40" spans="1:18" ht="18" customHeight="1">
      <c r="A40" s="291" t="s">
        <v>395</v>
      </c>
      <c r="B40" s="292" t="s">
        <v>774</v>
      </c>
      <c r="C40" s="293">
        <f ca="1">ROUND(C39*(1-((1+F42)/(1+F40))^F41)/(F40-F42),0)</f>
        <v>20653683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28.38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20417</v>
      </c>
      <c r="D43" s="328" t="s">
        <v>777</v>
      </c>
      <c r="E43" s="329" t="s">
        <v>778</v>
      </c>
      <c r="F43" s="330">
        <f ca="1">INDIRECT("'数据-取费表'!k"&amp;$G$1)</f>
        <v>1011.59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-2111.4122000000002</v>
      </c>
      <c r="D45" s="3129" t="s">
        <v>3350</v>
      </c>
      <c r="E45" s="1307"/>
      <c r="F45" s="1307"/>
      <c r="O45" s="1310" t="s">
        <v>808</v>
      </c>
      <c r="P45" s="1366"/>
      <c r="Q45" s="1366"/>
      <c r="R45" s="1366"/>
    </row>
    <row r="46" spans="1:18" s="1292" customFormat="1" ht="14" thickBot="1">
      <c r="A46" s="1311" t="s">
        <v>809</v>
      </c>
      <c r="C46" s="1312">
        <f ca="1">ROUND(C45,0)</f>
        <v>-2111</v>
      </c>
      <c r="D46" s="1313" t="str">
        <f>C2</f>
        <v>万元</v>
      </c>
      <c r="I46" s="1314" t="s">
        <v>810</v>
      </c>
      <c r="J46" s="1315"/>
      <c r="K46" s="1316"/>
      <c r="L46" s="1317">
        <f ca="1">IF(M47="住宅",0,IF(L48&gt;J51,L60,J60))</f>
        <v>2682506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3446</v>
      </c>
      <c r="K47" s="1323" t="s">
        <v>816</v>
      </c>
      <c r="L47" s="1324">
        <f ca="1">INDIRECT("'数据-取费表'!d"&amp;$G$1)</f>
        <v>0</v>
      </c>
      <c r="M47" s="1288" t="str">
        <f>IF(ISNUMBER(FIND("住宅",C1)),"住宅","非住宅")</f>
        <v>非住宅</v>
      </c>
      <c r="O47" s="1325" t="s">
        <v>403</v>
      </c>
      <c r="P47" s="1326" t="s">
        <v>817</v>
      </c>
      <c r="Q47" s="1327">
        <f ca="1">C40+J29</f>
        <v>20653683</v>
      </c>
      <c r="R47" s="1327" t="s">
        <v>818</v>
      </c>
    </row>
    <row r="48" spans="1:18" s="1292" customFormat="1" ht="43.5" thickBot="1">
      <c r="A48" s="1047" t="s">
        <v>438</v>
      </c>
      <c r="B48" s="292" t="s">
        <v>692</v>
      </c>
      <c r="C48" s="1268">
        <f ca="1">C49+C53+C55</f>
        <v>0</v>
      </c>
      <c r="D48" s="1049"/>
      <c r="E48" s="1050"/>
      <c r="F48" s="908"/>
      <c r="G48" s="681"/>
      <c r="H48" s="682"/>
      <c r="I48" s="1328" t="s">
        <v>819</v>
      </c>
      <c r="J48" s="1329" t="s">
        <v>3445</v>
      </c>
      <c r="K48" s="1330" t="s">
        <v>820</v>
      </c>
      <c r="L48" s="1331">
        <f ca="1">INDIRECT("'数据-取费表'!f"&amp;$G$1)</f>
        <v>28.38</v>
      </c>
      <c r="O48" s="1325" t="s">
        <v>404</v>
      </c>
      <c r="P48" s="1326" t="s">
        <v>821</v>
      </c>
      <c r="Q48" s="1327">
        <f ca="1">J60</f>
        <v>2682506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2023</v>
      </c>
      <c r="K49" s="1330" t="s">
        <v>824</v>
      </c>
      <c r="L49" s="1333"/>
      <c r="O49" s="1334" t="s">
        <v>405</v>
      </c>
      <c r="P49" s="1326" t="s">
        <v>825</v>
      </c>
      <c r="Q49" s="1327">
        <f ca="1">C29</f>
        <v>5430174</v>
      </c>
      <c r="R49" s="1327" t="s">
        <v>818</v>
      </c>
    </row>
    <row r="50" spans="1:18" s="1292" customFormat="1" ht="13.5" thickBot="1">
      <c r="A50" s="922"/>
      <c r="B50" s="925"/>
      <c r="C50" s="926"/>
      <c r="D50" s="899"/>
      <c r="E50" s="993" t="s">
        <v>697</v>
      </c>
      <c r="F50" s="994">
        <f ca="1">F7</f>
        <v>1011.59</v>
      </c>
      <c r="H50" s="682"/>
      <c r="I50" s="1328" t="s">
        <v>826</v>
      </c>
      <c r="J50" s="1335">
        <f>SUMPRODUCT((I63:I65=J47)*(J62:L62=J48)*(J63:L65))</f>
        <v>60</v>
      </c>
      <c r="K50" s="1330" t="s">
        <v>827</v>
      </c>
      <c r="L50" s="1333"/>
      <c r="M50" s="1336"/>
      <c r="O50" s="1334" t="s">
        <v>406</v>
      </c>
      <c r="P50" s="1326" t="s">
        <v>828</v>
      </c>
      <c r="Q50" s="1337">
        <f ca="1">J58</f>
        <v>0.49399999999999999</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15140720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28.38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28.38</v>
      </c>
      <c r="K53" s="3353" t="s">
        <v>837</v>
      </c>
      <c r="L53" s="3354"/>
      <c r="O53" s="1325" t="s">
        <v>409</v>
      </c>
      <c r="P53" s="1326" t="s">
        <v>838</v>
      </c>
      <c r="Q53" s="1327">
        <f ca="1">Q47+Q48</f>
        <v>23336189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0.49399999999999999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5267269</v>
      </c>
      <c r="D56" s="1352"/>
      <c r="E56" s="1353"/>
      <c r="F56" s="1345"/>
      <c r="I56" s="1354" t="s">
        <v>842</v>
      </c>
      <c r="J56" s="1355" t="s">
        <v>3421</v>
      </c>
      <c r="K56" s="1328" t="s">
        <v>843</v>
      </c>
      <c r="L56" s="1331" t="str">
        <f ca="1">IF(L48&lt;J51,"——",L48-J51)</f>
        <v>——</v>
      </c>
      <c r="O56" s="1325" t="s">
        <v>403</v>
      </c>
      <c r="P56" s="1326" t="s">
        <v>817</v>
      </c>
      <c r="Q56" s="1327">
        <f ca="1">C40+J29</f>
        <v>20653683</v>
      </c>
      <c r="R56" s="1327" t="s">
        <v>818</v>
      </c>
    </row>
    <row r="57" spans="1:18" s="1292" customFormat="1" ht="26.5" thickBot="1">
      <c r="A57" s="1356"/>
      <c r="B57" s="896" t="s">
        <v>767</v>
      </c>
      <c r="C57" s="230">
        <f ca="1">C29</f>
        <v>5430174</v>
      </c>
      <c r="D57" s="1357"/>
      <c r="E57" s="1358"/>
      <c r="F57" s="1359"/>
      <c r="I57" s="1360" t="s">
        <v>844</v>
      </c>
      <c r="J57" s="1361">
        <f ca="1">IF(OR(M47="住宅",J51&lt;L48,J56="是"),"——",J51-L48)</f>
        <v>29.62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32418</v>
      </c>
      <c r="D58" s="906" t="s">
        <v>715</v>
      </c>
      <c r="E58" s="907"/>
      <c r="F58" s="908"/>
      <c r="I58" s="1360" t="s">
        <v>848</v>
      </c>
      <c r="J58" s="1362">
        <f ca="1">IF(J55&lt;0.4,0.4,J55)</f>
        <v>0.49399999999999999</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2682506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2682506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20653683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27151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5267</v>
      </c>
      <c r="D65" s="910" t="s">
        <v>743</v>
      </c>
      <c r="E65" s="896" t="s">
        <v>744</v>
      </c>
      <c r="F65" s="321">
        <f t="shared" ca="1" si="0"/>
        <v>1E-3</v>
      </c>
      <c r="I65" s="1367" t="s">
        <v>867</v>
      </c>
      <c r="J65" s="610">
        <v>40</v>
      </c>
      <c r="K65" s="610">
        <v>30</v>
      </c>
      <c r="L65" s="610">
        <v>50</v>
      </c>
      <c r="M65" s="1369">
        <v>0.02</v>
      </c>
      <c r="O65" s="1325" t="s">
        <v>403</v>
      </c>
      <c r="P65" s="1326" t="s">
        <v>868</v>
      </c>
      <c r="Q65" s="1327">
        <f ca="1">C40+J29</f>
        <v>20653683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-32418</v>
      </c>
      <c r="D67" s="909" t="s">
        <v>753</v>
      </c>
      <c r="E67" s="914"/>
      <c r="F67" s="915"/>
      <c r="O67" s="1334" t="s">
        <v>405</v>
      </c>
      <c r="P67" s="1326" t="s">
        <v>850</v>
      </c>
      <c r="Q67" s="1370">
        <f ca="1">L51</f>
        <v>15140720</v>
      </c>
      <c r="R67" s="1327" t="s">
        <v>870</v>
      </c>
    </row>
    <row r="68" spans="1:18" s="1292" customFormat="1" ht="16" thickBot="1">
      <c r="A68" s="893" t="s">
        <v>395</v>
      </c>
      <c r="B68" s="894" t="s">
        <v>774</v>
      </c>
      <c r="C68" s="293">
        <f ca="1">ROUND(C67*(1-((1+F70)/(1+F68))^F69)/(F68-F70),0)</f>
        <v>-460439</v>
      </c>
      <c r="D68" s="911" t="s">
        <v>758</v>
      </c>
      <c r="E68" s="896" t="s">
        <v>759</v>
      </c>
      <c r="F68" s="304">
        <f ca="1">F40</f>
        <v>5.5E-2</v>
      </c>
      <c r="O68" s="1334" t="s">
        <v>406</v>
      </c>
      <c r="P68" s="1371" t="s">
        <v>871</v>
      </c>
      <c r="Q68" s="1327">
        <f ca="1">ROUND(Q69-Q70*Q71,0)</f>
        <v>804521</v>
      </c>
      <c r="R68" s="1327" t="s">
        <v>414</v>
      </c>
    </row>
    <row r="69" spans="1:18" s="1292" customFormat="1" ht="13.5" thickBot="1">
      <c r="A69" s="897"/>
      <c r="B69" s="898"/>
      <c r="C69" s="298"/>
      <c r="D69" s="916" t="s">
        <v>762</v>
      </c>
      <c r="E69" s="896" t="s">
        <v>763</v>
      </c>
      <c r="F69" s="324">
        <f ca="1">F41</f>
        <v>28.38</v>
      </c>
      <c r="O69" s="1334" t="s">
        <v>411</v>
      </c>
      <c r="P69" s="1371" t="s">
        <v>872</v>
      </c>
      <c r="Q69" s="1327">
        <f ca="1">C39</f>
        <v>1173230</v>
      </c>
      <c r="R69" s="1327" t="s">
        <v>818</v>
      </c>
    </row>
    <row r="70" spans="1:18" s="1292" customFormat="1" ht="13.5" thickBot="1">
      <c r="A70" s="900"/>
      <c r="B70" s="901"/>
      <c r="C70" s="302"/>
      <c r="D70" s="912"/>
      <c r="E70" s="896" t="s">
        <v>766</v>
      </c>
      <c r="F70" s="991"/>
      <c r="O70" s="1334" t="s">
        <v>412</v>
      </c>
      <c r="P70" s="1371" t="s">
        <v>873</v>
      </c>
      <c r="Q70" s="1327">
        <f ca="1">C13</f>
        <v>5267269</v>
      </c>
      <c r="R70" s="1327" t="s">
        <v>818</v>
      </c>
    </row>
    <row r="71" spans="1:18" s="1292" customFormat="1" ht="13.5" thickBot="1">
      <c r="A71" s="917" t="s">
        <v>396</v>
      </c>
      <c r="B71" s="918" t="s">
        <v>776</v>
      </c>
      <c r="C71" s="327">
        <f ca="1">ROUND(C68/F71,0)</f>
        <v>-455</v>
      </c>
      <c r="D71" s="919" t="s">
        <v>777</v>
      </c>
      <c r="E71" s="920" t="s">
        <v>778</v>
      </c>
      <c r="F71" s="330">
        <f ca="1">F43</f>
        <v>1011.59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368709</v>
      </c>
      <c r="D75" s="1292"/>
      <c r="E75" s="1292"/>
      <c r="F75" s="1292"/>
      <c r="K75" s="1309"/>
      <c r="L75" s="1292"/>
      <c r="O75" s="1325" t="s">
        <v>409</v>
      </c>
      <c r="P75" s="1326" t="s">
        <v>838</v>
      </c>
      <c r="Q75" s="1327">
        <f ca="1">Q65+Q66</f>
        <v>20653683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0.745</v>
      </c>
    </row>
    <row r="83" spans="2:3" ht="13">
      <c r="B83" s="265" t="s">
        <v>803</v>
      </c>
      <c r="C83" s="266">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1A83-D6C9-41FD-8E1E-612CA24D4C6F}">
  <sheetPr>
    <tabColor rgb="FF7030A0"/>
  </sheetPr>
  <dimension ref="A1"/>
  <sheetViews>
    <sheetView topLeftCell="A46" workbookViewId="0">
      <selection activeCell="Q8" sqref="Q8"/>
    </sheetView>
  </sheetViews>
  <sheetFormatPr defaultRowHeight="1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00B79-B2FD-4B13-A74F-3A4115EE6272}">
  <sheetPr>
    <tabColor rgb="FF7030A0"/>
  </sheetPr>
  <dimension ref="O7:Q8"/>
  <sheetViews>
    <sheetView topLeftCell="A4" workbookViewId="0">
      <selection activeCell="P20" sqref="P20"/>
    </sheetView>
  </sheetViews>
  <sheetFormatPr defaultRowHeight="14"/>
  <sheetData>
    <row r="7" spans="15:17">
      <c r="O7" s="1405" t="s">
        <v>3428</v>
      </c>
      <c r="P7">
        <v>100</v>
      </c>
      <c r="Q7">
        <v>5.5</v>
      </c>
    </row>
    <row r="8" spans="15:17">
      <c r="O8" s="1405" t="s">
        <v>3427</v>
      </c>
      <c r="P8">
        <v>80</v>
      </c>
      <c r="Q8">
        <f>Q7*P8/P7</f>
        <v>4.4000000000000004</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358DF-1FE7-4AEE-9811-308E74AACB69}">
  <dimension ref="A1"/>
  <sheetViews>
    <sheetView workbookViewId="0">
      <selection activeCell="A26" sqref="A26"/>
    </sheetView>
  </sheetViews>
  <sheetFormatPr defaultRowHeight="14"/>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1011.59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45953</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45953</v>
      </c>
      <c r="B1" s="2928" t="s">
        <v>3375</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09" customFormat="1" ht="14.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3400</v>
      </c>
      <c r="AG2" t="s">
        <v>673</v>
      </c>
      <c r="AH2" t="s">
        <v>21</v>
      </c>
      <c r="AI2" t="s">
        <v>3401</v>
      </c>
      <c r="AJ2" t="s">
        <v>3</v>
      </c>
      <c r="AK2" t="s">
        <v>3402</v>
      </c>
      <c r="AM2" t="s">
        <v>3400</v>
      </c>
      <c r="AN2" t="s">
        <v>673</v>
      </c>
      <c r="AO2" t="s">
        <v>21</v>
      </c>
      <c r="AP2" t="s">
        <v>3401</v>
      </c>
      <c r="AQ2" t="s">
        <v>3</v>
      </c>
      <c r="AR2" t="s">
        <v>3402</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3399</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3413</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3">
      <c r="A7" s="2039" t="s">
        <v>3414</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3">
      <c r="A8" s="2039" t="s">
        <v>3405</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3">
      <c r="A9" s="2039" t="s">
        <v>3404</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3">
      <c r="A10" s="2039" t="s">
        <v>3379</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3">
      <c r="A11" s="2904" t="s">
        <v>3373</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3">
      <c r="A12" s="2904" t="s">
        <v>3372</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3">
      <c r="A13" s="2904" t="s">
        <v>3368</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3">
      <c r="A14" s="2904" t="s">
        <v>3367</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3">
      <c r="A15" s="2904" t="s">
        <v>3365</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3">
      <c r="A16" s="2904" t="s">
        <v>3364</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3">
      <c r="A17" s="2904" t="s">
        <v>3363</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3">
      <c r="A18" s="2904" t="s">
        <v>3361</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3">
      <c r="A19" s="2904" t="s">
        <v>3352</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3">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3">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3">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3">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3378</v>
      </c>
    </row>
    <row r="27" spans="1:44">
      <c r="I27" s="1405" t="s">
        <v>2825</v>
      </c>
    </row>
    <row r="29" spans="1:44" s="2008" customFormat="1" ht="13">
      <c r="B29" s="2928" t="s">
        <v>3376</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09" customFormat="1" ht="14.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3401</v>
      </c>
      <c r="AJ30"/>
      <c r="AK30" t="s">
        <v>3402</v>
      </c>
      <c r="AN30" t="s">
        <v>673</v>
      </c>
      <c r="AO30" t="s">
        <v>21</v>
      </c>
      <c r="AP30" t="s">
        <v>3401</v>
      </c>
      <c r="AQ30"/>
      <c r="AR30" t="s">
        <v>3402</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3">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3399</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3415</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3">
      <c r="A35" s="2039" t="s">
        <v>3414</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3">
      <c r="A36" s="2039" t="s">
        <v>3403</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3">
      <c r="A37" s="2039" t="s">
        <v>3404</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3">
      <c r="A38" s="2039" t="s">
        <v>3370</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3">
      <c r="A39" s="2904" t="s">
        <v>3374</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3">
      <c r="A40" s="2904" t="s">
        <v>3371</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3">
      <c r="A41" s="2904" t="s">
        <v>3369</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3">
      <c r="A42" s="2904" t="s">
        <v>3367</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3">
      <c r="A43" s="2904" t="s">
        <v>3366</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3">
      <c r="A44" s="2904" t="s">
        <v>3364</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3">
      <c r="A45" s="2904" t="s">
        <v>3363</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3">
      <c r="A46" s="2904" t="s">
        <v>3362</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3">
      <c r="A47" s="2904" t="s">
        <v>3352</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3">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3">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3">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3">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49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49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49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3">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49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3">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49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北京市昌平区英泽路8号院4号楼2层202房地产</v>
      </c>
      <c r="B4" s="801">
        <f>项目基本情况!C17</f>
        <v>1011.59</v>
      </c>
      <c r="C4" s="801">
        <f>项目基本情况!C18</f>
        <v>0</v>
      </c>
      <c r="D4" s="801">
        <f>结果表!D118</f>
        <v>0</v>
      </c>
      <c r="E4" s="801">
        <f>结果表!E118</f>
        <v>0</v>
      </c>
      <c r="F4" s="801">
        <f>结果表!F118</f>
        <v>0</v>
      </c>
      <c r="G4" s="801">
        <f>结果表!G118</f>
        <v>0</v>
      </c>
      <c r="H4" s="801">
        <f ca="1">结果表!H118</f>
        <v>2153</v>
      </c>
      <c r="I4" s="801">
        <f ca="1">结果表!I118</f>
        <v>21282</v>
      </c>
    </row>
    <row r="5" spans="1:9" ht="30" customHeight="1">
      <c r="A5" s="3182" t="s">
        <v>927</v>
      </c>
      <c r="B5" s="3182"/>
      <c r="C5" s="3182"/>
      <c r="D5" s="3182" t="str">
        <f>结果表!D119</f>
        <v>零元整</v>
      </c>
      <c r="E5" s="3182"/>
      <c r="F5" s="3182" t="str">
        <f>结果表!F119</f>
        <v>零元整</v>
      </c>
      <c r="G5" s="3182"/>
      <c r="H5" s="3182" t="str">
        <f ca="1">结果表!H119</f>
        <v>贰仟壹佰伍拾叁万元整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2153</v>
      </c>
      <c r="E8" s="3181"/>
      <c r="F8" s="3181"/>
      <c r="G8" s="3181"/>
      <c r="H8" s="3181"/>
      <c r="I8" s="3181"/>
    </row>
    <row r="9" spans="1:9" ht="15.5">
      <c r="A9" s="3182" t="s">
        <v>927</v>
      </c>
      <c r="B9" s="3182"/>
      <c r="C9" s="3182"/>
      <c r="D9" s="3182" t="str">
        <f ca="1">结果表!D123</f>
        <v>贰仟壹佰伍拾叁万元整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t="str">
        <f ca="1">IF(C4&lt;B2,"已过期",1119970066)</f>
        <v>已过期</v>
      </c>
      <c r="C4" s="2161">
        <v>45937</v>
      </c>
      <c r="D4" s="2162" t="str">
        <f ca="1">A4&amp;"（注册号："&amp;B4&amp;"）"</f>
        <v>梁津（注册号：已过期）</v>
      </c>
      <c r="E4" s="2163" t="s">
        <v>2148</v>
      </c>
      <c r="F4" s="1219">
        <f ca="1">IF(G4&lt;B2,"已过期",96010014)</f>
        <v>96010014</v>
      </c>
      <c r="G4" s="2164">
        <v>47118</v>
      </c>
      <c r="H4" s="2165" t="str">
        <f ca="1">E4&amp;"（注册号："&amp;F4&amp;"）"</f>
        <v>梁津（注册号：96010014）</v>
      </c>
    </row>
    <row r="5" spans="1:8" ht="24" customHeight="1">
      <c r="A5" s="1219" t="s">
        <v>2149</v>
      </c>
      <c r="B5" s="1219" t="str">
        <f ca="1">IF(C5&lt;B2,"已过期",1119970111)</f>
        <v>已过期</v>
      </c>
      <c r="C5" s="2161">
        <v>45937</v>
      </c>
      <c r="D5" s="2162" t="str">
        <f t="shared" ref="D5:D15" ca="1" si="0">A5&amp;"（注册号："&amp;B5&amp;"）"</f>
        <v>叶凌（注册号：已过期）</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t="str">
        <f ca="1">IF(C7&lt;B2,"已过期",1120000080)</f>
        <v>已过期</v>
      </c>
      <c r="C7" s="2161">
        <v>45937</v>
      </c>
      <c r="D7" s="2162" t="str">
        <f t="shared" ca="1" si="0"/>
        <v>欧红伟（注册号：已过期）</v>
      </c>
      <c r="E7" s="2163" t="s">
        <v>2151</v>
      </c>
      <c r="F7" s="1219">
        <f ca="1">IF(G7&lt;B2,"已过期",2000110082)</f>
        <v>2000110082</v>
      </c>
      <c r="G7" s="2164">
        <v>46387</v>
      </c>
      <c r="H7" s="2165" t="str">
        <f t="shared" ca="1" si="1"/>
        <v>欧红伟（注册号：2000110082）</v>
      </c>
    </row>
    <row r="8" spans="1:8" ht="24" customHeight="1">
      <c r="A8" s="1219" t="s">
        <v>2152</v>
      </c>
      <c r="B8" s="1219" t="str">
        <f ca="1">IF(C8&lt;B2,"已过期",1419970001)</f>
        <v>已过期</v>
      </c>
      <c r="C8" s="2161">
        <v>45937</v>
      </c>
      <c r="D8" s="2162" t="str">
        <f t="shared" ca="1" si="0"/>
        <v>吴薇（注册号：已过期）</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t="str">
        <f ca="1">IF(C11&lt;B2,"已过期",1120070131)</f>
        <v>已过期</v>
      </c>
      <c r="C11" s="2161">
        <v>45937</v>
      </c>
      <c r="D11" s="2162" t="str">
        <f t="shared" ca="1" si="0"/>
        <v>郑燚（注册号：已过期）</v>
      </c>
      <c r="E11" s="2163" t="s">
        <v>2155</v>
      </c>
      <c r="F11" s="1219">
        <f ca="1">IF(G11&lt;B2,"已过期",2014110011)</f>
        <v>2014110011</v>
      </c>
      <c r="G11" s="2164">
        <v>49302</v>
      </c>
      <c r="H11" s="2165" t="str">
        <f t="shared" ca="1" si="1"/>
        <v>郑燚（注册号：2014110011）</v>
      </c>
    </row>
    <row r="12" spans="1:8" ht="24" customHeight="1">
      <c r="A12" s="1219" t="s">
        <v>2156</v>
      </c>
      <c r="B12" s="1219" t="str">
        <f ca="1">IF(C12&lt;B2,"已过期",1120040230)</f>
        <v>已过期</v>
      </c>
      <c r="C12" s="2166">
        <v>45937</v>
      </c>
      <c r="D12" s="2162" t="str">
        <f t="shared" ca="1" si="0"/>
        <v>苏海（注册号：已过期）</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59"/>
      <c r="E18" s="3207" t="s">
        <v>2162</v>
      </c>
      <c r="F18" s="3206"/>
      <c r="G18" s="320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办公租金案例</vt:lpstr>
      <vt:lpstr>商业租金案例</vt:lpstr>
      <vt:lpstr>Sheet3</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2025-10-23T05:24:28Z</dcterms:modified>
</cp:coreProperties>
</file>