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15"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典型户型修正" sheetId="31" r:id="rId25"/>
    <sheet name="结果表 (2)" sheetId="80" state="hidden" r:id="rId26"/>
    <sheet name="比较法-办公 (2)" sheetId="79"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definedNames>
    <definedName name="_xlnm._FilterDatabase" localSheetId="22" hidden="1">'比较法-办公'!$A$1:$L$50</definedName>
    <definedName name="_xlnm._FilterDatabase" localSheetId="26" hidden="1">'比较法-办公 (2)'!$A$1:$L$50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26">'比较法-办公 (2)'!$B$119:$M$119</definedName>
    <definedName name="办公层高">'比较法-办公'!$B$119:$M$119</definedName>
    <definedName name="办公朝向" localSheetId="26">'比较法-办公 (2)'!$B$91:$M$91</definedName>
    <definedName name="办公朝向">'比较法-办公'!$B$91:$M$91</definedName>
    <definedName name="办公道路级别" localSheetId="26">'比较法-办公 (2)'!$B$87:$M$87</definedName>
    <definedName name="办公道路级别">'比较法-办公'!$B$87:$M$87</definedName>
    <definedName name="办公公共部分装修" localSheetId="26">'比较法-办公 (2)'!$B$108:$M$108</definedName>
    <definedName name="办公公共部分装修">'比较法-办公'!$B$108:$M$108</definedName>
    <definedName name="办公基础设施水平" localSheetId="26">'比较法-办公 (2)'!$B$117:$M$117</definedName>
    <definedName name="办公基础设施水平">'比较法-办公'!$B$117:$M$117</definedName>
    <definedName name="办公集聚程度">定义!$M$1:$M$6</definedName>
    <definedName name="办公建筑结构" localSheetId="26">'比较法-办公 (2)'!$B$106:$M$106</definedName>
    <definedName name="办公建筑结构">'比较法-办公'!$B$106:$M$106</definedName>
    <definedName name="办公建筑类型" localSheetId="26">'比较法-办公 (2)'!$B$101:$M$101</definedName>
    <definedName name="办公建筑类型">'比较法-办公'!$B$101:$M$101</definedName>
    <definedName name="办公交易情况" localSheetId="26">'比较法-办公 (2)'!$A$62:$M$62</definedName>
    <definedName name="办公交易情况">'比较法-办公'!$A$62:$M$62</definedName>
    <definedName name="办公楼层" localSheetId="26">'比较法-办公 (2)'!$B$89:$M$89</definedName>
    <definedName name="办公楼层">'比较法-办公'!$B$89:$M$89</definedName>
    <definedName name="办公内部装修" localSheetId="26">'比较法-办公 (2)'!$B$123:$M$123</definedName>
    <definedName name="办公内部装修">'比较法-办公'!$B$123:$M$123</definedName>
    <definedName name="办公物业管理" localSheetId="26">'比较法-办公 (2)'!$B$115:$M$115</definedName>
    <definedName name="办公物业管理">'比较法-办公'!$B$115:$M$115</definedName>
    <definedName name="办公用途" localSheetId="26">'比较法-办公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 (2)'!$B$113:$M$113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120" i="80" l="1"/>
  <c r="A118" i="80"/>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D35" i="80"/>
  <c r="C19" i="80"/>
  <c r="C20" i="80"/>
  <c r="D34" i="80"/>
  <c r="C102" i="80" l="1"/>
  <c r="C21" i="80"/>
  <c r="C103" i="80"/>
  <c r="K120" i="80"/>
  <c r="D121" i="80"/>
  <c r="C74" i="80"/>
  <c r="C92" i="80"/>
  <c r="C94" i="80"/>
  <c r="H109" i="80"/>
  <c r="H112" i="80"/>
  <c r="B131" i="79"/>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E90" i="79"/>
  <c r="F90" i="79" s="1"/>
  <c r="G90" i="79" s="1"/>
  <c r="H90" i="79" s="1"/>
  <c r="I90" i="79" s="1"/>
  <c r="J90" i="79" s="1"/>
  <c r="K90" i="79" s="1"/>
  <c r="L90" i="79" s="1"/>
  <c r="M90" i="79" s="1"/>
  <c r="D90" i="79"/>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E70" i="79"/>
  <c r="F70" i="79" s="1"/>
  <c r="G70" i="79" s="1"/>
  <c r="H70" i="79" s="1"/>
  <c r="I70" i="79" s="1"/>
  <c r="J70" i="79" s="1"/>
  <c r="K70" i="79" s="1"/>
  <c r="L70" i="79" s="1"/>
  <c r="M70" i="79" s="1"/>
  <c r="D70" i="79"/>
  <c r="M68" i="79"/>
  <c r="L68" i="79"/>
  <c r="K68" i="79"/>
  <c r="J68" i="79"/>
  <c r="I68" i="79"/>
  <c r="H68" i="79"/>
  <c r="G68" i="79"/>
  <c r="F68" i="79"/>
  <c r="E68" i="79"/>
  <c r="D68" i="79"/>
  <c r="C68" i="79"/>
  <c r="F67" i="79"/>
  <c r="G67" i="79" s="1"/>
  <c r="H67" i="79" s="1"/>
  <c r="I67" i="79" s="1"/>
  <c r="C64" i="79"/>
  <c r="P50" i="79"/>
  <c r="P49" i="79"/>
  <c r="P48" i="79"/>
  <c r="I55" i="79"/>
  <c r="J55" i="79" s="1"/>
  <c r="G55" i="79"/>
  <c r="H55" i="79" s="1"/>
  <c r="E55" i="79"/>
  <c r="F55" i="79" s="1"/>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C7" i="79"/>
  <c r="C59" i="79" s="1"/>
  <c r="D59" i="79" s="1"/>
  <c r="E59" i="79" s="1"/>
  <c r="F59" i="79" s="1"/>
  <c r="G59" i="79" s="1"/>
  <c r="H59" i="79" s="1"/>
  <c r="I59" i="79" s="1"/>
  <c r="J59" i="79" s="1"/>
  <c r="K59" i="79" s="1"/>
  <c r="L59" i="79" s="1"/>
  <c r="M59" i="79" s="1"/>
  <c r="N59" i="79" s="1"/>
  <c r="O59" i="79" s="1"/>
  <c r="D3" i="79"/>
  <c r="C15" i="74"/>
  <c r="B24" i="31"/>
  <c r="B26" i="31"/>
  <c r="B27"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8" i="31"/>
  <c r="B59" i="31"/>
  <c r="B60" i="31"/>
  <c r="B61" i="31"/>
  <c r="B62" i="31"/>
  <c r="B25" i="31"/>
  <c r="A26" i="31"/>
  <c r="A27"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8" i="31"/>
  <c r="A59" i="31"/>
  <c r="A60" i="31"/>
  <c r="A61" i="31"/>
  <c r="A62" i="31"/>
  <c r="A25" i="31"/>
  <c r="A24" i="31"/>
  <c r="F42" i="77"/>
  <c r="E42" i="77"/>
  <c r="K41" i="77"/>
  <c r="K40" i="77"/>
  <c r="K39" i="77"/>
  <c r="K38" i="77"/>
  <c r="K37" i="77"/>
  <c r="F36" i="77"/>
  <c r="F43" i="77" s="1"/>
  <c r="E36" i="77"/>
  <c r="E43" i="77" s="1"/>
  <c r="K35" i="77"/>
  <c r="K34" i="77"/>
  <c r="K33" i="77"/>
  <c r="K32" i="77"/>
  <c r="K31" i="77"/>
  <c r="K30" i="77"/>
  <c r="K29" i="77"/>
  <c r="K28" i="77"/>
  <c r="K27" i="77"/>
  <c r="K26" i="77"/>
  <c r="K25" i="77"/>
  <c r="K24" i="77"/>
  <c r="K23" i="77"/>
  <c r="K22" i="77"/>
  <c r="K21" i="77"/>
  <c r="K20" i="77"/>
  <c r="K19" i="77"/>
  <c r="K18" i="77"/>
  <c r="K17" i="77"/>
  <c r="K16" i="77"/>
  <c r="K15" i="77"/>
  <c r="K14" i="77"/>
  <c r="K13" i="77"/>
  <c r="K12" i="77"/>
  <c r="K11" i="77"/>
  <c r="K10" i="77"/>
  <c r="K9" i="77"/>
  <c r="K8" i="77"/>
  <c r="K7" i="77"/>
  <c r="K6" i="77"/>
  <c r="K5" i="77"/>
  <c r="K4" i="77"/>
  <c r="K42" i="77" s="1"/>
  <c r="Y6" i="1"/>
  <c r="N6" i="1"/>
  <c r="F19" i="6"/>
  <c r="D2" i="79"/>
  <c r="D124" i="80" l="1"/>
  <c r="D125" i="80" s="1"/>
  <c r="H110" i="80"/>
  <c r="H7" i="79"/>
  <c r="AA8" i="79"/>
  <c r="AC8" i="79"/>
  <c r="U9" i="79"/>
  <c r="S10" i="79"/>
  <c r="W10" i="79"/>
  <c r="U11" i="79"/>
  <c r="S12" i="79"/>
  <c r="W12" i="79"/>
  <c r="U13" i="79"/>
  <c r="S14" i="79"/>
  <c r="W14" i="79"/>
  <c r="S15" i="79"/>
  <c r="W15" i="79"/>
  <c r="S17" i="79"/>
  <c r="W17" i="79"/>
  <c r="S19" i="79"/>
  <c r="W19" i="79"/>
  <c r="S21" i="79"/>
  <c r="W21" i="79"/>
  <c r="S23" i="79"/>
  <c r="W23" i="79"/>
  <c r="U25" i="79"/>
  <c r="AC27" i="79"/>
  <c r="W27" i="79"/>
  <c r="S27" i="79"/>
  <c r="F7" i="79"/>
  <c r="J7" i="79"/>
  <c r="S9" i="79"/>
  <c r="W9" i="79"/>
  <c r="U10" i="79"/>
  <c r="S11" i="79"/>
  <c r="W11" i="79"/>
  <c r="U12" i="79"/>
  <c r="S13" i="79"/>
  <c r="W13" i="79"/>
  <c r="U14" i="79"/>
  <c r="U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R48" i="79"/>
  <c r="V48"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T48" i="79"/>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M56" i="9" s="1"/>
  <c r="B22" i="31"/>
  <c r="B15" i="74" s="1"/>
  <c r="N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A18" i="51"/>
  <c r="B13" i="72" s="1"/>
  <c r="C8" i="68"/>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F38" i="71" s="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s="1"/>
  <c r="D28" i="71"/>
  <c r="Q27" i="71"/>
  <c r="P27" i="71"/>
  <c r="O27" i="71"/>
  <c r="N27" i="71"/>
  <c r="AB26" i="71"/>
  <c r="Q26" i="71"/>
  <c r="P26" i="71"/>
  <c r="O26" i="71"/>
  <c r="Y26" i="71" s="1"/>
  <c r="Z26" i="71"/>
  <c r="N26" i="71"/>
  <c r="X26" i="71"/>
  <c r="Q25" i="71"/>
  <c r="AB25" i="71"/>
  <c r="P25" i="71"/>
  <c r="O25" i="71"/>
  <c r="Y25" i="71" s="1"/>
  <c r="Z25" i="71" s="1"/>
  <c r="N25" i="71"/>
  <c r="Q24" i="71"/>
  <c r="F25" i="71" s="1"/>
  <c r="F26" i="71" s="1"/>
  <c r="F27" i="71" s="1"/>
  <c r="V27" i="71" s="1"/>
  <c r="P24" i="71"/>
  <c r="O24" i="71"/>
  <c r="C25" i="71" s="1"/>
  <c r="N24" i="71"/>
  <c r="D24" i="71"/>
  <c r="Q23" i="71"/>
  <c r="AB23" i="71"/>
  <c r="P23" i="71"/>
  <c r="O23" i="71"/>
  <c r="Y23" i="71" s="1"/>
  <c r="Z23" i="71"/>
  <c r="N23" i="71"/>
  <c r="Q22" i="71"/>
  <c r="AB22" i="71" s="1"/>
  <c r="P22" i="71"/>
  <c r="O22" i="71"/>
  <c r="Y22" i="71"/>
  <c r="Z22" i="71" s="1"/>
  <c r="N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c r="Z18" i="71" s="1"/>
  <c r="N18" i="71"/>
  <c r="X16" i="71" s="1"/>
  <c r="Q17" i="71"/>
  <c r="AB17" i="71"/>
  <c r="P17" i="71"/>
  <c r="O17" i="71"/>
  <c r="Y17" i="71" s="1"/>
  <c r="Z17" i="71" s="1"/>
  <c r="N17" i="71"/>
  <c r="Q16" i="71"/>
  <c r="AB16" i="71" s="1"/>
  <c r="P16" i="71"/>
  <c r="O16" i="71"/>
  <c r="N16" i="71"/>
  <c r="D16" i="71"/>
  <c r="O15" i="71"/>
  <c r="N15" i="71"/>
  <c r="X11" i="71" s="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N55" i="71"/>
  <c r="E21" i="71"/>
  <c r="E22" i="71"/>
  <c r="E23" i="71" s="1"/>
  <c r="U23" i="71" s="1"/>
  <c r="C17" i="71"/>
  <c r="X17" i="71"/>
  <c r="X18" i="71"/>
  <c r="X19" i="71"/>
  <c r="C21" i="71"/>
  <c r="C22" i="71" s="1"/>
  <c r="Y20" i="71"/>
  <c r="Z20" i="71" s="1"/>
  <c r="AB20" i="71"/>
  <c r="AA21" i="71"/>
  <c r="AA22" i="71"/>
  <c r="X23" i="71"/>
  <c r="AA23" i="71"/>
  <c r="Y24" i="71"/>
  <c r="Z24" i="71" s="1"/>
  <c r="AB24" i="71"/>
  <c r="X25" i="71"/>
  <c r="AA25" i="71"/>
  <c r="F39" i="71"/>
  <c r="V39" i="71" s="1"/>
  <c r="C15" i="71"/>
  <c r="B15" i="71"/>
  <c r="B14" i="71"/>
  <c r="B13" i="71" s="1"/>
  <c r="X12" i="71"/>
  <c r="X13" i="71"/>
  <c r="X14" i="71"/>
  <c r="X15" i="71"/>
  <c r="C18" i="71"/>
  <c r="D17" i="71"/>
  <c r="D21" i="71"/>
  <c r="C26" i="71"/>
  <c r="D25" i="71"/>
  <c r="C30" i="71"/>
  <c r="D29" i="71"/>
  <c r="C34" i="71"/>
  <c r="D34" i="71"/>
  <c r="D33" i="71"/>
  <c r="C38" i="71"/>
  <c r="D37" i="71"/>
  <c r="P15" i="71"/>
  <c r="E42" i="71"/>
  <c r="E43" i="71"/>
  <c r="U43" i="71" s="1"/>
  <c r="E46" i="71"/>
  <c r="E47" i="71" s="1"/>
  <c r="U47" i="71" s="1"/>
  <c r="E50" i="71"/>
  <c r="E51" i="71"/>
  <c r="U51" i="71" s="1"/>
  <c r="U55" i="71"/>
  <c r="E54" i="71"/>
  <c r="Q15" i="71"/>
  <c r="C42" i="71"/>
  <c r="D41" i="71"/>
  <c r="C46" i="71"/>
  <c r="D45" i="71"/>
  <c r="C50" i="71"/>
  <c r="D49" i="71"/>
  <c r="N54" i="71"/>
  <c r="B53"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s="1"/>
  <c r="AB12" i="71"/>
  <c r="AB13" i="71"/>
  <c r="AB14" i="71"/>
  <c r="AB15" i="71"/>
  <c r="E15" i="71"/>
  <c r="E14" i="71" s="1"/>
  <c r="E13" i="71" s="1"/>
  <c r="AA3" i="71"/>
  <c r="AA12" i="71"/>
  <c r="AA13" i="71"/>
  <c r="AA14" i="71"/>
  <c r="AA15" i="71"/>
  <c r="D15" i="71"/>
  <c r="U15" i="71" s="1"/>
  <c r="C53" i="71"/>
  <c r="O54" i="71"/>
  <c r="D54" i="71"/>
  <c r="C51" i="71"/>
  <c r="D50" i="71"/>
  <c r="D70" i="71"/>
  <c r="C69" i="71"/>
  <c r="D69" i="71" s="1"/>
  <c r="D62" i="71"/>
  <c r="C61" i="71"/>
  <c r="D61" i="71"/>
  <c r="N52" i="71"/>
  <c r="N53" i="71"/>
  <c r="D74" i="71"/>
  <c r="C73" i="71"/>
  <c r="D73" i="71" s="1"/>
  <c r="D66" i="71"/>
  <c r="C65" i="71"/>
  <c r="D65" i="71"/>
  <c r="D58" i="71"/>
  <c r="C57" i="71"/>
  <c r="D57" i="71" s="1"/>
  <c r="C47" i="71"/>
  <c r="T47" i="71" s="1"/>
  <c r="D46" i="71"/>
  <c r="C43" i="71"/>
  <c r="T43" i="71" s="1"/>
  <c r="D42" i="71"/>
  <c r="P54" i="71"/>
  <c r="E53" i="71"/>
  <c r="C39" i="71"/>
  <c r="T39" i="71" s="1"/>
  <c r="D38" i="71"/>
  <c r="C31" i="71"/>
  <c r="T31" i="71" s="1"/>
  <c r="D30" i="71"/>
  <c r="C27" i="71"/>
  <c r="T27" i="71" s="1"/>
  <c r="D26" i="71"/>
  <c r="C23" i="71"/>
  <c r="T23" i="71" s="1"/>
  <c r="D22" i="71"/>
  <c r="C19" i="71"/>
  <c r="T19" i="71" s="1"/>
  <c r="D18" i="71"/>
  <c r="C13" i="71"/>
  <c r="D13" i="71" s="1"/>
  <c r="D14" i="71"/>
  <c r="V15" i="71"/>
  <c r="P52" i="71"/>
  <c r="P53" i="71"/>
  <c r="O53" i="71"/>
  <c r="D53" i="71"/>
  <c r="O52" i="71"/>
  <c r="D19" i="71"/>
  <c r="D23" i="71"/>
  <c r="D27" i="71"/>
  <c r="D31" i="71"/>
  <c r="D39" i="71"/>
  <c r="D43"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U21" i="21"/>
  <c r="J21" i="21"/>
  <c r="W21" i="21" s="1"/>
  <c r="C40" i="69"/>
  <c r="F38" i="68"/>
  <c r="E37" i="68"/>
  <c r="F36" i="68"/>
  <c r="F35" i="68"/>
  <c r="F21" i="68"/>
  <c r="C21" i="68" s="1"/>
  <c r="F20" i="68"/>
  <c r="E10" i="68"/>
  <c r="E9" i="68"/>
  <c r="C7" i="68"/>
  <c r="C5" i="68"/>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R57" i="31" s="1"/>
  <c r="S57" i="31" s="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10" i="31"/>
  <c r="S408" i="31"/>
  <c r="S406" i="31"/>
  <c r="S404" i="31"/>
  <c r="S400" i="31"/>
  <c r="S396" i="31"/>
  <c r="S392" i="31"/>
  <c r="S388" i="31"/>
  <c r="S386" i="31"/>
  <c r="S384" i="31"/>
  <c r="S382" i="31"/>
  <c r="S380" i="31"/>
  <c r="S378" i="31"/>
  <c r="S376" i="31"/>
  <c r="S374" i="31"/>
  <c r="S372" i="31"/>
  <c r="S368" i="31"/>
  <c r="S364" i="31"/>
  <c r="S360" i="31"/>
  <c r="S356" i="31"/>
  <c r="S354" i="31"/>
  <c r="S352" i="31"/>
  <c r="S350" i="31"/>
  <c r="S348" i="31"/>
  <c r="S346" i="31"/>
  <c r="S344" i="31"/>
  <c r="S342" i="31"/>
  <c r="S340" i="31"/>
  <c r="S336" i="31"/>
  <c r="S332" i="31"/>
  <c r="S328" i="31"/>
  <c r="S324" i="31"/>
  <c r="S322" i="31"/>
  <c r="S424" i="31"/>
  <c r="S320" i="31"/>
  <c r="S318" i="31"/>
  <c r="S316" i="31"/>
  <c r="S314" i="31"/>
  <c r="S312" i="31"/>
  <c r="S310" i="31"/>
  <c r="S306" i="31"/>
  <c r="S302" i="31"/>
  <c r="S298" i="31"/>
  <c r="S294" i="31"/>
  <c r="S292" i="31"/>
  <c r="S290" i="31"/>
  <c r="S288" i="31"/>
  <c r="S286" i="31"/>
  <c r="S284" i="31"/>
  <c r="S282" i="31"/>
  <c r="S280"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F28" i="34"/>
  <c r="AA28" i="34"/>
  <c r="F27" i="34"/>
  <c r="AA27" i="34" s="1"/>
  <c r="F25" i="34"/>
  <c r="S25" i="34"/>
  <c r="H23" i="34"/>
  <c r="U23" i="34" s="1"/>
  <c r="J23" i="34"/>
  <c r="W23" i="34" s="1"/>
  <c r="F19" i="34"/>
  <c r="H17" i="34"/>
  <c r="U17" i="34" s="1"/>
  <c r="F15" i="34"/>
  <c r="S15" i="34" s="1"/>
  <c r="J15" i="34"/>
  <c r="W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c r="F28" i="40"/>
  <c r="AA28" i="40"/>
  <c r="AA29" i="35"/>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AB13" i="34"/>
  <c r="W37" i="34"/>
  <c r="AB37" i="34"/>
  <c r="AA13" i="33"/>
  <c r="AC31" i="33"/>
  <c r="AC45" i="33"/>
  <c r="W44" i="33"/>
  <c r="U11" i="33"/>
  <c r="U19" i="21"/>
  <c r="W44" i="21"/>
  <c r="U26" i="21"/>
  <c r="AC46" i="21"/>
  <c r="U12" i="21"/>
  <c r="AB38" i="21"/>
  <c r="F43" i="33"/>
  <c r="AA43" i="33"/>
  <c r="AC15" i="34"/>
  <c r="W16" i="35"/>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s="1"/>
  <c r="W24" i="36"/>
  <c r="J27" i="36"/>
  <c r="W27" i="36"/>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5" i="6"/>
  <c r="E60" i="40" s="1"/>
  <c r="K6" i="1"/>
  <c r="G29" i="6"/>
  <c r="AC26" i="33"/>
  <c r="W26" i="33"/>
  <c r="W27" i="34"/>
  <c r="AC12" i="39"/>
  <c r="W12" i="39"/>
  <c r="AC39" i="40"/>
  <c r="W39" i="40"/>
  <c r="AZ401" i="3"/>
  <c r="AZ412" i="3"/>
  <c r="AZ417" i="3"/>
  <c r="AZ428" i="3"/>
  <c r="AZ433" i="3"/>
  <c r="AZ465" i="3"/>
  <c r="W12" i="33"/>
  <c r="AC12" i="3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E10" i="6"/>
  <c r="BA5" i="3"/>
  <c r="E27" i="6" s="1"/>
  <c r="E11" i="6"/>
  <c r="E61" i="39" s="1"/>
  <c r="BL17" i="3"/>
  <c r="AZ17" i="3" s="1"/>
  <c r="BL13" i="3"/>
  <c r="E65" i="39"/>
  <c r="J56" i="9"/>
  <c r="J57" i="9" s="1"/>
  <c r="A24" i="51"/>
  <c r="B18" i="72" s="1"/>
  <c r="U29" i="34"/>
  <c r="E14" i="6"/>
  <c r="E64" i="39" s="1"/>
  <c r="E5" i="6"/>
  <c r="D9" i="11" s="1"/>
  <c r="C9" i="11" s="1"/>
  <c r="P10" i="1"/>
  <c r="E32" i="6"/>
  <c r="L19" i="6"/>
  <c r="G1" i="68"/>
  <c r="K1" i="12"/>
  <c r="AR12" i="1"/>
  <c r="AQ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58" i="33"/>
  <c r="D58" i="33" s="1"/>
  <c r="E58" i="33" s="1"/>
  <c r="C7" i="21"/>
  <c r="C58" i="21"/>
  <c r="C7" i="40"/>
  <c r="C63" i="40"/>
  <c r="M47" i="9"/>
  <c r="G19" i="43"/>
  <c r="O19" i="43" s="1"/>
  <c r="C46" i="36"/>
  <c r="D46" i="36"/>
  <c r="C59" i="34"/>
  <c r="D59" i="34"/>
  <c r="E59" i="34" s="1"/>
  <c r="C52" i="37"/>
  <c r="D52" i="37"/>
  <c r="E52" i="37" s="1"/>
  <c r="A4" i="51"/>
  <c r="B6" i="72" s="1"/>
  <c r="C4" i="12"/>
  <c r="H66" i="43"/>
  <c r="H65" i="43"/>
  <c r="H64" i="43"/>
  <c r="H63" i="43"/>
  <c r="H55" i="43"/>
  <c r="H56" i="43"/>
  <c r="H72" i="43"/>
  <c r="L20" i="6"/>
  <c r="E56" i="39"/>
  <c r="E51" i="40"/>
  <c r="B6" i="1"/>
  <c r="E6" i="1" s="1"/>
  <c r="S8" i="1"/>
  <c r="AQ8" i="1" s="1"/>
  <c r="K11" i="1"/>
  <c r="M11" i="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M6" i="1"/>
  <c r="O6" i="1" s="1"/>
  <c r="P6" i="1" s="1"/>
  <c r="F30" i="11"/>
  <c r="C48" i="11" s="1"/>
  <c r="T11" i="1"/>
  <c r="AQ9" i="1"/>
  <c r="AR11" i="1"/>
  <c r="E59" i="40"/>
  <c r="T9" i="1"/>
  <c r="S7" i="1"/>
  <c r="T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A18" i="62" s="1"/>
  <c r="B64" i="72" s="1"/>
  <c r="J22" i="43"/>
  <c r="BL5" i="3"/>
  <c r="J59" i="9"/>
  <c r="J61" i="9" s="1"/>
  <c r="AR8" i="1"/>
  <c r="AQ7" i="1"/>
  <c r="B5" i="62"/>
  <c r="B73" i="72" s="1"/>
  <c r="AP7" i="1"/>
  <c r="M7" i="1"/>
  <c r="O7" i="1" s="1"/>
  <c r="P7" i="1" s="1"/>
  <c r="Q16" i="1"/>
  <c r="F27" i="69" s="1"/>
  <c r="H16"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s="1"/>
  <c r="J63" i="37" s="1"/>
  <c r="K63" i="37" s="1"/>
  <c r="L63" i="37" s="1"/>
  <c r="M63" i="37" s="1"/>
  <c r="J11" i="37"/>
  <c r="W10" i="37"/>
  <c r="AC10" i="37"/>
  <c r="U11" i="34"/>
  <c r="AC10" i="34"/>
  <c r="W10" i="34"/>
  <c r="H70" i="34"/>
  <c r="I70" i="34"/>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F27" i="68"/>
  <c r="C29" i="68" s="1"/>
  <c r="D27" i="68" s="1"/>
  <c r="F27" i="11"/>
  <c r="C47" i="11" s="1"/>
  <c r="D45" i="11" s="1"/>
  <c r="AC11" i="37"/>
  <c r="W11" i="37"/>
  <c r="R7" i="1"/>
  <c r="F34" i="11"/>
  <c r="F11" i="12"/>
  <c r="C23" i="12" s="1"/>
  <c r="F34" i="68"/>
  <c r="C36" i="68" s="1"/>
  <c r="R8" i="1"/>
  <c r="AE7" i="1"/>
  <c r="AE8" i="1"/>
  <c r="AG6" i="1"/>
  <c r="H109" i="9"/>
  <c r="H110" i="9"/>
  <c r="D18" i="53" s="1"/>
  <c r="B35" i="72" s="1"/>
  <c r="D16" i="53"/>
  <c r="B34" i="72" s="1"/>
  <c r="H112" i="9"/>
  <c r="D21" i="53" s="1"/>
  <c r="B39" i="72" s="1"/>
  <c r="H111" i="9"/>
  <c r="D126" i="9"/>
  <c r="I14" i="74" s="1"/>
  <c r="B8" i="74" s="1"/>
  <c r="D19" i="53"/>
  <c r="D59" i="9"/>
  <c r="M55" i="9" s="1"/>
  <c r="B38" i="72"/>
  <c r="D20" i="53"/>
  <c r="B40" i="72" s="1"/>
  <c r="AD3" i="71"/>
  <c r="C65" i="40"/>
  <c r="D63" i="40"/>
  <c r="G16" i="1"/>
  <c r="J10" i="40" s="1"/>
  <c r="J1" i="73"/>
  <c r="C36" i="1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F10" i="39"/>
  <c r="AA10" i="39" s="1"/>
  <c r="H10" i="40"/>
  <c r="AB10" i="40" s="1"/>
  <c r="E46" i="36"/>
  <c r="D58" i="21"/>
  <c r="C24" i="12"/>
  <c r="AB9" i="71"/>
  <c r="X7" i="71"/>
  <c r="X6" i="71"/>
  <c r="AA7" i="71"/>
  <c r="AA6" i="71"/>
  <c r="X10" i="71"/>
  <c r="Y6" i="71"/>
  <c r="Z6" i="71" s="1"/>
  <c r="AB7" i="71"/>
  <c r="AB6" i="71"/>
  <c r="F8" i="71"/>
  <c r="F7" i="71" s="1"/>
  <c r="F6" i="71" s="1"/>
  <c r="F5" i="71" s="1"/>
  <c r="Y7" i="71"/>
  <c r="Z7" i="71" s="1"/>
  <c r="AB3" i="71"/>
  <c r="X3" i="71"/>
  <c r="E8" i="71"/>
  <c r="E7" i="71" s="1"/>
  <c r="AF3" i="71"/>
  <c r="P24" i="43"/>
  <c r="B66" i="40" s="1"/>
  <c r="P21" i="43"/>
  <c r="P22" i="43"/>
  <c r="G20" i="43"/>
  <c r="D65" i="40"/>
  <c r="E63" i="40"/>
  <c r="E58" i="21"/>
  <c r="F58" i="21" s="1"/>
  <c r="D70" i="39"/>
  <c r="E68" i="39"/>
  <c r="P23" i="43"/>
  <c r="B71" i="39" s="1"/>
  <c r="P25" i="43"/>
  <c r="E65" i="40"/>
  <c r="F63" i="40"/>
  <c r="G63" i="40" s="1"/>
  <c r="G65" i="40" s="1"/>
  <c r="E41" i="43"/>
  <c r="C41" i="43"/>
  <c r="C20" i="43"/>
  <c r="F68" i="39"/>
  <c r="G68" i="39" s="1"/>
  <c r="E70" i="39"/>
  <c r="F65" i="40"/>
  <c r="F70" i="39"/>
  <c r="C19" i="43"/>
  <c r="M9" i="15"/>
  <c r="D2" i="34"/>
  <c r="F7" i="67"/>
  <c r="M26" i="15"/>
  <c r="D35" i="9"/>
  <c r="B7" i="76"/>
  <c r="F3" i="73"/>
  <c r="AO11" i="1"/>
  <c r="M28" i="67"/>
  <c r="F38" i="67"/>
  <c r="M8" i="15"/>
  <c r="M8" i="67"/>
  <c r="F9" i="15"/>
  <c r="F37" i="67"/>
  <c r="M6" i="67"/>
  <c r="F43" i="67"/>
  <c r="M28" i="15"/>
  <c r="AO12" i="1"/>
  <c r="F38" i="15"/>
  <c r="L47" i="15"/>
  <c r="D2" i="21"/>
  <c r="M22" i="67"/>
  <c r="D5" i="73"/>
  <c r="F7" i="15"/>
  <c r="F20" i="31"/>
  <c r="B13" i="76"/>
  <c r="F13" i="15"/>
  <c r="D2" i="36"/>
  <c r="M27" i="67"/>
  <c r="F13" i="67"/>
  <c r="D4" i="73"/>
  <c r="D2" i="35"/>
  <c r="F37" i="15"/>
  <c r="F8" i="15"/>
  <c r="J15" i="67"/>
  <c r="F6" i="15"/>
  <c r="F42" i="67"/>
  <c r="L48" i="67"/>
  <c r="F9" i="67"/>
  <c r="F40" i="67"/>
  <c r="E2" i="69"/>
  <c r="F35" i="15"/>
  <c r="F42" i="15"/>
  <c r="M6" i="15"/>
  <c r="E2" i="68"/>
  <c r="F26" i="15"/>
  <c r="C76" i="15"/>
  <c r="B11" i="76"/>
  <c r="L47" i="67"/>
  <c r="AO8" i="1"/>
  <c r="F16" i="15"/>
  <c r="AO10" i="1"/>
  <c r="M22" i="15"/>
  <c r="F6" i="67"/>
  <c r="F4" i="73"/>
  <c r="B8" i="76"/>
  <c r="F6" i="73"/>
  <c r="B10" i="76"/>
  <c r="D2" i="33"/>
  <c r="D7" i="73"/>
  <c r="M21" i="15"/>
  <c r="E7" i="76"/>
  <c r="M24" i="67"/>
  <c r="M23" i="15"/>
  <c r="AO9" i="1"/>
  <c r="F7" i="73"/>
  <c r="D6" i="73"/>
  <c r="M27" i="15"/>
  <c r="E11" i="76"/>
  <c r="C76" i="67"/>
  <c r="M23" i="67"/>
  <c r="AO7" i="1"/>
  <c r="M29" i="15"/>
  <c r="F36" i="15"/>
  <c r="J15" i="15"/>
  <c r="M9" i="67"/>
  <c r="M26" i="67"/>
  <c r="F40" i="15"/>
  <c r="AO13" i="1"/>
  <c r="F16" i="67"/>
  <c r="F26" i="67"/>
  <c r="E8" i="76"/>
  <c r="M24" i="15"/>
  <c r="D3" i="73"/>
  <c r="L48" i="15"/>
  <c r="C14" i="15"/>
  <c r="E12" i="76"/>
  <c r="F43" i="15"/>
  <c r="F41" i="15"/>
  <c r="D2" i="37"/>
  <c r="D34" i="9"/>
  <c r="B9" i="76"/>
  <c r="F36" i="67"/>
  <c r="E10" i="76"/>
  <c r="F8" i="67"/>
  <c r="F5" i="73"/>
  <c r="B12" i="76"/>
  <c r="M29" i="67"/>
  <c r="E13" i="76"/>
  <c r="E9" i="76"/>
  <c r="B16" i="49" l="1"/>
  <c r="B13" i="49"/>
  <c r="G17" i="43"/>
  <c r="C16" i="43" s="1"/>
  <c r="B4" i="62"/>
  <c r="B71" i="72" s="1"/>
  <c r="AC7" i="79"/>
  <c r="V49" i="79" s="1"/>
  <c r="I49" i="79" s="1"/>
  <c r="W7" i="79"/>
  <c r="T49" i="79"/>
  <c r="G49" i="79" s="1"/>
  <c r="AA7" i="79"/>
  <c r="R49" i="79" s="1"/>
  <c r="S7" i="79"/>
  <c r="U7" i="79"/>
  <c r="AB7" i="79"/>
  <c r="W47" i="34"/>
  <c r="AC36" i="34"/>
  <c r="S35" i="34"/>
  <c r="S23" i="34"/>
  <c r="AB23" i="34"/>
  <c r="W21" i="34"/>
  <c r="AC17" i="34"/>
  <c r="U10" i="34"/>
  <c r="E8" i="49"/>
  <c r="B22" i="49"/>
  <c r="E21" i="49"/>
  <c r="E16" i="49"/>
  <c r="E15" i="49"/>
  <c r="B11" i="49"/>
  <c r="B8" i="49"/>
  <c r="B10" i="49"/>
  <c r="B9" i="49"/>
  <c r="B6" i="49"/>
  <c r="E7" i="49"/>
  <c r="E9" i="49"/>
  <c r="E13" i="49"/>
  <c r="B14" i="49"/>
  <c r="E4" i="49"/>
  <c r="B5" i="49"/>
  <c r="E5" i="49"/>
  <c r="E6" i="49"/>
  <c r="E11" i="49"/>
  <c r="E22" i="49"/>
  <c r="B4" i="49"/>
  <c r="E14" i="49"/>
  <c r="E10" i="49"/>
  <c r="B15" i="49"/>
  <c r="B7" i="49"/>
  <c r="AC11" i="34"/>
  <c r="S42" i="34"/>
  <c r="F10" i="40"/>
  <c r="S10" i="40" s="1"/>
  <c r="C92" i="9"/>
  <c r="C94" i="9"/>
  <c r="F30" i="69"/>
  <c r="C48" i="69" s="1"/>
  <c r="D68" i="9"/>
  <c r="M18" i="15"/>
  <c r="F52" i="9"/>
  <c r="F32" i="15"/>
  <c r="F60" i="15" s="1"/>
  <c r="F32" i="67"/>
  <c r="F60" i="67" s="1"/>
  <c r="F28" i="67"/>
  <c r="C28" i="67" s="1"/>
  <c r="C30" i="11"/>
  <c r="F54" i="9"/>
  <c r="F28" i="15"/>
  <c r="C28" i="15" s="1"/>
  <c r="M18" i="67"/>
  <c r="F31" i="12"/>
  <c r="F30" i="68"/>
  <c r="C29" i="11"/>
  <c r="D27" i="11" s="1"/>
  <c r="AR7" i="1"/>
  <c r="T8" i="1"/>
  <c r="L27" i="6"/>
  <c r="D9" i="68"/>
  <c r="C9" i="68" s="1"/>
  <c r="D19" i="12"/>
  <c r="C19" i="12" s="1"/>
  <c r="D9" i="69"/>
  <c r="C9" i="69" s="1"/>
  <c r="U10" i="40"/>
  <c r="G5" i="3"/>
  <c r="B3" i="3" s="1"/>
  <c r="AC10" i="40"/>
  <c r="W10" i="40"/>
  <c r="C47" i="69"/>
  <c r="D45" i="69" s="1"/>
  <c r="C29" i="69"/>
  <c r="D27" i="69" s="1"/>
  <c r="E28" i="6"/>
  <c r="G30" i="6"/>
  <c r="G31" i="6" s="1"/>
  <c r="E57" i="40"/>
  <c r="E62" i="39"/>
  <c r="S10" i="39"/>
  <c r="H10" i="39"/>
  <c r="J10" i="39"/>
  <c r="AC10" i="39" s="1"/>
  <c r="F28" i="12"/>
  <c r="C29" i="12" s="1"/>
  <c r="D28" i="12" s="1"/>
  <c r="T13" i="1"/>
  <c r="AQ13" i="1"/>
  <c r="AR10" i="1"/>
  <c r="E56" i="40"/>
  <c r="E13" i="6"/>
  <c r="AA10" i="40"/>
  <c r="H68" i="39"/>
  <c r="G70" i="39"/>
  <c r="F66" i="15"/>
  <c r="M7" i="15"/>
  <c r="J6" i="15" s="1"/>
  <c r="F50" i="15"/>
  <c r="Q71" i="67"/>
  <c r="B13" i="70"/>
  <c r="F50" i="67"/>
  <c r="M7" i="67"/>
  <c r="J6" i="67" s="1"/>
  <c r="Q71" i="15"/>
  <c r="F64" i="15"/>
  <c r="F70" i="67"/>
  <c r="F68" i="67"/>
  <c r="F51" i="15"/>
  <c r="C6" i="67"/>
  <c r="B12" i="70"/>
  <c r="F64" i="67"/>
  <c r="F63" i="15"/>
  <c r="C62" i="15" s="1"/>
  <c r="C34" i="15"/>
  <c r="F71" i="15"/>
  <c r="J20" i="15"/>
  <c r="B7" i="70"/>
  <c r="F68" i="15"/>
  <c r="C27" i="67"/>
  <c r="E20" i="43"/>
  <c r="K1" i="73"/>
  <c r="F69" i="15"/>
  <c r="B11" i="70"/>
  <c r="F66" i="67"/>
  <c r="F65" i="15"/>
  <c r="C27" i="15"/>
  <c r="C18" i="15"/>
  <c r="C15" i="15"/>
  <c r="F65" i="67"/>
  <c r="C6" i="15"/>
  <c r="B9" i="70"/>
  <c r="L59" i="15"/>
  <c r="L58" i="15"/>
  <c r="N59" i="15"/>
  <c r="M59" i="15"/>
  <c r="I1" i="73"/>
  <c r="B39" i="1" s="1"/>
  <c r="B10" i="70"/>
  <c r="L59" i="67"/>
  <c r="N59" i="67"/>
  <c r="M59" i="67"/>
  <c r="L58" i="67"/>
  <c r="B8" i="70"/>
  <c r="F51" i="67"/>
  <c r="F71" i="67"/>
  <c r="I54" i="67"/>
  <c r="J57" i="67"/>
  <c r="J55" i="67" s="1"/>
  <c r="J58" i="67" s="1"/>
  <c r="Q50" i="67" s="1"/>
  <c r="L56" i="67"/>
  <c r="J57" i="15"/>
  <c r="J55" i="15" s="1"/>
  <c r="J58" i="15" s="1"/>
  <c r="Q50" i="15" s="1"/>
  <c r="I54" i="15"/>
  <c r="H63" i="40"/>
  <c r="G58" i="21"/>
  <c r="H58" i="21" s="1"/>
  <c r="I58" i="21" s="1"/>
  <c r="J58" i="21" s="1"/>
  <c r="K58" i="21" s="1"/>
  <c r="L58" i="21" s="1"/>
  <c r="M58" i="21" s="1"/>
  <c r="N58" i="21" s="1"/>
  <c r="O58" i="21" s="1"/>
  <c r="C5" i="43"/>
  <c r="D5" i="43"/>
  <c r="E6" i="71"/>
  <c r="E5" i="71" s="1"/>
  <c r="V7" i="71"/>
  <c r="F52" i="37"/>
  <c r="G52" i="37" s="1"/>
  <c r="H52" i="37" s="1"/>
  <c r="I52" i="37" s="1"/>
  <c r="J52" i="37" s="1"/>
  <c r="K52" i="37" s="1"/>
  <c r="L52" i="37" s="1"/>
  <c r="M52" i="37" s="1"/>
  <c r="N52" i="37" s="1"/>
  <c r="O52" i="37" s="1"/>
  <c r="F59" i="34"/>
  <c r="F58" i="33"/>
  <c r="G58" i="33" s="1"/>
  <c r="H58" i="33" s="1"/>
  <c r="I58" i="33" s="1"/>
  <c r="J58" i="33" s="1"/>
  <c r="K58" i="33" s="1"/>
  <c r="L58" i="33" s="1"/>
  <c r="M58" i="33" s="1"/>
  <c r="N58" i="33" s="1"/>
  <c r="O58" i="33" s="1"/>
  <c r="J7" i="33"/>
  <c r="F7" i="33"/>
  <c r="H7" i="33"/>
  <c r="D48" i="35"/>
  <c r="E48" i="35" s="1"/>
  <c r="F48" i="35" s="1"/>
  <c r="G48" i="35" s="1"/>
  <c r="H48" i="35" s="1"/>
  <c r="I48" i="35" s="1"/>
  <c r="J48" i="35" s="1"/>
  <c r="K48" i="35" s="1"/>
  <c r="L48" i="35" s="1"/>
  <c r="M48" i="35" s="1"/>
  <c r="N48" i="35" s="1"/>
  <c r="O48" i="35" s="1"/>
  <c r="F7" i="35"/>
  <c r="D17" i="53"/>
  <c r="B36" i="72" s="1"/>
  <c r="D124" i="9"/>
  <c r="C31" i="12"/>
  <c r="B113" i="43"/>
  <c r="G101" i="43"/>
  <c r="C101" i="43"/>
  <c r="J101" i="43"/>
  <c r="N104" i="46"/>
  <c r="L101" i="43"/>
  <c r="H101" i="43"/>
  <c r="G22" i="43"/>
  <c r="F22" i="43"/>
  <c r="K101" i="43"/>
  <c r="F101" i="43"/>
  <c r="N101" i="43"/>
  <c r="E22" i="43"/>
  <c r="D22" i="43" s="1"/>
  <c r="H22" i="43"/>
  <c r="D101" i="43"/>
  <c r="M101" i="43"/>
  <c r="I101" i="43"/>
  <c r="E101" i="43"/>
  <c r="AJ11" i="43"/>
  <c r="AJ13" i="43" s="1"/>
  <c r="AH11" i="43"/>
  <c r="AF11" i="43"/>
  <c r="AD11" i="43"/>
  <c r="AB11" i="43"/>
  <c r="AB13" i="43" s="1"/>
  <c r="Z11" i="43"/>
  <c r="Z7" i="43"/>
  <c r="AI11" i="43"/>
  <c r="AI13" i="43" s="1"/>
  <c r="AG11" i="43"/>
  <c r="AE11" i="43"/>
  <c r="AE13" i="43" s="1"/>
  <c r="AC11" i="43"/>
  <c r="AA11" i="43"/>
  <c r="AA13" i="43" s="1"/>
  <c r="Y11" i="43"/>
  <c r="Y13" i="43" s="1"/>
  <c r="S12" i="34"/>
  <c r="AA12" i="34"/>
  <c r="AB34" i="36"/>
  <c r="U34" i="36"/>
  <c r="AB33" i="36"/>
  <c r="U33" i="36"/>
  <c r="U25" i="37"/>
  <c r="AB25" i="37"/>
  <c r="U44" i="39"/>
  <c r="AB44" i="39"/>
  <c r="J7" i="21"/>
  <c r="F7" i="21"/>
  <c r="F46" i="36"/>
  <c r="D12" i="52"/>
  <c r="D127" i="9"/>
  <c r="D13" i="52" s="1"/>
  <c r="O9" i="1"/>
  <c r="P9" i="1" s="1"/>
  <c r="F30" i="6"/>
  <c r="F31" i="6" s="1"/>
  <c r="E29" i="6"/>
  <c r="D9" i="53"/>
  <c r="B25" i="72" s="1"/>
  <c r="B24" i="72"/>
  <c r="AZ521" i="3"/>
  <c r="W9" i="34"/>
  <c r="AC9" i="34"/>
  <c r="AC24" i="35"/>
  <c r="W24" i="35"/>
  <c r="AC34" i="35"/>
  <c r="W34" i="35"/>
  <c r="U36" i="35"/>
  <c r="AB36" i="35"/>
  <c r="S32" i="36"/>
  <c r="AA32" i="36"/>
  <c r="W43" i="39"/>
  <c r="AC43" i="39"/>
  <c r="AB45" i="39"/>
  <c r="U45" i="39"/>
  <c r="AB27" i="36"/>
  <c r="AA39" i="34"/>
  <c r="AZ409" i="3"/>
  <c r="AZ425" i="3"/>
  <c r="AZ432" i="3"/>
  <c r="AZ445" i="3"/>
  <c r="AZ447" i="3"/>
  <c r="AZ464" i="3"/>
  <c r="AZ467" i="3"/>
  <c r="AZ474" i="3"/>
  <c r="AZ480" i="3"/>
  <c r="AZ482" i="3"/>
  <c r="AZ486" i="3"/>
  <c r="AZ488" i="3"/>
  <c r="S11" i="36"/>
  <c r="AB11" i="36"/>
  <c r="AA14" i="33"/>
  <c r="AA44" i="33"/>
  <c r="H9" i="34"/>
  <c r="F34" i="35"/>
  <c r="H34" i="35"/>
  <c r="J36" i="35"/>
  <c r="AZ399" i="3"/>
  <c r="AZ404" i="3"/>
  <c r="AZ414" i="3"/>
  <c r="AZ421" i="3"/>
  <c r="AZ430" i="3"/>
  <c r="AZ492" i="3"/>
  <c r="AZ385" i="3"/>
  <c r="AZ210" i="3"/>
  <c r="AZ225" i="3"/>
  <c r="AZ239" i="3"/>
  <c r="AZ255" i="3"/>
  <c r="AZ247" i="3"/>
  <c r="AZ260" i="3"/>
  <c r="AZ95" i="3"/>
  <c r="AZ284" i="3"/>
  <c r="AZ289" i="3"/>
  <c r="AZ292" i="3"/>
  <c r="AZ118" i="3"/>
  <c r="AZ121" i="3"/>
  <c r="AZ134" i="3"/>
  <c r="AZ137" i="3"/>
  <c r="AZ145" i="3"/>
  <c r="AZ161" i="3"/>
  <c r="AZ177" i="3"/>
  <c r="AZ193" i="3"/>
  <c r="AZ34" i="3"/>
  <c r="AZ5" i="3" s="1"/>
  <c r="AZ38" i="3"/>
  <c r="AZ44" i="3"/>
  <c r="AZ48" i="3"/>
  <c r="AZ60" i="3"/>
  <c r="AZ64" i="3"/>
  <c r="AZ78" i="3"/>
  <c r="AZ91" i="3"/>
  <c r="AZ108" i="3"/>
  <c r="F3" i="35"/>
  <c r="J53" i="15"/>
  <c r="L56" i="15" s="1"/>
  <c r="J53" i="67"/>
  <c r="C40" i="68"/>
  <c r="C29" i="39"/>
  <c r="B66" i="43"/>
  <c r="X20" i="71"/>
  <c r="X21" i="71"/>
  <c r="X22" i="71"/>
  <c r="AA26" i="71"/>
  <c r="AA24" i="71"/>
  <c r="V55" i="71"/>
  <c r="F54" i="71"/>
  <c r="AJ10" i="43"/>
  <c r="Y16" i="71"/>
  <c r="Z16" i="71" s="1"/>
  <c r="Y3" i="71"/>
  <c r="Z3" i="71" s="1"/>
  <c r="Y12" i="71"/>
  <c r="Z12" i="71" s="1"/>
  <c r="Y13" i="71"/>
  <c r="Z13" i="71" s="1"/>
  <c r="Y14" i="71"/>
  <c r="Z14" i="71" s="1"/>
  <c r="Y15" i="71"/>
  <c r="Z15" i="71" s="1"/>
  <c r="F17" i="71"/>
  <c r="F18" i="71" s="1"/>
  <c r="F19" i="71" s="1"/>
  <c r="V19" i="71" s="1"/>
  <c r="AA17" i="71"/>
  <c r="AA18" i="71"/>
  <c r="AA20" i="71"/>
  <c r="AA19" i="71"/>
  <c r="Z12" i="43"/>
  <c r="Z13" i="43" s="1"/>
  <c r="Z10" i="43"/>
  <c r="AD12" i="43"/>
  <c r="AD13" i="43" s="1"/>
  <c r="AD10" i="43"/>
  <c r="AF12" i="43"/>
  <c r="AF10" i="43"/>
  <c r="AH12" i="43"/>
  <c r="AH13" i="43" s="1"/>
  <c r="AH10" i="43"/>
  <c r="AC12" i="43"/>
  <c r="AC10" i="43"/>
  <c r="AG12" i="43"/>
  <c r="AG10" i="43"/>
  <c r="Y11" i="71"/>
  <c r="Z11" i="71" s="1"/>
  <c r="AA10" i="71"/>
  <c r="X9" i="71"/>
  <c r="AA8" i="71"/>
  <c r="X5" i="71"/>
  <c r="Y8" i="71"/>
  <c r="Z8" i="71" s="1"/>
  <c r="Y5" i="71"/>
  <c r="Z5" i="71" s="1"/>
  <c r="AB5" i="71"/>
  <c r="Y9" i="71"/>
  <c r="Z9" i="71" s="1"/>
  <c r="AB10" i="71"/>
  <c r="AA5" i="71"/>
  <c r="AB8" i="71"/>
  <c r="AA9" i="71"/>
  <c r="X8" i="71"/>
  <c r="AA11" i="71"/>
  <c r="AB11" i="71"/>
  <c r="B11" i="71"/>
  <c r="C11" i="71"/>
  <c r="Y10" i="71"/>
  <c r="Z10" i="71" s="1"/>
  <c r="C14" i="67"/>
  <c r="M17" i="15"/>
  <c r="F59" i="67"/>
  <c r="C16" i="15"/>
  <c r="F31" i="15"/>
  <c r="C17" i="67"/>
  <c r="G1" i="73"/>
  <c r="F31" i="67"/>
  <c r="C16" i="67"/>
  <c r="F59" i="15"/>
  <c r="C17" i="15"/>
  <c r="M17" i="67"/>
  <c r="C49" i="15" l="1"/>
  <c r="I54" i="79"/>
  <c r="J54" i="79" s="1"/>
  <c r="I53" i="79"/>
  <c r="J53" i="79" s="1"/>
  <c r="R50" i="79"/>
  <c r="E49" i="79"/>
  <c r="G54" i="79"/>
  <c r="H54" i="79" s="1"/>
  <c r="G53" i="79"/>
  <c r="H53" i="79" s="1"/>
  <c r="C30" i="69"/>
  <c r="C30" i="68"/>
  <c r="C48" i="68"/>
  <c r="C49" i="67"/>
  <c r="AG13" i="43"/>
  <c r="AC13" i="43"/>
  <c r="AF13" i="43"/>
  <c r="W10"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294" i="3"/>
  <c r="E215" i="3"/>
  <c r="E230" i="3"/>
  <c r="E189" i="3"/>
  <c r="E130" i="3"/>
  <c r="E134" i="3"/>
  <c r="E254" i="3"/>
  <c r="E91" i="3"/>
  <c r="E290" i="3"/>
  <c r="E221" i="3"/>
  <c r="E161" i="3"/>
  <c r="E180" i="3"/>
  <c r="E117" i="3"/>
  <c r="E321" i="3"/>
  <c r="E231" i="3"/>
  <c r="E298" i="3"/>
  <c r="E216" i="3"/>
  <c r="E169" i="3"/>
  <c r="E185" i="3"/>
  <c r="E61" i="3"/>
  <c r="E135"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06" i="3"/>
  <c r="E232" i="3"/>
  <c r="E251" i="3"/>
  <c r="E370" i="3"/>
  <c r="AF6" i="3"/>
  <c r="E102" i="3"/>
  <c r="E80" i="3"/>
  <c r="E113" i="3"/>
  <c r="E118" i="3"/>
  <c r="E179" i="3"/>
  <c r="E264" i="3"/>
  <c r="E222" i="3"/>
  <c r="E283" i="3"/>
  <c r="E323" i="3"/>
  <c r="E309" i="3"/>
  <c r="E373" i="3"/>
  <c r="E513" i="3"/>
  <c r="E82" i="3"/>
  <c r="E21" i="3"/>
  <c r="E123" i="3"/>
  <c r="E147" i="3"/>
  <c r="E289" i="3"/>
  <c r="E340" i="3"/>
  <c r="E364" i="3"/>
  <c r="E50" i="3"/>
  <c r="E20" i="3"/>
  <c r="E62" i="3"/>
  <c r="E176" i="3"/>
  <c r="E158" i="3"/>
  <c r="E218" i="3"/>
  <c r="E287" i="3"/>
  <c r="E265" i="3"/>
  <c r="E308" i="3"/>
  <c r="E365" i="3"/>
  <c r="E326" i="3"/>
  <c r="E524" i="3"/>
  <c r="E22" i="3"/>
  <c r="E101" i="3"/>
  <c r="E83" i="3"/>
  <c r="E58" i="40"/>
  <c r="E63" i="39"/>
  <c r="E66" i="39" s="1"/>
  <c r="E16" i="6"/>
  <c r="K26" i="6"/>
  <c r="M26" i="6" s="1"/>
  <c r="I26" i="6" s="1"/>
  <c r="S26" i="6" s="1"/>
  <c r="K22" i="6"/>
  <c r="M22" i="6" s="1"/>
  <c r="I22" i="6" s="1"/>
  <c r="S22" i="6" s="1"/>
  <c r="K23" i="6"/>
  <c r="M23" i="6" s="1"/>
  <c r="I23" i="6" s="1"/>
  <c r="S23" i="6" s="1"/>
  <c r="K20" i="6"/>
  <c r="M20" i="6" s="1"/>
  <c r="I20" i="6" s="1"/>
  <c r="S20" i="6" s="1"/>
  <c r="K24" i="6"/>
  <c r="M24" i="6" s="1"/>
  <c r="I24" i="6" s="1"/>
  <c r="S24" i="6" s="1"/>
  <c r="K21" i="6"/>
  <c r="M21" i="6" s="1"/>
  <c r="I21" i="6" s="1"/>
  <c r="S21" i="6" s="1"/>
  <c r="K19" i="6"/>
  <c r="S6" i="1" s="1"/>
  <c r="K25" i="6"/>
  <c r="M25" i="6" s="1"/>
  <c r="I25" i="6" s="1"/>
  <c r="S25" i="6" s="1"/>
  <c r="K14" i="1"/>
  <c r="AB10" i="39"/>
  <c r="U10" i="39"/>
  <c r="J7" i="35"/>
  <c r="H7" i="35"/>
  <c r="H7" i="37"/>
  <c r="H70" i="39"/>
  <c r="I68" i="39"/>
  <c r="C18" i="67"/>
  <c r="C15" i="67"/>
  <c r="B40" i="1"/>
  <c r="C19" i="15"/>
  <c r="AY6" i="3"/>
  <c r="E3" i="6"/>
  <c r="W36" i="35"/>
  <c r="AC36" i="35"/>
  <c r="S34" i="35"/>
  <c r="AA34" i="35"/>
  <c r="S7" i="21"/>
  <c r="AA7" i="21"/>
  <c r="R48" i="21" s="1"/>
  <c r="I109" i="43"/>
  <c r="I104" i="43"/>
  <c r="I107" i="43"/>
  <c r="I105" i="43"/>
  <c r="I102" i="43"/>
  <c r="I106" i="43"/>
  <c r="I103" i="43"/>
  <c r="D109" i="43"/>
  <c r="D105" i="43"/>
  <c r="D106" i="43"/>
  <c r="D102" i="43"/>
  <c r="D103" i="43"/>
  <c r="D104" i="43"/>
  <c r="D107" i="43"/>
  <c r="C10" i="71"/>
  <c r="D11" i="71"/>
  <c r="U11" i="71" s="1"/>
  <c r="T11" i="71"/>
  <c r="F53" i="71"/>
  <c r="Q54" i="71"/>
  <c r="F1" i="67"/>
  <c r="Q52" i="67"/>
  <c r="AB34" i="35"/>
  <c r="U34" i="35"/>
  <c r="U9" i="34"/>
  <c r="AB9" i="34"/>
  <c r="W7" i="21"/>
  <c r="AC7" i="21"/>
  <c r="V48" i="21" s="1"/>
  <c r="I48" i="21" s="1"/>
  <c r="E102" i="43"/>
  <c r="E106" i="43"/>
  <c r="E103" i="43"/>
  <c r="E104" i="43"/>
  <c r="E107" i="43"/>
  <c r="E105" i="43"/>
  <c r="E109" i="43"/>
  <c r="M109" i="43"/>
  <c r="M102" i="43"/>
  <c r="M106" i="43"/>
  <c r="M103" i="43"/>
  <c r="M104" i="43"/>
  <c r="M107" i="43"/>
  <c r="M105" i="43"/>
  <c r="N102" i="43"/>
  <c r="N105" i="43"/>
  <c r="N103" i="43"/>
  <c r="N106" i="43"/>
  <c r="N107" i="43"/>
  <c r="N104" i="43"/>
  <c r="N109" i="43"/>
  <c r="K103" i="43"/>
  <c r="K102" i="43"/>
  <c r="K107" i="43"/>
  <c r="K104" i="43"/>
  <c r="K106" i="43"/>
  <c r="K105" i="43"/>
  <c r="K109" i="43"/>
  <c r="L109" i="43"/>
  <c r="L106" i="43"/>
  <c r="L107" i="43"/>
  <c r="L103" i="43"/>
  <c r="L102" i="43"/>
  <c r="L105" i="43"/>
  <c r="L104" i="43"/>
  <c r="J107" i="43"/>
  <c r="J102" i="43"/>
  <c r="J104" i="43"/>
  <c r="J105" i="43"/>
  <c r="J103" i="43"/>
  <c r="J106" i="43"/>
  <c r="J109" i="43"/>
  <c r="G105" i="43"/>
  <c r="G102" i="43"/>
  <c r="G103" i="43"/>
  <c r="G109" i="43"/>
  <c r="G107" i="43"/>
  <c r="G104" i="43"/>
  <c r="G106" i="43"/>
  <c r="H14" i="74"/>
  <c r="B7" i="74" s="1"/>
  <c r="D10" i="52"/>
  <c r="D125" i="9"/>
  <c r="D11" i="52" s="1"/>
  <c r="AA7" i="35"/>
  <c r="R38" i="35" s="1"/>
  <c r="S7" i="35"/>
  <c r="AB7" i="33"/>
  <c r="T48" i="33" s="1"/>
  <c r="G48" i="33" s="1"/>
  <c r="U7" i="33"/>
  <c r="W7" i="33"/>
  <c r="AC7" i="33"/>
  <c r="V48" i="33" s="1"/>
  <c r="I48" i="33" s="1"/>
  <c r="F7" i="37"/>
  <c r="J7" i="37"/>
  <c r="C39" i="43"/>
  <c r="C38" i="43"/>
  <c r="C36" i="43"/>
  <c r="C35" i="43"/>
  <c r="C37" i="43"/>
  <c r="C33" i="43"/>
  <c r="C34" i="43"/>
  <c r="H7" i="21"/>
  <c r="H65" i="40"/>
  <c r="I63" i="40"/>
  <c r="Q74" i="67"/>
  <c r="Q61" i="67"/>
  <c r="M11" i="15"/>
  <c r="J10" i="15" s="1"/>
  <c r="J5" i="15" s="1"/>
  <c r="F11" i="15"/>
  <c r="F11" i="67"/>
  <c r="M11" i="67"/>
  <c r="J10" i="67" s="1"/>
  <c r="J5" i="67" s="1"/>
  <c r="Q61" i="15"/>
  <c r="Q74" i="15"/>
  <c r="P28" i="43"/>
  <c r="N28" i="43"/>
  <c r="M28" i="43"/>
  <c r="O28" i="43"/>
  <c r="B10" i="71"/>
  <c r="B9" i="71" s="1"/>
  <c r="B8" i="71" s="1"/>
  <c r="B7" i="71" s="1"/>
  <c r="S11" i="71"/>
  <c r="C47" i="68"/>
  <c r="D45" i="68" s="1"/>
  <c r="F1" i="15"/>
  <c r="Q52" i="15"/>
  <c r="E30" i="6"/>
  <c r="E31" i="6" s="1"/>
  <c r="K15" i="1"/>
  <c r="G46" i="36"/>
  <c r="H46" i="36" s="1"/>
  <c r="I46" i="36" s="1"/>
  <c r="J46" i="36" s="1"/>
  <c r="K46" i="36" s="1"/>
  <c r="L46" i="36" s="1"/>
  <c r="M46" i="36" s="1"/>
  <c r="N46" i="36" s="1"/>
  <c r="O46" i="36" s="1"/>
  <c r="F104" i="43"/>
  <c r="F102" i="43"/>
  <c r="F107" i="43"/>
  <c r="F106" i="43"/>
  <c r="F103" i="43"/>
  <c r="F105" i="43"/>
  <c r="F109" i="43"/>
  <c r="H102" i="43"/>
  <c r="H103" i="43"/>
  <c r="H104" i="43"/>
  <c r="H109" i="43"/>
  <c r="H107" i="43"/>
  <c r="H106" i="43"/>
  <c r="H105" i="43"/>
  <c r="C107" i="43"/>
  <c r="C103" i="43"/>
  <c r="C104" i="43"/>
  <c r="C106" i="43"/>
  <c r="C105" i="43"/>
  <c r="C102" i="43"/>
  <c r="C109" i="43"/>
  <c r="D117" i="43"/>
  <c r="E117" i="43" s="1"/>
  <c r="F117" i="43" s="1"/>
  <c r="G117" i="43" s="1"/>
  <c r="H117" i="43" s="1"/>
  <c r="I115" i="43"/>
  <c r="J115" i="43" s="1"/>
  <c r="K115" i="43" s="1"/>
  <c r="L115" i="43" s="1"/>
  <c r="M115" i="43" s="1"/>
  <c r="B115" i="43"/>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AC7" i="35"/>
  <c r="V38" i="35" s="1"/>
  <c r="I38" i="35" s="1"/>
  <c r="W7" i="35"/>
  <c r="AB7" i="35"/>
  <c r="T38" i="35" s="1"/>
  <c r="G38" i="35" s="1"/>
  <c r="U7" i="35"/>
  <c r="S7" i="33"/>
  <c r="AA7" i="33"/>
  <c r="R48" i="33" s="1"/>
  <c r="G59" i="34"/>
  <c r="H59" i="34" s="1"/>
  <c r="I59" i="34" s="1"/>
  <c r="J59" i="34" s="1"/>
  <c r="K59" i="34" s="1"/>
  <c r="L59" i="34" s="1"/>
  <c r="M59" i="34" s="1"/>
  <c r="N59" i="34" s="1"/>
  <c r="O59" i="34" s="1"/>
  <c r="H7" i="34"/>
  <c r="U7" i="37"/>
  <c r="AB7" i="37"/>
  <c r="T42" i="37" s="1"/>
  <c r="G42" i="37" s="1"/>
  <c r="T8" i="43"/>
  <c r="V8" i="43" s="1"/>
  <c r="T13" i="43"/>
  <c r="V13" i="43" s="1"/>
  <c r="T16" i="43"/>
  <c r="V16" i="43" s="1"/>
  <c r="T15" i="43"/>
  <c r="V15" i="43" s="1"/>
  <c r="T9" i="43"/>
  <c r="V9" i="43" s="1"/>
  <c r="T12" i="43"/>
  <c r="V12" i="43" s="1"/>
  <c r="T10" i="43"/>
  <c r="V10" i="43" s="1"/>
  <c r="T11" i="43"/>
  <c r="V11" i="43" s="1"/>
  <c r="T14" i="43"/>
  <c r="V14" i="43" s="1"/>
  <c r="Q73" i="67"/>
  <c r="Q60" i="67"/>
  <c r="Q73" i="15"/>
  <c r="Q60" i="15"/>
  <c r="J18" i="15"/>
  <c r="C32" i="15"/>
  <c r="J18" i="67"/>
  <c r="C32" i="67"/>
  <c r="AE6" i="1"/>
  <c r="E54" i="79" l="1"/>
  <c r="F54" i="79" s="1"/>
  <c r="E53" i="79"/>
  <c r="F53" i="79" s="1"/>
  <c r="C50" i="79"/>
  <c r="C49" i="79"/>
  <c r="AQ6" i="1"/>
  <c r="T6" i="1"/>
  <c r="S16" i="1"/>
  <c r="AR6" i="1"/>
  <c r="K16" i="1"/>
  <c r="H6" i="3"/>
  <c r="AC6" i="3"/>
  <c r="M14" i="1"/>
  <c r="C34" i="69"/>
  <c r="K27" i="6"/>
  <c r="M19" i="6"/>
  <c r="S2" i="43"/>
  <c r="T2" i="43" s="1"/>
  <c r="V2" i="43" s="1"/>
  <c r="S5" i="43"/>
  <c r="T5" i="43" s="1"/>
  <c r="V5" i="43" s="1"/>
  <c r="S6" i="43"/>
  <c r="T6" i="43" s="1"/>
  <c r="V6" i="43" s="1"/>
  <c r="S4" i="43"/>
  <c r="T4" i="43" s="1"/>
  <c r="V4" i="43" s="1"/>
  <c r="S7" i="43"/>
  <c r="T7" i="43" s="1"/>
  <c r="V7" i="43" s="1"/>
  <c r="C23" i="43"/>
  <c r="C21" i="43" s="1"/>
  <c r="C29" i="43" s="1"/>
  <c r="E29" i="43" s="1"/>
  <c r="S3" i="43"/>
  <c r="T3" i="43" s="1"/>
  <c r="V3" i="43" s="1"/>
  <c r="C19" i="67"/>
  <c r="C20" i="67" s="1"/>
  <c r="C26" i="67" s="1"/>
  <c r="J68" i="39"/>
  <c r="I70" i="39"/>
  <c r="J24" i="15"/>
  <c r="J26" i="15"/>
  <c r="J29" i="15" s="1"/>
  <c r="G46" i="37"/>
  <c r="H46" i="37" s="1"/>
  <c r="J24" i="67"/>
  <c r="J26" i="67"/>
  <c r="C30" i="43"/>
  <c r="E30" i="43" s="1"/>
  <c r="J7" i="36"/>
  <c r="G42" i="35"/>
  <c r="H42" i="35" s="1"/>
  <c r="G43" i="35"/>
  <c r="H43" i="35" s="1"/>
  <c r="I42" i="35"/>
  <c r="J42" i="35" s="1"/>
  <c r="C115" i="43"/>
  <c r="D113" i="43"/>
  <c r="H7" i="36"/>
  <c r="C53" i="15"/>
  <c r="C48" i="15" s="1"/>
  <c r="C10" i="15"/>
  <c r="C5" i="15" s="1"/>
  <c r="G34" i="43"/>
  <c r="I34" i="43" s="1"/>
  <c r="E34" i="43"/>
  <c r="E37" i="43"/>
  <c r="G37" i="43"/>
  <c r="I37" i="43" s="1"/>
  <c r="E36" i="43"/>
  <c r="G36" i="43"/>
  <c r="I36" i="43" s="1"/>
  <c r="E39" i="43"/>
  <c r="G39" i="43"/>
  <c r="I39" i="43" s="1"/>
  <c r="S7" i="37"/>
  <c r="AA7" i="37"/>
  <c r="R42" i="37" s="1"/>
  <c r="I52" i="33"/>
  <c r="J52" i="33" s="1"/>
  <c r="I52" i="21"/>
  <c r="J52" i="21" s="1"/>
  <c r="C9" i="71"/>
  <c r="D1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2" i="11"/>
  <c r="F22" i="68"/>
  <c r="F24" i="67"/>
  <c r="C24" i="67" s="1"/>
  <c r="F25" i="12"/>
  <c r="C26" i="12" s="1"/>
  <c r="D25" i="12" s="1"/>
  <c r="F24" i="15"/>
  <c r="C24" i="15" s="1"/>
  <c r="F22" i="69"/>
  <c r="U7" i="34"/>
  <c r="AB7" i="34"/>
  <c r="T49" i="34" s="1"/>
  <c r="G49" i="34" s="1"/>
  <c r="E48" i="33"/>
  <c r="R49" i="33"/>
  <c r="B6" i="71"/>
  <c r="B5" i="71" s="1"/>
  <c r="S7" i="71"/>
  <c r="C53" i="67"/>
  <c r="C48" i="67" s="1"/>
  <c r="C10" i="67"/>
  <c r="C5" i="67" s="1"/>
  <c r="J63" i="40"/>
  <c r="I65" i="40"/>
  <c r="AB7" i="21"/>
  <c r="T48" i="21" s="1"/>
  <c r="G48" i="21" s="1"/>
  <c r="U7" i="21"/>
  <c r="G33" i="43"/>
  <c r="I33" i="43" s="1"/>
  <c r="E33" i="43"/>
  <c r="E35" i="43"/>
  <c r="G35" i="43"/>
  <c r="I35" i="43" s="1"/>
  <c r="E38" i="43"/>
  <c r="G38" i="43"/>
  <c r="I38" i="43" s="1"/>
  <c r="W7" i="37"/>
  <c r="AC7" i="37"/>
  <c r="V42" i="37" s="1"/>
  <c r="I42" i="37" s="1"/>
  <c r="F7" i="34"/>
  <c r="G52" i="33"/>
  <c r="H52" i="33" s="1"/>
  <c r="G53" i="33"/>
  <c r="H53" i="33" s="1"/>
  <c r="E38" i="35"/>
  <c r="R39" i="35"/>
  <c r="Q53" i="71"/>
  <c r="Q52" i="71"/>
  <c r="E48" i="21"/>
  <c r="R49" i="21"/>
  <c r="D3" i="34"/>
  <c r="D3" i="33"/>
  <c r="E6" i="6"/>
  <c r="D37" i="11"/>
  <c r="C37" i="11" s="1"/>
  <c r="D14" i="12"/>
  <c r="M18" i="9"/>
  <c r="B118" i="9" s="1"/>
  <c r="B14" i="74" s="1"/>
  <c r="B1" i="74" s="1"/>
  <c r="C8" i="74" s="1"/>
  <c r="D3" i="21"/>
  <c r="D19" i="11"/>
  <c r="C19" i="11" s="1"/>
  <c r="C17" i="4"/>
  <c r="B4" i="52" s="1"/>
  <c r="B43" i="72" s="1"/>
  <c r="L18" i="9"/>
  <c r="D3" i="37"/>
  <c r="J7" i="34"/>
  <c r="F7" i="36"/>
  <c r="C20" i="15"/>
  <c r="F41" i="67"/>
  <c r="F69" i="67" l="1"/>
  <c r="J29" i="67"/>
  <c r="B3" i="79"/>
  <c r="B2" i="79"/>
  <c r="E6" i="3"/>
  <c r="I19" i="6"/>
  <c r="M27" i="6"/>
  <c r="C38" i="69"/>
  <c r="C35" i="69"/>
  <c r="O14" i="1"/>
  <c r="T16" i="1"/>
  <c r="M16" i="1"/>
  <c r="C23" i="15"/>
  <c r="C23" i="67"/>
  <c r="C29" i="67" s="1"/>
  <c r="C26" i="15"/>
  <c r="K68" i="39"/>
  <c r="J70" i="39"/>
  <c r="C48" i="21"/>
  <c r="C49" i="21"/>
  <c r="B2" i="21" s="1"/>
  <c r="B3" i="21" s="1"/>
  <c r="C38" i="35"/>
  <c r="C39" i="35"/>
  <c r="B2" i="35" s="1"/>
  <c r="B3" i="35" s="1"/>
  <c r="C49" i="33"/>
  <c r="B2" i="33" s="1"/>
  <c r="B3" i="33" s="1"/>
  <c r="C48" i="33"/>
  <c r="C44" i="11"/>
  <c r="D41" i="11" s="1"/>
  <c r="C23" i="11"/>
  <c r="C26" i="11"/>
  <c r="D22" i="11" s="1"/>
  <c r="W7" i="34"/>
  <c r="AC7" i="34"/>
  <c r="V49" i="34" s="1"/>
  <c r="I49" i="34" s="1"/>
  <c r="C20" i="11"/>
  <c r="C25" i="11" s="1"/>
  <c r="C24" i="11"/>
  <c r="C28" i="11"/>
  <c r="C27" i="11" s="1"/>
  <c r="C14" i="12"/>
  <c r="D17" i="12"/>
  <c r="C17" i="12" s="1"/>
  <c r="D10" i="69"/>
  <c r="D10" i="68"/>
  <c r="D10" i="11"/>
  <c r="C10" i="11" s="1"/>
  <c r="D20" i="12"/>
  <c r="C20" i="12" s="1"/>
  <c r="C18" i="12" s="1"/>
  <c r="E52" i="21"/>
  <c r="F52" i="21" s="1"/>
  <c r="E53" i="21"/>
  <c r="F53" i="21" s="1"/>
  <c r="E43" i="35"/>
  <c r="F43" i="35" s="1"/>
  <c r="E42" i="35"/>
  <c r="F42" i="35" s="1"/>
  <c r="I46" i="37"/>
  <c r="J46" i="37" s="1"/>
  <c r="C38" i="67"/>
  <c r="E53" i="33"/>
  <c r="F53" i="33" s="1"/>
  <c r="E52" i="33"/>
  <c r="F52" i="33" s="1"/>
  <c r="C44" i="69"/>
  <c r="D41" i="69" s="1"/>
  <c r="C26" i="69"/>
  <c r="D22" i="69" s="1"/>
  <c r="C26" i="68"/>
  <c r="D22" i="68" s="1"/>
  <c r="C23" i="68"/>
  <c r="C44" i="68"/>
  <c r="D41" i="68" s="1"/>
  <c r="D9" i="71"/>
  <c r="C8" i="71"/>
  <c r="I53" i="21"/>
  <c r="J53" i="21" s="1"/>
  <c r="C7" i="74"/>
  <c r="C38" i="15"/>
  <c r="U7" i="36"/>
  <c r="AB7" i="36"/>
  <c r="T36" i="36" s="1"/>
  <c r="G36" i="36" s="1"/>
  <c r="C26" i="43"/>
  <c r="AA7" i="36"/>
  <c r="R36" i="36" s="1"/>
  <c r="S7" i="36"/>
  <c r="S7" i="34"/>
  <c r="AA7" i="34"/>
  <c r="R49" i="34" s="1"/>
  <c r="G53" i="21"/>
  <c r="H53" i="21" s="1"/>
  <c r="G52" i="21"/>
  <c r="H52" i="21" s="1"/>
  <c r="J65" i="40"/>
  <c r="K63" i="40"/>
  <c r="C60" i="67"/>
  <c r="C66" i="67"/>
  <c r="G53" i="34"/>
  <c r="H53" i="34" s="1"/>
  <c r="G54" i="34"/>
  <c r="H54" i="34" s="1"/>
  <c r="H20" i="6"/>
  <c r="D25" i="6"/>
  <c r="D15" i="6"/>
  <c r="D22" i="6"/>
  <c r="D21" i="6"/>
  <c r="D24" i="6"/>
  <c r="D20" i="6"/>
  <c r="R20" i="6" s="1"/>
  <c r="D6" i="6"/>
  <c r="D9" i="6"/>
  <c r="D10" i="6"/>
  <c r="L19" i="9"/>
  <c r="D29" i="6"/>
  <c r="H25" i="6"/>
  <c r="H22" i="6"/>
  <c r="H21" i="6"/>
  <c r="H24" i="6"/>
  <c r="H19" i="6"/>
  <c r="M19" i="9"/>
  <c r="C118" i="9" s="1"/>
  <c r="C14" i="74" s="1"/>
  <c r="B2" i="74" s="1"/>
  <c r="D19" i="6"/>
  <c r="D26" i="6"/>
  <c r="C18" i="4"/>
  <c r="D8" i="6"/>
  <c r="D23" i="6"/>
  <c r="D14" i="6"/>
  <c r="D5" i="6"/>
  <c r="D12" i="6"/>
  <c r="D11" i="6"/>
  <c r="D13" i="6"/>
  <c r="D28" i="6"/>
  <c r="D30" i="6" s="1"/>
  <c r="E61" i="40"/>
  <c r="H23" i="6"/>
  <c r="H26" i="6"/>
  <c r="I53" i="33"/>
  <c r="J53" i="33" s="1"/>
  <c r="R43" i="37"/>
  <c r="E42" i="37"/>
  <c r="C66" i="15"/>
  <c r="C60" i="15"/>
  <c r="I43" i="35"/>
  <c r="J43" i="35" s="1"/>
  <c r="W7" i="36"/>
  <c r="AC7" i="36"/>
  <c r="V36" i="36" s="1"/>
  <c r="I36" i="36" s="1"/>
  <c r="C27" i="43"/>
  <c r="G47" i="37"/>
  <c r="H47" i="37" s="1"/>
  <c r="E6" i="76"/>
  <c r="H27" i="6" l="1"/>
  <c r="D16" i="6"/>
  <c r="N16" i="1"/>
  <c r="L16" i="1"/>
  <c r="C34" i="68"/>
  <c r="C34" i="11"/>
  <c r="P14" i="1"/>
  <c r="P16" i="1" s="1"/>
  <c r="C11" i="12" s="1"/>
  <c r="O16" i="1"/>
  <c r="I27" i="6"/>
  <c r="S19" i="6"/>
  <c r="S27" i="6" s="1"/>
  <c r="C29" i="15"/>
  <c r="C13" i="15" s="1"/>
  <c r="R25" i="6"/>
  <c r="C36" i="67"/>
  <c r="Q49" i="67"/>
  <c r="C13" i="67"/>
  <c r="Q70" i="67" s="1"/>
  <c r="J59" i="67"/>
  <c r="J60" i="67" s="1"/>
  <c r="L46" i="67" s="1"/>
  <c r="C57" i="67"/>
  <c r="C64" i="67" s="1"/>
  <c r="J14" i="67"/>
  <c r="J22" i="67" s="1"/>
  <c r="C33" i="67"/>
  <c r="J19" i="67"/>
  <c r="K70" i="39"/>
  <c r="L68" i="39"/>
  <c r="E2" i="76"/>
  <c r="I40" i="36"/>
  <c r="J40" i="36" s="1"/>
  <c r="C43" i="37"/>
  <c r="B2" i="37" s="1"/>
  <c r="B3" i="37" s="1"/>
  <c r="C42" i="37"/>
  <c r="R26" i="6"/>
  <c r="D8" i="74"/>
  <c r="D7" i="74"/>
  <c r="R21" i="6"/>
  <c r="K65" i="40"/>
  <c r="L63" i="40"/>
  <c r="R50" i="34"/>
  <c r="E49" i="34"/>
  <c r="G40" i="36"/>
  <c r="H40" i="36" s="1"/>
  <c r="G41" i="36"/>
  <c r="H41" i="36" s="1"/>
  <c r="C10" i="68"/>
  <c r="D19" i="68"/>
  <c r="I53" i="34"/>
  <c r="J53" i="34" s="1"/>
  <c r="I54" i="34"/>
  <c r="J54" i="34" s="1"/>
  <c r="E47" i="37"/>
  <c r="F47" i="37" s="1"/>
  <c r="E46" i="37"/>
  <c r="F46" i="37" s="1"/>
  <c r="R23" i="6"/>
  <c r="A7" i="51"/>
  <c r="B7" i="72" s="1"/>
  <c r="C4" i="52"/>
  <c r="B45" i="72" s="1"/>
  <c r="A10" i="51"/>
  <c r="B9" i="72" s="1"/>
  <c r="D27" i="6"/>
  <c r="D31" i="6" s="1"/>
  <c r="R19" i="6"/>
  <c r="R24" i="6"/>
  <c r="R22" i="6"/>
  <c r="R37" i="36"/>
  <c r="E36" i="36"/>
  <c r="B2" i="43"/>
  <c r="C7" i="71"/>
  <c r="D8" i="71"/>
  <c r="I47" i="37"/>
  <c r="J47" i="37" s="1"/>
  <c r="D19" i="69"/>
  <c r="C10" i="69"/>
  <c r="C8" i="69" s="1"/>
  <c r="C5" i="69" s="1"/>
  <c r="C22" i="11"/>
  <c r="C31" i="11" s="1"/>
  <c r="B6" i="76"/>
  <c r="C33" i="15" l="1"/>
  <c r="C31" i="15" s="1"/>
  <c r="Q49" i="15"/>
  <c r="J19" i="15"/>
  <c r="J17" i="15" s="1"/>
  <c r="C57" i="15"/>
  <c r="C61" i="15" s="1"/>
  <c r="C59" i="15" s="1"/>
  <c r="R27" i="6"/>
  <c r="R6" i="1"/>
  <c r="C38" i="11"/>
  <c r="C35" i="11"/>
  <c r="J14" i="15"/>
  <c r="C12" i="12"/>
  <c r="C15" i="12"/>
  <c r="C35" i="68"/>
  <c r="C38" i="68"/>
  <c r="F50" i="68"/>
  <c r="F50" i="11"/>
  <c r="F50" i="69"/>
  <c r="Q70" i="15"/>
  <c r="C56" i="15"/>
  <c r="C65" i="15" s="1"/>
  <c r="C75" i="15"/>
  <c r="C37" i="15"/>
  <c r="C36" i="15"/>
  <c r="J59" i="15"/>
  <c r="J60" i="15" s="1"/>
  <c r="J13" i="67"/>
  <c r="J23" i="67" s="1"/>
  <c r="C61" i="67"/>
  <c r="C56" i="67"/>
  <c r="C65" i="67" s="1"/>
  <c r="C37" i="67"/>
  <c r="C75" i="67"/>
  <c r="Q48" i="67"/>
  <c r="M68" i="39"/>
  <c r="L70" i="39"/>
  <c r="B2" i="76"/>
  <c r="B3" i="76" s="1"/>
  <c r="C23" i="69"/>
  <c r="T7" i="71"/>
  <c r="D7" i="71"/>
  <c r="U7" i="71" s="1"/>
  <c r="C6" i="71"/>
  <c r="E41" i="36"/>
  <c r="F41" i="36" s="1"/>
  <c r="E40" i="36"/>
  <c r="F40" i="36" s="1"/>
  <c r="I6" i="6"/>
  <c r="I5" i="6"/>
  <c r="C50" i="34"/>
  <c r="B2" i="34" s="1"/>
  <c r="C49" i="34"/>
  <c r="C19" i="69"/>
  <c r="C24" i="69" s="1"/>
  <c r="D37" i="69"/>
  <c r="C37" i="69" s="1"/>
  <c r="C33" i="69" s="1"/>
  <c r="B3" i="43"/>
  <c r="C37" i="36"/>
  <c r="B2" i="36" s="1"/>
  <c r="B3" i="36" s="1"/>
  <c r="C36" i="36"/>
  <c r="C19" i="68"/>
  <c r="D37" i="68"/>
  <c r="C37" i="68" s="1"/>
  <c r="E54" i="34"/>
  <c r="F54" i="34" s="1"/>
  <c r="E53" i="34"/>
  <c r="F53" i="34" s="1"/>
  <c r="M63" i="40"/>
  <c r="L65" i="40"/>
  <c r="I41" i="36"/>
  <c r="J41" i="36" s="1"/>
  <c r="M21" i="67"/>
  <c r="F35" i="67"/>
  <c r="C19" i="9"/>
  <c r="C34" i="67" l="1"/>
  <c r="C31" i="67" s="1"/>
  <c r="C30" i="67" s="1"/>
  <c r="C39" i="67" s="1"/>
  <c r="J20" i="67"/>
  <c r="J17" i="67" s="1"/>
  <c r="J16" i="67" s="1"/>
  <c r="J25" i="67" s="1"/>
  <c r="F63" i="67"/>
  <c r="C62" i="67" s="1"/>
  <c r="C59" i="67" s="1"/>
  <c r="C58" i="67" s="1"/>
  <c r="C67" i="67" s="1"/>
  <c r="C68" i="67" s="1"/>
  <c r="R16" i="1"/>
  <c r="C102" i="9"/>
  <c r="C21" i="9"/>
  <c r="B3" i="34"/>
  <c r="C16" i="12"/>
  <c r="C21" i="12" s="1"/>
  <c r="C22" i="12" s="1"/>
  <c r="C30" i="12" s="1"/>
  <c r="C28" i="12" s="1"/>
  <c r="C33" i="11"/>
  <c r="C39" i="11" s="1"/>
  <c r="C43" i="11" s="1"/>
  <c r="C64" i="15"/>
  <c r="C58" i="15" s="1"/>
  <c r="C67" i="15" s="1"/>
  <c r="C68" i="15" s="1"/>
  <c r="C71" i="15" s="1"/>
  <c r="C33" i="68"/>
  <c r="C39" i="68" s="1"/>
  <c r="C43" i="68" s="1"/>
  <c r="J13" i="15"/>
  <c r="J23" i="15" s="1"/>
  <c r="J22" i="15"/>
  <c r="C42" i="11"/>
  <c r="L46" i="15"/>
  <c r="Q48" i="15"/>
  <c r="C30" i="15"/>
  <c r="C39" i="15" s="1"/>
  <c r="C20" i="69"/>
  <c r="C25" i="69" s="1"/>
  <c r="C22" i="69" s="1"/>
  <c r="M70" i="39"/>
  <c r="N68" i="39"/>
  <c r="L57" i="67"/>
  <c r="L60" i="67" s="1"/>
  <c r="N63" i="40"/>
  <c r="M65" i="40"/>
  <c r="C24" i="68"/>
  <c r="C20" i="68"/>
  <c r="C25" i="68" s="1"/>
  <c r="C5" i="71"/>
  <c r="D6" i="71"/>
  <c r="C39" i="69"/>
  <c r="C43" i="69" s="1"/>
  <c r="C42" i="69"/>
  <c r="C20" i="9"/>
  <c r="L51" i="67"/>
  <c r="L51" i="15"/>
  <c r="C40" i="67" l="1"/>
  <c r="C45" i="67" s="1"/>
  <c r="C46" i="67" s="1"/>
  <c r="Q69" i="67"/>
  <c r="Q68" i="67" s="1"/>
  <c r="C80" i="67"/>
  <c r="C79" i="67" s="1"/>
  <c r="Q67" i="67"/>
  <c r="C41" i="11"/>
  <c r="C103" i="9"/>
  <c r="C27" i="12"/>
  <c r="C25" i="12" s="1"/>
  <c r="C32" i="12" s="1"/>
  <c r="B2" i="12" s="1"/>
  <c r="B3" i="12" s="1"/>
  <c r="C41" i="69"/>
  <c r="C42" i="68"/>
  <c r="C41" i="68" s="1"/>
  <c r="C71" i="67"/>
  <c r="J16" i="15"/>
  <c r="J25" i="15" s="1"/>
  <c r="C46" i="11"/>
  <c r="C45" i="11" s="1"/>
  <c r="L57" i="15"/>
  <c r="L60" i="15" s="1"/>
  <c r="Q66" i="15" s="1"/>
  <c r="Q67" i="15"/>
  <c r="Q69" i="15"/>
  <c r="Q68" i="15" s="1"/>
  <c r="C40" i="15"/>
  <c r="C80" i="15"/>
  <c r="C79" i="15" s="1"/>
  <c r="C46" i="69"/>
  <c r="C45" i="69" s="1"/>
  <c r="C28" i="69"/>
  <c r="C27" i="69" s="1"/>
  <c r="C31" i="69" s="1"/>
  <c r="N70" i="39"/>
  <c r="O68" i="39"/>
  <c r="O70" i="39" s="1"/>
  <c r="J7" i="39" s="1"/>
  <c r="D5" i="71"/>
  <c r="M20" i="43"/>
  <c r="C22" i="68"/>
  <c r="Q66" i="67"/>
  <c r="Q57" i="67"/>
  <c r="C46" i="68"/>
  <c r="C45" i="68" s="1"/>
  <c r="C28" i="68"/>
  <c r="C27" i="68" s="1"/>
  <c r="O63" i="40"/>
  <c r="O65" i="40" s="1"/>
  <c r="N65" i="40"/>
  <c r="Q47" i="67" l="1"/>
  <c r="Q53" i="67" s="1"/>
  <c r="D2" i="67"/>
  <c r="C43" i="67"/>
  <c r="Q65" i="67"/>
  <c r="Q75" i="67" s="1"/>
  <c r="Q56" i="67"/>
  <c r="Q62" i="67" s="1"/>
  <c r="C83" i="67"/>
  <c r="C82" i="67" s="1"/>
  <c r="C49" i="11"/>
  <c r="C51" i="11" s="1"/>
  <c r="C52" i="11" s="1"/>
  <c r="B2" i="11" s="1"/>
  <c r="B3" i="11" s="1"/>
  <c r="C49" i="69"/>
  <c r="C51" i="69" s="1"/>
  <c r="C52" i="69" s="1"/>
  <c r="Q57" i="15"/>
  <c r="Q65" i="15"/>
  <c r="Q75" i="15" s="1"/>
  <c r="C46" i="15"/>
  <c r="Q56" i="15"/>
  <c r="B2" i="15"/>
  <c r="B3" i="15" s="1"/>
  <c r="Q47" i="15"/>
  <c r="Q53" i="15" s="1"/>
  <c r="C43" i="15"/>
  <c r="C83" i="15"/>
  <c r="C82" i="15" s="1"/>
  <c r="C31" i="68"/>
  <c r="F7" i="39"/>
  <c r="AC7" i="39"/>
  <c r="V47" i="39" s="1"/>
  <c r="I47" i="39" s="1"/>
  <c r="W7" i="39"/>
  <c r="H7" i="39"/>
  <c r="F7" i="40"/>
  <c r="H7" i="40"/>
  <c r="J7" i="40"/>
  <c r="C49" i="68"/>
  <c r="C51" i="68" s="1"/>
  <c r="B3" i="67" l="1"/>
  <c r="B2" i="67"/>
  <c r="C57" i="69"/>
  <c r="C56" i="69" s="1"/>
  <c r="B2" i="69"/>
  <c r="B3" i="69" s="1"/>
  <c r="Q62" i="15"/>
  <c r="C52" i="68"/>
  <c r="B2" i="68" s="1"/>
  <c r="B3" i="68" s="1"/>
  <c r="C56" i="11"/>
  <c r="C57" i="11" s="1"/>
  <c r="AB7" i="39"/>
  <c r="T47" i="39" s="1"/>
  <c r="G47" i="39" s="1"/>
  <c r="U7" i="39"/>
  <c r="I51" i="39"/>
  <c r="J51" i="39" s="1"/>
  <c r="S7" i="39"/>
  <c r="AA7" i="39"/>
  <c r="R47" i="39" s="1"/>
  <c r="AC7" i="40"/>
  <c r="V42" i="40" s="1"/>
  <c r="I42" i="40" s="1"/>
  <c r="W7" i="40"/>
  <c r="U7" i="40"/>
  <c r="AB7" i="40"/>
  <c r="T42" i="40" s="1"/>
  <c r="G42" i="40" s="1"/>
  <c r="AA7" i="40"/>
  <c r="R42" i="40" s="1"/>
  <c r="S7" i="40"/>
  <c r="AO6" i="1"/>
  <c r="D19" i="9"/>
  <c r="D19" i="80"/>
  <c r="D20" i="80"/>
  <c r="D20" i="9"/>
  <c r="D103" i="9" l="1"/>
  <c r="G20" i="9"/>
  <c r="R24" i="31" s="1"/>
  <c r="S24" i="31" s="1"/>
  <c r="D103" i="80"/>
  <c r="G20" i="80"/>
  <c r="D102" i="80"/>
  <c r="D22" i="80"/>
  <c r="D21" i="80"/>
  <c r="G19" i="80"/>
  <c r="D102" i="9"/>
  <c r="D22" i="9"/>
  <c r="D21" i="9"/>
  <c r="G19" i="9"/>
  <c r="B6" i="70"/>
  <c r="B2" i="70" s="1"/>
  <c r="B3" i="70" s="1"/>
  <c r="R43" i="31"/>
  <c r="S43" i="31" s="1"/>
  <c r="R49" i="31"/>
  <c r="S49" i="31" s="1"/>
  <c r="R51" i="31"/>
  <c r="S51" i="31" s="1"/>
  <c r="R38" i="31"/>
  <c r="S38" i="31" s="1"/>
  <c r="R42" i="31"/>
  <c r="S42" i="31" s="1"/>
  <c r="R30" i="31"/>
  <c r="S30" i="31" s="1"/>
  <c r="R45" i="31"/>
  <c r="S45" i="31" s="1"/>
  <c r="R33" i="31"/>
  <c r="S33" i="31" s="1"/>
  <c r="R27" i="31"/>
  <c r="S27" i="31" s="1"/>
  <c r="R58" i="31"/>
  <c r="S58" i="31" s="1"/>
  <c r="R52" i="31"/>
  <c r="S52" i="31" s="1"/>
  <c r="R46" i="31"/>
  <c r="S46" i="31" s="1"/>
  <c r="R56" i="31"/>
  <c r="S56" i="31" s="1"/>
  <c r="R44" i="31"/>
  <c r="S44" i="31" s="1"/>
  <c r="R40" i="31"/>
  <c r="S40" i="31" s="1"/>
  <c r="R39" i="31"/>
  <c r="S39" i="31" s="1"/>
  <c r="R29" i="31"/>
  <c r="S29" i="31" s="1"/>
  <c r="R26" i="31"/>
  <c r="S26" i="31" s="1"/>
  <c r="C57" i="68"/>
  <c r="C56" i="68" s="1"/>
  <c r="G52" i="39"/>
  <c r="H52" i="39" s="1"/>
  <c r="G51" i="39"/>
  <c r="H51" i="39" s="1"/>
  <c r="E47" i="39"/>
  <c r="R48" i="39"/>
  <c r="G46" i="40"/>
  <c r="H46" i="40" s="1"/>
  <c r="G47" i="40"/>
  <c r="H47" i="40" s="1"/>
  <c r="I46" i="40"/>
  <c r="J46" i="40" s="1"/>
  <c r="E42" i="40"/>
  <c r="R43" i="40"/>
  <c r="R55" i="31" l="1"/>
  <c r="S55" i="31" s="1"/>
  <c r="R54" i="31"/>
  <c r="S54" i="31" s="1"/>
  <c r="R41" i="31"/>
  <c r="S41" i="31" s="1"/>
  <c r="R34" i="31"/>
  <c r="S34" i="31" s="1"/>
  <c r="R35" i="31"/>
  <c r="S35" i="31" s="1"/>
  <c r="R50" i="31"/>
  <c r="S50" i="31" s="1"/>
  <c r="R25" i="31"/>
  <c r="S25" i="31" s="1"/>
  <c r="R47" i="31"/>
  <c r="S47" i="31" s="1"/>
  <c r="R53" i="31"/>
  <c r="S53" i="31" s="1"/>
  <c r="R61" i="31"/>
  <c r="S61" i="31" s="1"/>
  <c r="R32" i="31"/>
  <c r="S32" i="31" s="1"/>
  <c r="R60" i="31"/>
  <c r="S60" i="31" s="1"/>
  <c r="R59" i="31"/>
  <c r="S59" i="31" s="1"/>
  <c r="R36" i="31"/>
  <c r="S36" i="31" s="1"/>
  <c r="R48" i="31"/>
  <c r="S48" i="31" s="1"/>
  <c r="R62" i="31"/>
  <c r="S62" i="31" s="1"/>
  <c r="R37" i="31"/>
  <c r="S37" i="31" s="1"/>
  <c r="R31" i="31"/>
  <c r="S31" i="31" s="1"/>
  <c r="S22" i="31" s="1"/>
  <c r="B20" i="31" s="1"/>
  <c r="G21" i="9"/>
  <c r="C32" i="9"/>
  <c r="G21" i="80"/>
  <c r="C32" i="80"/>
  <c r="E52" i="39"/>
  <c r="F52" i="39" s="1"/>
  <c r="E51" i="39"/>
  <c r="F51" i="39" s="1"/>
  <c r="I52" i="39"/>
  <c r="J52" i="39" s="1"/>
  <c r="C47" i="39"/>
  <c r="C48" i="39"/>
  <c r="E46" i="40"/>
  <c r="F46" i="40" s="1"/>
  <c r="E47" i="40"/>
  <c r="F47" i="40" s="1"/>
  <c r="C42" i="40"/>
  <c r="C43" i="40"/>
  <c r="I47" i="40"/>
  <c r="J47" i="40" s="1"/>
  <c r="H118" i="80" l="1"/>
  <c r="C35" i="80"/>
  <c r="H118" i="9"/>
  <c r="C35" i="9"/>
  <c r="R22" i="31"/>
  <c r="B21" i="31" s="1"/>
  <c r="D15" i="74"/>
  <c r="G15" i="74" s="1"/>
  <c r="B60" i="39"/>
  <c r="F60" i="39" s="1"/>
  <c r="B62" i="39"/>
  <c r="F62" i="39" s="1"/>
  <c r="B56" i="39"/>
  <c r="F56" i="39" s="1"/>
  <c r="F66" i="39" s="1"/>
  <c r="B2" i="39" s="1"/>
  <c r="B3" i="39" s="1"/>
  <c r="B63" i="39"/>
  <c r="F63" i="39" s="1"/>
  <c r="B57" i="39"/>
  <c r="F57" i="39" s="1"/>
  <c r="B59" i="39"/>
  <c r="F59" i="39" s="1"/>
  <c r="B64" i="39"/>
  <c r="F64" i="39" s="1"/>
  <c r="B61" i="39"/>
  <c r="F61" i="39" s="1"/>
  <c r="B65" i="39"/>
  <c r="F65" i="39" s="1"/>
  <c r="B58" i="39"/>
  <c r="F58" i="39" s="1"/>
  <c r="B57" i="40"/>
  <c r="F57" i="40" s="1"/>
  <c r="B53" i="40"/>
  <c r="F53" i="40" s="1"/>
  <c r="B60" i="40"/>
  <c r="F60" i="40" s="1"/>
  <c r="F61" i="40"/>
  <c r="B2" i="40" s="1"/>
  <c r="B3" i="40" s="1"/>
  <c r="B52" i="40"/>
  <c r="F52" i="40" s="1"/>
  <c r="B55" i="40"/>
  <c r="F55" i="40" s="1"/>
  <c r="B56" i="40"/>
  <c r="F56" i="40" s="1"/>
  <c r="B58" i="40"/>
  <c r="F58" i="40" s="1"/>
  <c r="B51" i="40"/>
  <c r="F51" i="40" s="1"/>
  <c r="B59" i="40"/>
  <c r="F59" i="40" s="1"/>
  <c r="B54" i="40"/>
  <c r="F54" i="40" s="1"/>
  <c r="D14" i="74" l="1"/>
  <c r="H101" i="9"/>
  <c r="H4" i="52"/>
  <c r="I118" i="9"/>
  <c r="C104" i="9"/>
  <c r="H119" i="9"/>
  <c r="H5" i="52" s="1"/>
  <c r="I118" i="80"/>
  <c r="H119" i="80"/>
  <c r="C104" i="80"/>
  <c r="H101" i="80"/>
  <c r="F118" i="9"/>
  <c r="C34" i="9"/>
  <c r="D118" i="9" s="1"/>
  <c r="F118" i="80"/>
  <c r="C34" i="80"/>
  <c r="D118" i="80" s="1"/>
  <c r="D119" i="80" s="1"/>
  <c r="B5" i="74"/>
  <c r="C5" i="74" s="1"/>
  <c r="E15" i="74"/>
  <c r="F15" i="74"/>
  <c r="D5" i="74"/>
  <c r="D4" i="52" l="1"/>
  <c r="B47" i="72" s="1"/>
  <c r="D119" i="9"/>
  <c r="D5" i="52" s="1"/>
  <c r="B49" i="72" s="1"/>
  <c r="M48" i="80"/>
  <c r="H107" i="80"/>
  <c r="D45" i="80"/>
  <c r="I4" i="52"/>
  <c r="H102" i="9"/>
  <c r="D7" i="53" s="1"/>
  <c r="B21" i="72" s="1"/>
  <c r="C105" i="9"/>
  <c r="D45" i="9"/>
  <c r="H107" i="9"/>
  <c r="M48" i="9"/>
  <c r="D5" i="53"/>
  <c r="F119" i="80"/>
  <c r="G118" i="80"/>
  <c r="F4" i="52"/>
  <c r="B51" i="72" s="1"/>
  <c r="G118" i="9"/>
  <c r="G4" i="52" s="1"/>
  <c r="B52" i="72" s="1"/>
  <c r="F119" i="9"/>
  <c r="F5" i="52" s="1"/>
  <c r="B53" i="72" s="1"/>
  <c r="E118" i="80"/>
  <c r="H102" i="80"/>
  <c r="C105" i="80"/>
  <c r="F14" i="74"/>
  <c r="E14" i="74"/>
  <c r="B20" i="72" l="1"/>
  <c r="D6" i="53"/>
  <c r="B22" i="72" s="1"/>
  <c r="D122" i="9"/>
  <c r="H108" i="9"/>
  <c r="D15" i="53" s="1"/>
  <c r="B31" i="72" s="1"/>
  <c r="D13" i="53"/>
  <c r="M49" i="9"/>
  <c r="D52" i="80"/>
  <c r="C85" i="80"/>
  <c r="C64" i="80"/>
  <c r="C63" i="80" s="1"/>
  <c r="C67" i="80" s="1"/>
  <c r="C68" i="80" s="1"/>
  <c r="D54" i="80" s="1"/>
  <c r="D53" i="80"/>
  <c r="C78" i="80"/>
  <c r="C73" i="80" s="1"/>
  <c r="C93" i="80"/>
  <c r="C86" i="80" s="1"/>
  <c r="C72" i="80"/>
  <c r="C79" i="80" s="1"/>
  <c r="C80" i="80" s="1"/>
  <c r="E80" i="80" s="1"/>
  <c r="E81" i="80" s="1"/>
  <c r="D55" i="80"/>
  <c r="M53" i="80" s="1"/>
  <c r="C85" i="9"/>
  <c r="C72" i="9"/>
  <c r="C64" i="9"/>
  <c r="C63" i="9" s="1"/>
  <c r="C67" i="9" s="1"/>
  <c r="C68" i="9" s="1"/>
  <c r="D54" i="9" s="1"/>
  <c r="C78" i="9"/>
  <c r="C73" i="9" s="1"/>
  <c r="D55" i="9"/>
  <c r="M53" i="9" s="1"/>
  <c r="D53" i="9"/>
  <c r="C93" i="9"/>
  <c r="C86" i="9" s="1"/>
  <c r="D52" i="9"/>
  <c r="E118" i="9"/>
  <c r="E4" i="52" s="1"/>
  <c r="B48" i="72" s="1"/>
  <c r="H108" i="80"/>
  <c r="D122" i="80"/>
  <c r="D123" i="80" s="1"/>
  <c r="M49" i="80"/>
  <c r="C81" i="80"/>
  <c r="C95" i="9" l="1"/>
  <c r="C96" i="9" s="1"/>
  <c r="E96" i="9" s="1"/>
  <c r="E97" i="9" s="1"/>
  <c r="L65" i="80"/>
  <c r="M65" i="80" s="1"/>
  <c r="L68" i="80"/>
  <c r="M68" i="80" s="1"/>
  <c r="L63" i="80"/>
  <c r="M63" i="80" s="1"/>
  <c r="L66" i="80"/>
  <c r="M66" i="80" s="1"/>
  <c r="L64" i="80"/>
  <c r="M64" i="80" s="1"/>
  <c r="L67" i="80"/>
  <c r="M67" i="80" s="1"/>
  <c r="C79" i="9"/>
  <c r="C80" i="9" s="1"/>
  <c r="E80" i="9" s="1"/>
  <c r="E81" i="9" s="1"/>
  <c r="C95" i="80"/>
  <c r="C96" i="80" s="1"/>
  <c r="E96" i="80" s="1"/>
  <c r="E97" i="80" s="1"/>
  <c r="L64" i="9"/>
  <c r="M64" i="9" s="1"/>
  <c r="L66" i="9"/>
  <c r="M66" i="9" s="1"/>
  <c r="L67" i="9"/>
  <c r="M67" i="9" s="1"/>
  <c r="L65" i="9"/>
  <c r="M65" i="9" s="1"/>
  <c r="L63" i="9"/>
  <c r="M63" i="9" s="1"/>
  <c r="L68" i="9"/>
  <c r="M68" i="9" s="1"/>
  <c r="D14" i="53"/>
  <c r="B32" i="72" s="1"/>
  <c r="B30" i="72"/>
  <c r="D123" i="9"/>
  <c r="D9" i="52" s="1"/>
  <c r="G14" i="74"/>
  <c r="B6" i="74" s="1"/>
  <c r="D8" i="52"/>
  <c r="C97" i="80"/>
  <c r="D58" i="80" s="1"/>
  <c r="D56" i="80" s="1"/>
  <c r="M54" i="80" s="1"/>
  <c r="N57" i="80" s="1"/>
  <c r="C81" i="9"/>
  <c r="C97" i="9"/>
  <c r="D58" i="9" s="1"/>
  <c r="D56" i="9" s="1"/>
  <c r="M54" i="9" s="1"/>
  <c r="N57" i="9" s="1"/>
  <c r="N58" i="9" s="1"/>
  <c r="M69" i="9" l="1"/>
  <c r="N69" i="9" s="1"/>
  <c r="M69" i="80"/>
  <c r="N69" i="80" s="1"/>
  <c r="C6" i="74"/>
  <c r="D6" i="74"/>
  <c r="N58" i="80"/>
  <c r="P57" i="80"/>
  <c r="N59" i="80"/>
  <c r="N59" i="9"/>
  <c r="N61" i="9" s="1"/>
  <c r="P57" i="9"/>
  <c r="N60" i="9"/>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<sst xmlns="http://schemas.openxmlformats.org/spreadsheetml/2006/main" count="8140" uniqueCount="3155">
  <si>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</si>
  <si>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</si>
  <si>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</si>
  <si>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</si>
  <si>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</si>
  <si>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</si>
  <si>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</si>
  <si>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</si>
  <si>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</si>
  <si>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</si>
  <si>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</si>
  <si>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</si>
  <si>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</si>
  <si>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</si>
  <si>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</si>
  <si>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</si>
  <si>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</si>
  <si>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</si>
  <si>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</si>
  <si>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</si>
  <si>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</si>
  <si>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</si>
  <si>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</si>
  <si>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</si>
  <si>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</si>
  <si>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</si>
  <si>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</si>
  <si>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</si>
  <si>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</si>
  <si>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</si>
  <si>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</si>
  <si>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</si>
  <si>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</si>
  <si>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</si>
  <si>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</si>
  <si>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</si>
  <si>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</si>
  <si>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</si>
  <si>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</si>
  <si>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</si>
  <si>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</si>
  <si>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</si>
  <si>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</si>
  <si>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</si>
  <si>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</si>
  <si>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</si>
  <si>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</si>
  <si>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</si>
  <si>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</si>
  <si>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</si>
  <si>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</si>
  <si>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</si>
  <si>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</si>
  <si>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</si>
  <si>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</si>
  <si>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</si>
  <si>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</si>
  <si>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</si>
  <si>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</si>
  <si>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</si>
  <si>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</si>
  <si>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</si>
  <si>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</si>
  <si>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</si>
  <si>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</si>
  <si>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</si>
  <si>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</si>
  <si>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</si>
  <si>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</si>
  <si>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</si>
  <si>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</si>
  <si>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</si>
  <si>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</si>
  <si>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</si>
  <si>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</si>
  <si>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</si>
  <si>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</si>
  <si>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</si>
  <si>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</si>
  <si>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</si>
  <si>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</si>
  <si>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</si>
  <si>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</si>
  <si>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</si>
  <si>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</si>
  <si>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</si>
  <si>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</si>
  <si>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</si>
  <si>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</si>
  <si>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</si>
  <si>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</si>
  <si>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</si>
  <si>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</si>
  <si>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</si>
  <si>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</si>
  <si>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</si>
  <si>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</si>
  <si>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</si>
  <si>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</si>
  <si>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</si>
  <si>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</si>
  <si>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</si>
  <si>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</si>
  <si>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</si>
  <si>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</si>
  <si>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</si>
  <si>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</si>
  <si>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</si>
  <si>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</si>
  <si>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</si>
  <si>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</si>
  <si>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</si>
  <si>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</si>
  <si>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</si>
  <si>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</si>
  <si>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</si>
  <si>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</si>
  <si>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</si>
  <si>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</si>
  <si>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</si>
  <si>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</si>
  <si>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</si>
  <si>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</si>
  <si>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</si>
  <si>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</si>
  <si>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</si>
  <si>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</si>
  <si>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</si>
  <si>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</si>
  <si>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</si>
  <si>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</si>
  <si>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</si>
  <si>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</si>
  <si>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</si>
  <si>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</si>
  <si>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</si>
  <si>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</si>
  <si>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</si>
  <si>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</si>
  <si>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</si>
  <si>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</si>
  <si>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</si>
  <si>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</si>
  <si>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</si>
  <si>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</si>
  <si>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</si>
  <si>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</si>
  <si>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</si>
  <si>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</si>
  <si>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</si>
  <si>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</si>
  <si>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</si>
  <si>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</si>
  <si>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</si>
  <si>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</si>
  <si>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</si>
  <si>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</si>
  <si>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</si>
  <si>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</si>
  <si>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</si>
  <si>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</si>
  <si>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</si>
  <si>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</si>
  <si>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</si>
  <si>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</si>
  <si>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</si>
  <si>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</si>
  <si>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</si>
  <si>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</si>
  <si>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</si>
  <si>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</si>
  <si>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</si>
  <si>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</si>
  <si>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</si>
  <si>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</si>
  <si>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</si>
  <si>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</si>
  <si>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</si>
  <si>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</si>
  <si>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</si>
  <si>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</si>
  <si>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</si>
  <si>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</si>
  <si>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</si>
  <si>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</si>
  <si>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</si>
  <si>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</si>
  <si>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</si>
  <si>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</si>
  <si>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</si>
  <si>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</si>
  <si>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</si>
  <si>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</si>
  <si>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</si>
  <si>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</si>
  <si>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</si>
  <si>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</si>
  <si>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</si>
  <si>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</si>
  <si>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</si>
  <si>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</si>
  <si>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</si>
  <si>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</si>
  <si>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</si>
  <si>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</si>
  <si>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</si>
  <si>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</si>
  <si>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</si>
  <si>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</si>
  <si>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</si>
  <si>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</si>
  <si>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</si>
  <si>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</si>
  <si>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</si>
  <si>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</si>
  <si>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</si>
  <si>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</si>
  <si>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</si>
  <si>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</si>
  <si>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</si>
  <si>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</si>
  <si>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</si>
  <si>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</si>
  <si>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</si>
  <si>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</si>
  <si>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</si>
  <si>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</si>
  <si>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</si>
  <si>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</si>
  <si>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</si>
  <si>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</si>
  <si>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</si>
  <si>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</si>
  <si>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</si>
  <si>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</si>
  <si>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</si>
  <si>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</si>
  <si>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</si>
  <si>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</si>
  <si>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</si>
  <si>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</si>
  <si>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</si>
  <si>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</si>
  <si>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</si>
  <si>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</si>
  <si>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</si>
  <si>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</si>
  <si>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</si>
  <si>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</si>
  <si>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</si>
  <si>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</si>
  <si>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</si>
  <si>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</si>
  <si>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</si>
  <si>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</si>
  <si>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</si>
  <si>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</si>
  <si>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</si>
  <si>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</si>
  <si>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</si>
  <si>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</si>
  <si>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</si>
  <si>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</si>
  <si>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</si>
  <si>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</si>
  <si>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</si>
  <si>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</si>
  <si>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</si>
  <si>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</si>
  <si>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</si>
  <si>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</si>
  <si>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</si>
  <si>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</si>
  <si>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</si>
  <si>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</si>
  <si>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</si>
  <si>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</si>
  <si>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</si>
  <si>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</si>
  <si>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</si>
  <si>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</si>
  <si>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</si>
  <si>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</si>
  <si>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</si>
  <si>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</si>
  <si>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</si>
  <si>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</si>
  <si>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</si>
  <si>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</si>
  <si>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</si>
  <si>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</si>
  <si>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</si>
  <si>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</si>
  <si>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</si>
  <si>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</si>
  <si>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</si>
  <si>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</si>
  <si>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</si>
  <si>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</si>
  <si>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</si>
  <si>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</si>
  <si>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</si>
  <si>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</si>
  <si>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</si>
  <si>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</si>
  <si>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</si>
  <si>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</si>
  <si>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</si>
  <si>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</si>
  <si>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</si>
  <si>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</si>
  <si>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</si>
  <si>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</si>
  <si>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</si>
  <si>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</si>
  <si>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</si>
  <si>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</si>
  <si>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</si>
  <si>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</si>
  <si>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</si>
  <si>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</si>
  <si>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</si>
  <si>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</si>
  <si>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</si>
  <si>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</si>
  <si>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</si>
  <si>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</si>
  <si>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</si>
  <si>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</si>
  <si>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</si>
  <si>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</si>
  <si>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</si>
  <si>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</si>
  <si>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</si>
  <si>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</si>
  <si>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</si>
  <si>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</si>
  <si>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</si>
  <si>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</si>
  <si>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</si>
  <si>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</si>
  <si>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</si>
  <si>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</si>
  <si>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</si>
  <si>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</si>
  <si>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</si>
  <si>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</si>
  <si>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</si>
  <si>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</si>
  <si>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</si>
  <si>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</si>
  <si>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</si>
  <si>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</si>
  <si>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</si>
  <si>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</si>
  <si>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</si>
  <si>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</si>
  <si>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</si>
  <si>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</si>
  <si>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</si>
  <si>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</si>
  <si>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</si>
  <si>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</si>
  <si>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</si>
  <si>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</si>
  <si>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</si>
  <si>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</si>
  <si>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</si>
  <si>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</si>
  <si>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</si>
  <si>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</si>
  <si>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</si>
  <si>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</si>
  <si>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</si>
  <si>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</si>
  <si>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</si>
  <si>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</si>
  <si>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</si>
  <si>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</si>
  <si>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</si>
  <si>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</si>
  <si>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</si>
  <si>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</si>
  <si>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</si>
  <si>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</si>
  <si>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</si>
  <si>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</si>
  <si>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</si>
  <si>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</si>
  <si>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</si>
  <si>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</si>
  <si>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</si>
  <si>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</si>
  <si>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</si>
  <si>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</si>
  <si>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</si>
  <si>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</si>
  <si>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</si>
  <si>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</si>
  <si>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</si>
  <si>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</si>
  <si>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</si>
  <si>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</si>
  <si>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</si>
  <si>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</si>
  <si>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</si>
  <si>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</si>
  <si>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</si>
  <si>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</si>
  <si>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</si>
  <si>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</si>
  <si>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</si>
  <si>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</si>
  <si>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</si>
  <si>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</si>
  <si>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</si>
  <si>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</si>
  <si>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</si>
  <si>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</si>
  <si>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</si>
  <si>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</si>
  <si>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</si>
  <si>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</si>
  <si>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</si>
  <si>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</si>
  <si>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</si>
  <si>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</si>
  <si>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</si>
  <si>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</si>
  <si>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</si>
  <si>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</si>
  <si>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</si>
  <si>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</si>
  <si>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</si>
  <si>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</si>
  <si>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</si>
  <si>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</si>
  <si>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</si>
  <si>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</si>
  <si>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</si>
  <si>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</si>
  <si>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</si>
  <si>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</si>
  <si>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</si>
  <si>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</si>
  <si>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</si>
  <si>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</si>
  <si>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</si>
  <si>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</si>
  <si>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</si>
  <si>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</si>
  <si>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</si>
  <si>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</si>
  <si>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</si>
  <si>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</si>
  <si>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</si>
  <si>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</si>
  <si>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</si>
  <si>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</si>
  <si>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</si>
  <si>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</si>
  <si>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</si>
  <si>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</si>
  <si>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</si>
  <si>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</si>
  <si>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</si>
  <si>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</si>
  <si>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</si>
  <si>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</si>
  <si>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</si>
  <si>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</si>
  <si>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</si>
  <si>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</si>
  <si>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</si>
  <si>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</si>
  <si>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</si>
  <si>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</si>
  <si>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</si>
  <si>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</si>
  <si>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</si>
  <si>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</si>
  <si>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</si>
  <si>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</si>
  <si>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</si>
  <si>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</si>
  <si>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</si>
  <si>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</si>
  <si>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</si>
  <si>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</si>
  <si>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</si>
  <si>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</si>
  <si>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</si>
  <si>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</si>
  <si>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</si>
  <si>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</si>
  <si>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</si>
  <si>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</si>
  <si>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</si>
  <si>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</si>
  <si>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</si>
  <si>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</si>
  <si>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</si>
  <si>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</si>
  <si>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</si>
  <si>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</si>
  <si>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</si>
  <si>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</si>
  <si>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</si>
  <si>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</si>
  <si>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</si>
  <si>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</si>
  <si>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</si>
  <si>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</si>
  <si>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</si>
  <si>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</si>
  <si>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</si>
  <si>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</si>
  <si>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</si>
  <si>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</si>
  <si>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</si>
  <si>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</si>
  <si>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</si>
  <si>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</si>
  <si>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</si>
  <si>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</si>
  <si>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</si>
  <si>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</si>
  <si>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</si>
  <si>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</si>
  <si>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</si>
  <si>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</si>
  <si>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</si>
  <si>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</si>
  <si>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</si>
  <si>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</si>
  <si>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</si>
  <si>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</si>
  <si>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</si>
  <si>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</si>
  <si>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</si>
  <si>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</si>
  <si>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</si>
  <si>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</si>
  <si>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</si>
  <si>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</si>
  <si>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</si>
  <si>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</si>
  <si>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</si>
  <si>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</si>
  <si>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</si>
  <si>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</si>
  <si>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</si>
  <si>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</si>
  <si>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</si>
  <si>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</si>
  <si>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</si>
  <si>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</si>
  <si>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</si>
  <si>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</si>
  <si>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</si>
  <si>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</si>
  <si>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</si>
  <si>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</si>
  <si>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</si>
  <si>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</si>
  <si>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</si>
  <si>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</si>
  <si>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</si>
  <si>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</si>
  <si>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</si>
  <si>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</si>
  <si>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</si>
  <si>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</si>
  <si>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</si>
  <si>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</si>
  <si>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</si>
  <si>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</si>
  <si>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</si>
  <si>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</si>
  <si>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</si>
  <si>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</si>
  <si>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</si>
  <si>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</si>
  <si>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</si>
  <si>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</si>
  <si>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</si>
  <si>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</si>
  <si>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</si>
  <si>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</si>
  <si>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</si>
  <si>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</si>
  <si>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</si>
  <si>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</si>
  <si>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</si>
  <si>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</si>
  <si>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</si>
  <si>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</si>
  <si>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</si>
  <si>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</si>
  <si>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</si>
  <si>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</si>
  <si>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</si>
  <si>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</si>
  <si>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</si>
  <si>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</si>
  <si>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</si>
  <si>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</si>
  <si>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</si>
  <si>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</si>
  <si>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</si>
  <si>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</si>
  <si>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</si>
  <si>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</si>
  <si>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</si>
  <si>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</si>
  <si>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</si>
  <si>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</si>
  <si>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</si>
  <si>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</si>
  <si>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</si>
  <si>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</si>
  <si>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</si>
  <si>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</si>
  <si>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</si>
  <si>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</si>
  <si>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</si>
  <si>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</si>
  <si>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</si>
  <si>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</si>
  <si>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</si>
  <si>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</si>
  <si>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</si>
  <si>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</si>
  <si>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</si>
  <si>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</si>
  <si>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</si>
  <si>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</si>
  <si>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</si>
  <si>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</si>
  <si>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</si>
  <si>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</si>
  <si>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</si>
  <si>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</si>
  <si>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</si>
  <si>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</si>
  <si>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</si>
  <si>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</si>
  <si>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</si>
  <si>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</si>
  <si>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</si>
  <si>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</si>
  <si>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</si>
  <si>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</si>
  <si>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</si>
  <si>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</si>
  <si>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</si>
  <si>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</si>
  <si>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</si>
  <si>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</si>
  <si>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</si>
  <si>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</si>
  <si>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</si>
  <si>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</si>
  <si>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</si>
  <si>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</si>
  <si>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</si>
  <si>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</si>
  <si>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</si>
  <si>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</si>
  <si>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</si>
  <si>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</si>
  <si>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</si>
  <si>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</si>
  <si>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</si>
  <si>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</si>
  <si>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</si>
  <si>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</si>
  <si>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</si>
  <si>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</si>
  <si>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</si>
  <si>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</si>
  <si>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</si>
  <si>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</si>
  <si>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</si>
  <si>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</si>
  <si>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</si>
  <si>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</si>
  <si>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</si>
  <si>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</si>
  <si>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</si>
  <si>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</si>
  <si>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</si>
  <si>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</si>
  <si>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</si>
  <si>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</si>
  <si>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</si>
  <si>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</si>
  <si>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</si>
  <si>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</si>
  <si>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</si>
  <si>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</si>
  <si>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</si>
  <si>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</si>
  <si>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</si>
  <si>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</si>
  <si>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</si>
  <si>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</si>
  <si>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</si>
  <si>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</si>
  <si>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</si>
  <si>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</si>
  <si>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</si>
  <si>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</si>
  <si>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</si>
  <si>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</si>
  <si>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</si>
  <si>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</si>
  <si>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</si>
  <si>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</si>
  <si>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</si>
  <si>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</si>
  <si>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</si>
  <si>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</si>
  <si>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</si>
  <si>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</si>
  <si>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</si>
  <si>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</si>
  <si>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</si>
  <si>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</si>
  <si>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</si>
  <si>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</si>
  <si>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</si>
  <si>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</si>
  <si>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</si>
  <si>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</si>
  <si>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</si>
  <si>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</si>
  <si>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</si>
  <si>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</si>
  <si>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</si>
  <si>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</si>
  <si>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</si>
  <si>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</si>
  <si>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</si>
  <si>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</si>
  <si>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</si>
  <si>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</si>
  <si>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</si>
  <si>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</si>
  <si>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</si>
  <si>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</si>
  <si>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</si>
  <si>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</si>
  <si>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</si>
  <si>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</si>
  <si>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</si>
  <si>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</si>
  <si>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</si>
  <si>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</si>
  <si>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</si>
  <si>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</si>
  <si>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</si>
  <si>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</si>
  <si>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</si>
  <si>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</si>
  <si>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</si>
  <si>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</si>
  <si>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</si>
  <si>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</si>
  <si>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</si>
  <si>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</si>
  <si>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</si>
  <si>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</si>
  <si>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</si>
  <si>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</si>
  <si>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</si>
  <si>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</si>
  <si>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</si>
  <si>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</si>
  <si>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</si>
  <si>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</si>
  <si>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</si>
  <si>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</si>
  <si>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</si>
  <si>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</si>
  <si>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</si>
  <si>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</si>
  <si>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</si>
  <si>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</si>
  <si>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</si>
  <si>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</si>
  <si>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</si>
  <si>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</si>
  <si>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</si>
  <si>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</si>
  <si>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</si>
  <si>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</si>
  <si>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</si>
  <si>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</si>
  <si>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</si>
  <si>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</si>
  <si>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</si>
  <si>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</si>
  <si>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</si>
  <si>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</si>
  <si>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</si>
  <si>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</si>
  <si>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</si>
  <si>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</si>
  <si>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</si>
  <si>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</si>
  <si>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</si>
  <si>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</si>
  <si>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</si>
  <si>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</si>
  <si>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</si>
  <si>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</si>
  <si>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</si>
  <si>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</si>
  <si>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</si>
  <si>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</si>
  <si>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</si>
  <si>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</si>
  <si>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</si>
  <si>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</si>
  <si>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</si>
  <si>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</si>
  <si>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</si>
  <si>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</si>
  <si>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</si>
  <si>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</si>
  <si>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</si>
  <si>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</si>
  <si>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</si>
  <si>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</si>
  <si>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</si>
  <si>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</si>
  <si>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</si>
  <si>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</si>
  <si>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</si>
  <si>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</si>
  <si>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</si>
  <si>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</si>
  <si>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</si>
  <si>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</si>
  <si>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</si>
  <si>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</si>
  <si>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</si>
  <si>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</si>
  <si>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</si>
  <si>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</si>
  <si>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</si>
  <si>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</si>
  <si>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</si>
  <si>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</si>
  <si>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</si>
  <si>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</si>
  <si>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</si>
  <si>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</si>
  <si>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</si>
  <si>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</si>
  <si>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</si>
  <si>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</si>
  <si>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</si>
  <si>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</si>
  <si>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</si>
  <si>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</si>
  <si>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</si>
  <si>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</si>
  <si>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</si>
  <si>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</si>
  <si>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</si>
  <si>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</si>
  <si>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</si>
  <si>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</si>
  <si>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</si>
  <si>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</si>
  <si>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</si>
  <si>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</si>
  <si>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</si>
  <si>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</si>
  <si>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</si>
  <si>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</si>
  <si>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</si>
  <si>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</si>
  <si>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</si>
  <si>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</si>
  <si>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</si>
  <si>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</si>
  <si>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</si>
  <si>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</si>
  <si>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</si>
  <si>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</si>
  <si>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</si>
  <si>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</si>
  <si>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</si>
  <si>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</si>
  <si>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</si>
  <si>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</si>
  <si>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</si>
  <si>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</si>
  <si>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</si>
  <si>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</si>
  <si>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</si>
  <si>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</si>
  <si>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</si>
  <si>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</si>
  <si>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</si>
  <si>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</si>
  <si>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</si>
  <si>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</si>
  <si>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</si>
  <si>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</si>
  <si>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</si>
  <si>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</si>
  <si>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</si>
  <si>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</si>
  <si>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</si>
  <si>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</si>
  <si>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</si>
  <si>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</si>
  <si>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</si>
  <si>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</si>
  <si>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</si>
  <si>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</si>
  <si>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</si>
  <si>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</si>
  <si>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</si>
  <si>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</si>
  <si>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</si>
  <si>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</si>
  <si>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</si>
  <si>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</si>
  <si>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</si>
  <si>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</si>
  <si>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</si>
  <si>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</si>
  <si>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</si>
  <si>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</si>
  <si>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</si>
  <si>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</si>
  <si>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</si>
  <si>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</si>
  <si>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</si>
  <si>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</si>
  <si>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</si>
  <si>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</si>
  <si>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</si>
  <si>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</si>
  <si>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</si>
  <si>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</si>
  <si>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</si>
  <si>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</si>
  <si>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</si>
  <si>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</si>
  <si>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</si>
  <si>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</si>
  <si>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</si>
  <si>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</si>
  <si>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</si>
  <si>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</si>
  <si>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</si>
  <si>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</si>
  <si>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</si>
  <si>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</si>
  <si>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</si>
  <si>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</si>
  <si>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</si>
  <si>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</si>
  <si>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</si>
  <si>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</si>
  <si>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</si>
  <si>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</si>
  <si>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</si>
  <si>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</si>
  <si>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</si>
  <si>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</si>
  <si>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</si>
  <si>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</si>
  <si>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</si>
  <si>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</si>
  <si>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</si>
  <si>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</si>
  <si>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</si>
  <si>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</si>
  <si>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</si>
  <si>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</si>
  <si>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</si>
  <si>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</si>
  <si>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</si>
  <si>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</si>
  <si>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</si>
  <si>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</si>
  <si>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</si>
  <si>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</si>
  <si>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</si>
  <si>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</si>
  <si>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</si>
  <si>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</si>
  <si>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</si>
  <si>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</si>
  <si>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</si>
  <si>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</si>
  <si>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</si>
  <si>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</si>
  <si>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</si>
  <si>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</si>
  <si>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</si>
  <si>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</si>
  <si>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</si>
  <si>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</si>
  <si>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</si>
  <si>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</si>
  <si>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</si>
  <si>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</si>
  <si>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</si>
  <si>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</si>
  <si>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</si>
  <si>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</si>
  <si>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</si>
  <si>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</si>
  <si>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</si>
  <si>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</si>
  <si>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</si>
  <si>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</si>
  <si>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</si>
  <si>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</si>
  <si>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</si>
  <si>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</si>
  <si>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</si>
  <si>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</si>
  <si>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</si>
  <si>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</si>
  <si>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</si>
  <si>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</si>
  <si>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</si>
  <si>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</si>
  <si>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</si>
  <si>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</si>
  <si>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</si>
  <si>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</si>
  <si>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</si>
  <si>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</si>
  <si>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</si>
  <si>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</si>
  <si>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</si>
  <si>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</si>
  <si>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</si>
  <si>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</si>
  <si>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</si>
  <si>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</si>
  <si>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</si>
  <si>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</si>
  <si>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</si>
  <si>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</si>
  <si>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</si>
  <si>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</si>
  <si>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</si>
  <si>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</si>
  <si>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</si>
  <si>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</si>
  <si>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</si>
  <si>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</si>
  <si>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</si>
  <si>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</si>
  <si>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</si>
  <si>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</si>
  <si>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</si>
  <si>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</si>
  <si>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</si>
  <si>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</si>
  <si>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</si>
  <si>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</si>
  <si>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</si>
  <si>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</si>
  <si>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</si>
  <si>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</si>
  <si>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</si>
  <si>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</si>
  <si>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</si>
  <si>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</si>
  <si>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</si>
  <si>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</si>
  <si>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</si>
  <si>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</si>
  <si>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</si>
  <si>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</si>
  <si>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</si>
  <si>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</si>
  <si>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</si>
  <si>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</si>
  <si>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</si>
  <si>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</si>
  <si>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</si>
  <si>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</si>
  <si>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</si>
  <si>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</si>
  <si>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</si>
  <si>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</si>
  <si>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</si>
  <si>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</si>
  <si>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</si>
  <si>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</si>
  <si>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</si>
  <si>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</si>
  <si>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</si>
  <si>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</si>
  <si>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</si>
  <si>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</si>
  <si>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</si>
  <si>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</si>
  <si>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</si>
  <si>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</si>
  <si>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</si>
  <si>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</si>
  <si>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</si>
  <si>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</si>
  <si>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</si>
  <si>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</si>
  <si>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</si>
  <si>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</si>
  <si>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</si>
  <si>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</si>
  <si>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</si>
  <si>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</si>
  <si>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</si>
  <si>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</si>
  <si>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</si>
  <si>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</si>
  <si>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</si>
  <si>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</si>
  <si>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</si>
  <si>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</si>
  <si>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</si>
  <si>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</si>
  <si>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</si>
  <si>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</si>
  <si>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</si>
  <si>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</si>
  <si>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</si>
  <si>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</si>
  <si>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</si>
  <si>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</si>
  <si>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</si>
  <si>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</si>
  <si>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</si>
  <si>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</si>
  <si>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</si>
  <si>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</si>
  <si>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</si>
  <si>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</si>
  <si>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</si>
  <si>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</si>
  <si>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</si>
  <si>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</si>
  <si>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</si>
  <si>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</si>
  <si>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</si>
  <si>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</si>
  <si>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</si>
  <si>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</si>
  <si>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</si>
  <si>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</si>
  <si>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</si>
  <si>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</si>
  <si>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</si>
  <si>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</si>
  <si>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</si>
  <si>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</si>
  <si>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</si>
  <si>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</si>
  <si>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</si>
  <si>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</si>
  <si>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</si>
  <si>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</si>
  <si>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</si>
  <si>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</si>
  <si>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</si>
  <si>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</si>
  <si>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</si>
  <si>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</si>
  <si>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</si>
  <si>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</si>
  <si>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</si>
  <si>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</si>
  <si>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</si>
  <si>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</si>
  <si>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</si>
  <si>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</si>
  <si>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</si>
  <si>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</si>
  <si>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</si>
  <si>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</si>
  <si>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</si>
  <si>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</si>
  <si>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</si>
  <si>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</si>
  <si>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</si>
  <si>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</si>
  <si>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</si>
  <si>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</si>
  <si>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</si>
  <si>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</si>
  <si>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</si>
  <si>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</si>
  <si>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</si>
  <si>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</si>
  <si>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</si>
  <si>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</si>
  <si>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</si>
  <si>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</si>
  <si>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</si>
  <si>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</si>
  <si>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</si>
  <si>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</si>
  <si>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</si>
  <si>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</si>
  <si>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</si>
  <si>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</si>
  <si>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</si>
  <si>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</si>
  <si>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</si>
  <si>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</si>
  <si>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</si>
  <si>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</si>
  <si>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</si>
  <si>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</si>
  <si>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</si>
  <si>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</si>
  <si>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</si>
  <si>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</si>
  <si>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</si>
  <si>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</si>
  <si>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</si>
  <si>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</si>
  <si>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</si>
  <si>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</si>
  <si>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</si>
  <si>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</si>
  <si>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</si>
  <si>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</si>
  <si>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</si>
  <si>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</si>
  <si>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</si>
  <si>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</si>
  <si>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</si>
  <si>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</si>
  <si>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</si>
  <si>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</si>
  <si>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</si>
  <si>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</si>
  <si>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</si>
  <si>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</si>
  <si>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</si>
  <si>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</si>
  <si>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</si>
  <si>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</si>
  <si>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</si>
  <si>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</si>
  <si>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</si>
  <si>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</si>
  <si>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</si>
  <si>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</si>
  <si>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</si>
  <si>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</si>
  <si>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</si>
  <si>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</si>
  <si>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</si>
  <si>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</si>
  <si>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</si>
  <si>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</si>
  <si>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</si>
  <si>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</si>
  <si>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</si>
  <si>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</si>
  <si>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</si>
  <si>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</si>
  <si>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</si>
  <si>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</si>
  <si>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</si>
  <si>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</si>
  <si>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</si>
  <si>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</si>
  <si>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</si>
  <si>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</si>
  <si>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</si>
  <si>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</si>
  <si>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</si>
  <si>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</si>
  <si>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</si>
  <si>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</si>
  <si>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</si>
  <si>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</si>
  <si>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</si>
  <si>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</si>
  <si>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</si>
  <si>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</si>
  <si>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</si>
  <si>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</si>
  <si>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</si>
  <si>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</si>
  <si>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</si>
  <si>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</si>
  <si>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</si>
  <si>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</si>
  <si>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</si>
  <si>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</si>
  <si>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</si>
  <si>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</si>
  <si>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</si>
  <si>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</si>
  <si>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</si>
  <si>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</si>
  <si>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</si>
  <si>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</si>
  <si>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</si>
  <si>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</si>
  <si>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</si>
  <si>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</si>
  <si>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</si>
  <si>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</si>
  <si>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</si>
  <si>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</si>
  <si>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</si>
  <si>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</si>
  <si>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</si>
  <si>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</si>
  <si>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</si>
  <si>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</si>
  <si>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</si>
  <si>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</si>
  <si>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</si>
  <si>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</si>
  <si>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</si>
  <si>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</si>
  <si>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</si>
  <si>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</si>
  <si>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</si>
  <si>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</si>
  <si>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</si>
  <si>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</si>
  <si>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</si>
  <si>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</si>
  <si>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</si>
  <si>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</si>
  <si>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</si>
  <si>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</si>
  <si>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</si>
  <si>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</si>
  <si>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</si>
  <si>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</si>
  <si>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</si>
  <si>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</si>
  <si>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</si>
  <si>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</si>
  <si>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</si>
  <si>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</si>
  <si>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</si>
  <si>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</si>
  <si>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</si>
  <si>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</si>
  <si>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</si>
  <si>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</si>
  <si>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</si>
  <si>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</si>
  <si>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</si>
  <si>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</si>
  <si>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</si>
  <si>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</si>
  <si>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</si>
  <si>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</si>
  <si>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</si>
  <si>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</si>
  <si>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</si>
  <si>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</si>
  <si>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</si>
  <si>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</si>
  <si>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</si>
  <si>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</si>
  <si>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</si>
  <si>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</si>
  <si>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</si>
  <si>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</si>
  <si>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</si>
  <si>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</si>
  <si>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</si>
  <si>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</si>
  <si>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</si>
  <si>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</si>
  <si>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</si>
  <si>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</si>
  <si>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</si>
  <si>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</si>
  <si>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</si>
  <si>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</si>
  <si>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</si>
  <si>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</si>
  <si>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</si>
  <si>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</si>
  <si>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</si>
  <si>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</si>
  <si>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</si>
  <si>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</si>
  <si>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</si>
  <si>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</si>
  <si>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</si>
  <si>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</si>
  <si>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</si>
  <si>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</si>
  <si>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</si>
  <si>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</si>
  <si>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</si>
  <si>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</si>
  <si>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</si>
  <si>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</si>
  <si>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</si>
  <si>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</si>
  <si>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</si>
  <si>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</si>
  <si>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</si>
  <si>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</si>
  <si>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</si>
  <si>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</si>
  <si>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</si>
  <si>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</si>
  <si>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</si>
  <si>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</si>
  <si>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</si>
  <si>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</si>
  <si>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</si>
  <si>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</si>
  <si>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</si>
  <si>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</si>
  <si>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</si>
  <si>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</si>
  <si>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</si>
  <si>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</si>
  <si>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</si>
  <si>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</si>
  <si>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</si>
  <si>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</si>
  <si>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</si>
  <si>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</si>
  <si>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</si>
  <si>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</si>
  <si>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</si>
  <si>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</si>
  <si>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</si>
  <si>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</si>
  <si>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</si>
  <si>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</si>
  <si>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</si>
  <si>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</si>
  <si>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</si>
  <si>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</si>
  <si>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</si>
  <si>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</si>
  <si>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</si>
  <si>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</si>
  <si>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</si>
  <si>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</si>
  <si>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</si>
  <si>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</si>
  <si>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</si>
  <si>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</si>
  <si>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</si>
  <si>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</si>
  <si>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</si>
  <si>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</si>
  <si>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</si>
  <si>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</si>
  <si>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</si>
  <si>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</si>
  <si>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</si>
  <si>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</si>
  <si>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</si>
  <si>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</si>
  <si>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</si>
  <si>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</si>
  <si>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</si>
  <si>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</si>
  <si>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</si>
  <si>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</si>
  <si>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</si>
  <si>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</si>
  <si>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</si>
  <si>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</si>
  <si>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</si>
  <si>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</si>
  <si>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</si>
  <si>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</si>
  <si>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</si>
  <si>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</si>
  <si>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</si>
  <si>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</si>
  <si>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</si>
  <si>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</si>
  <si>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</si>
  <si>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</si>
  <si>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</si>
  <si>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</si>
  <si>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</si>
  <si>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</si>
  <si>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</si>
  <si>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</si>
  <si>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</si>
  <si>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</si>
  <si>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</si>
  <si>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</si>
  <si>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</si>
  <si>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</si>
  <si>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</si>
  <si>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</si>
  <si>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</si>
  <si>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</si>
  <si>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</si>
  <si>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</si>
  <si>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</si>
  <si>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</si>
  <si>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</si>
  <si>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</si>
  <si>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</si>
  <si>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</si>
  <si>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</si>
  <si>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</si>
  <si>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</si>
  <si>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</si>
  <si>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</si>
  <si>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</si>
  <si>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</si>
  <si>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</si>
  <si>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</si>
  <si>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</si>
  <si>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</si>
  <si>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</si>
  <si>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</si>
  <si>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</si>
  <si>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</si>
  <si>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</si>
  <si>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</si>
  <si>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</si>
  <si>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</si>
  <si>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</si>
  <si>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</si>
  <si>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</si>
  <si>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</si>
  <si>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</si>
  <si>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</si>
  <si>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</si>
  <si>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</si>
  <si>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</si>
  <si>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</si>
  <si>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</si>
  <si>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</si>
  <si>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</si>
  <si>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</si>
  <si>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</si>
  <si>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</si>
  <si>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</si>
  <si>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</si>
  <si>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</si>
  <si>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</si>
  <si>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</si>
  <si>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</si>
  <si>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</si>
  <si>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</si>
  <si>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</si>
  <si>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</si>
  <si>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</si>
  <si>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</si>
  <si>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</si>
  <si>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</si>
  <si>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</si>
  <si>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</si>
  <si>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</si>
  <si>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</si>
  <si>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</si>
  <si>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</si>
  <si>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</si>
  <si>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</si>
  <si>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</si>
  <si>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</si>
  <si>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</si>
  <si>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</si>
  <si>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</si>
  <si>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</si>
  <si>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</si>
  <si>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</si>
  <si>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</si>
  <si>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</si>
  <si>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</si>
  <si>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</si>
  <si>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</si>
  <si>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</si>
  <si>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</si>
  <si>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</si>
  <si>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</si>
  <si>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</si>
  <si>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</si>
  <si>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</si>
  <si>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</si>
  <si>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</si>
  <si>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</si>
  <si>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</si>
  <si>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</si>
  <si>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</si>
  <si>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</si>
  <si>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</si>
  <si>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</si>
  <si>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</si>
  <si>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</si>
  <si>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</si>
  <si>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</si>
  <si>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</si>
  <si>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</si>
  <si>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</si>
  <si>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</si>
  <si>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</si>
  <si>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</si>
  <si>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</si>
  <si>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</si>
  <si>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</si>
  <si>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</si>
  <si>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</si>
  <si>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</si>
  <si>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</si>
  <si>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</si>
  <si>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</si>
  <si>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</si>
  <si>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</si>
  <si>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</si>
  <si>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</si>
  <si>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</si>
  <si>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</si>
  <si>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</si>
  <si>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</si>
  <si>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</si>
  <si>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</si>
  <si>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</si>
  <si>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</si>
  <si>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</si>
  <si>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</si>
  <si>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</si>
  <si>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</si>
  <si>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</si>
  <si>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</si>
  <si>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</si>
  <si>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</si>
  <si>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</si>
  <si>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</si>
  <si>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</si>
  <si>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</si>
  <si>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</si>
  <si>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</si>
  <si>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</si>
  <si>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</si>
  <si>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</si>
  <si>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</si>
  <si>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</si>
  <si>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</si>
  <si>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</si>
  <si>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</si>
  <si>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</si>
  <si>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</si>
  <si>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</si>
  <si>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</si>
  <si>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</si>
  <si>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</si>
  <si>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</si>
  <si>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</si>
  <si>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</si>
  <si>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</si>
  <si>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</si>
  <si>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</si>
  <si>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</si>
  <si>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</si>
  <si>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</si>
  <si>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</si>
  <si>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</si>
  <si>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</si>
  <si>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</si>
  <si>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</si>
  <si>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</si>
  <si>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</si>
  <si>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</si>
  <si>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</si>
  <si>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</si>
  <si>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</si>
  <si>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</si>
  <si>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</si>
  <si>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</si>
  <si>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</si>
  <si>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</si>
  <si>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</si>
  <si>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</si>
  <si>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</si>
  <si>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</si>
  <si>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</si>
  <si>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</si>
  <si>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</si>
  <si>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</si>
  <si>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</si>
  <si>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</si>
  <si>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</si>
  <si>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</si>
  <si>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</si>
  <si>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</si>
  <si>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</si>
  <si>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</si>
  <si>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</si>
  <si>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</si>
  <si>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</si>
  <si>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</si>
  <si>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</si>
  <si>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</si>
  <si>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</si>
  <si>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</si>
  <si>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</si>
  <si>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</si>
  <si>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</si>
  <si>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</si>
  <si>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</si>
  <si>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</si>
  <si>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</si>
  <si>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</si>
  <si>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</si>
  <si>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</si>
  <si>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</si>
  <si>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</si>
  <si>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</si>
  <si>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</si>
  <si>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</si>
  <si>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</si>
  <si>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</si>
  <si>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</si>
  <si>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</si>
  <si>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</si>
  <si>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</si>
  <si>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</si>
  <si>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</si>
  <si>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</si>
  <si>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</si>
  <si>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</si>
  <si>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</si>
  <si>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</si>
  <si>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</si>
  <si>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</si>
  <si>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</si>
  <si>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</si>
  <si>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</si>
  <si>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</si>
  <si>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</si>
  <si>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</si>
  <si>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</si>
  <si>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</si>
  <si>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</si>
  <si>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</si>
  <si>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</si>
  <si>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</si>
  <si>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</si>
  <si>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</si>
  <si>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</si>
  <si>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</si>
  <si>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</si>
  <si>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</si>
  <si>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</si>
  <si>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</si>
  <si>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</si>
  <si>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</si>
  <si>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</si>
  <si>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</si>
  <si>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</si>
  <si>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</si>
  <si>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</si>
  <si>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</si>
  <si>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</si>
  <si>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</si>
  <si>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</si>
  <si>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</si>
  <si>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</si>
  <si>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</si>
  <si>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</si>
  <si>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</si>
  <si>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</si>
  <si>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</si>
  <si>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</si>
  <si>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</si>
  <si>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</si>
  <si>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</si>
  <si>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</si>
  <si>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</si>
  <si>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</si>
  <si>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</si>
  <si>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</si>
  <si>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</si>
  <si>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</si>
  <si>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</si>
  <si>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</si>
  <si>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</si>
  <si>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</si>
  <si>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</si>
  <si>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</si>
  <si>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</si>
  <si>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</si>
  <si>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</si>
  <si>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</si>
  <si>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</si>
  <si>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</si>
  <si>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</si>
  <si>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</si>
  <si>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</si>
  <si>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</si>
  <si>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</si>
  <si>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</si>
  <si>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</si>
  <si>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</si>
  <si>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</si>
  <si>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</si>
  <si>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</si>
  <si>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</si>
  <si>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</si>
  <si>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</si>
  <si>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</si>
  <si>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</si>
  <si>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</si>
  <si>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</si>
  <si>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</si>
  <si>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</si>
  <si>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</si>
  <si>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</si>
  <si>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</si>
  <si>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</si>
  <si>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</si>
  <si>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</si>
  <si>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</si>
  <si>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</si>
  <si>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</si>
  <si>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</si>
  <si>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</si>
  <si>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</si>
  <si>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</si>
  <si>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</si>
  <si>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</si>
  <si>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</si>
  <si>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</si>
  <si>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</si>
  <si>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</si>
  <si>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</si>
  <si>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</si>
  <si>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</si>
  <si>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</si>
  <si>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</si>
  <si>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</si>
  <si>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</si>
  <si>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</si>
  <si>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</si>
  <si>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</si>
  <si>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</si>
  <si>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</si>
  <si>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</si>
  <si>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</si>
  <si>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</si>
  <si>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</si>
  <si>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</si>
  <si>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</si>
  <si>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</si>
  <si>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</si>
  <si>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</si>
  <si>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</si>
  <si>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</si>
  <si>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</si>
  <si>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</si>
  <si>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</si>
  <si>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</si>
  <si>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</si>
  <si>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</si>
  <si>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</si>
  <si>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</si>
  <si>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</si>
  <si>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</si>
  <si>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</si>
  <si>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</si>
  <si>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</si>
  <si>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</si>
  <si>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</si>
  <si>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</si>
  <si>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</si>
  <si>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</si>
  <si>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</si>
  <si>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</si>
  <si>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</si>
  <si>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</si>
  <si>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</si>
  <si>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</si>
  <si>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</si>
  <si>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</si>
  <si>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</si>
  <si>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</si>
  <si>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</si>
  <si>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</si>
  <si>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</si>
  <si>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</si>
  <si>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</si>
  <si>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</si>
  <si>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</si>
  <si>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</si>
  <si>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</si>
  <si>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</si>
  <si>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</si>
  <si>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</si>
  <si>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</si>
  <si>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</si>
  <si>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</si>
  <si>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</si>
  <si>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</si>
  <si>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</si>
  <si>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</si>
  <si>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</si>
  <si>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</si>
  <si>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</si>
  <si>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</si>
  <si>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</si>
  <si>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</si>
  <si>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</si>
  <si>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</si>
  <si>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</si>
  <si>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</si>
  <si>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</si>
  <si>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</si>
  <si>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</si>
  <si>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</si>
  <si>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</si>
  <si>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</si>
  <si>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</si>
  <si>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</si>
  <si>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</si>
  <si>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</si>
  <si>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</si>
  <si>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</si>
  <si>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</si>
  <si>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</si>
  <si>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</si>
  <si>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</si>
  <si>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</si>
  <si>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</si>
  <si>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</si>
  <si>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</si>
  <si>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</si>
  <si>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</si>
  <si>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</si>
  <si>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</si>
  <si>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</si>
  <si>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</si>
  <si>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</si>
  <si>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</si>
  <si>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</si>
  <si>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</si>
  <si>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</si>
  <si>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</si>
  <si>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</si>
  <si>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</si>
  <si>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</si>
  <si>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</si>
  <si>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</si>
  <si>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</si>
  <si>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</si>
  <si>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</si>
  <si>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</si>
  <si>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</si>
  <si>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</si>
  <si>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</si>
  <si>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</si>
  <si>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</si>
  <si>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</si>
  <si>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</si>
  <si>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</si>
  <si>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</si>
  <si>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</si>
  <si>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</si>
  <si>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</si>
  <si>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</si>
  <si>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</si>
  <si>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</si>
  <si>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</si>
  <si>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</si>
  <si>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</si>
  <si>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</si>
  <si>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</si>
  <si>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</si>
  <si>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</si>
  <si>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</si>
  <si>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</si>
  <si>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</si>
  <si>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</si>
  <si>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</si>
  <si>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</si>
  <si>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</si>
  <si>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</si>
  <si>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</si>
  <si>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</si>
  <si>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</si>
  <si>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</si>
  <si>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</si>
  <si>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</si>
  <si>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</si>
  <si>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</si>
  <si>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</si>
  <si>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</si>
  <si>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</si>
  <si>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</si>
  <si>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</si>
  <si>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</si>
  <si>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</si>
  <si>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</si>
  <si>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</si>
  <si>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</si>
  <si>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</si>
  <si>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</si>
  <si>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</si>
  <si>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</si>
  <si>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</si>
  <si>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</si>
  <si>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</si>
  <si>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</si>
  <si>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</si>
  <si>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</si>
  <si>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</si>
  <si>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</si>
  <si>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</si>
  <si>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</si>
  <si>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</si>
  <si>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</si>
  <si>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</si>
  <si>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</si>
  <si>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</si>
  <si>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</si>
  <si>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</si>
  <si>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</si>
  <si>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</si>
  <si>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</si>
  <si>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</si>
  <si>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</si>
  <si>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</si>
  <si>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</si>
  <si>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</si>
  <si>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</si>
  <si>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</si>
  <si>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</si>
  <si>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</si>
  <si>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</si>
  <si>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</si>
  <si>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</si>
  <si>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</si>
  <si>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</si>
  <si>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</si>
  <si>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</si>
  <si>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</si>
  <si>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</si>
  <si>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</si>
  <si>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</si>
  <si>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</si>
  <si>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</si>
  <si>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</si>
  <si>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</si>
  <si>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</si>
  <si>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</si>
  <si>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</si>
  <si>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</si>
  <si>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</si>
  <si>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</si>
  <si>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</si>
  <si>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</si>
  <si>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</si>
  <si>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</si>
  <si>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</si>
  <si>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</si>
  <si>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</si>
  <si>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</si>
  <si>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</si>
  <si>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</si>
  <si>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</si>
  <si>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</si>
  <si>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</si>
  <si>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</si>
  <si>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</si>
  <si>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</si>
  <si>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</si>
  <si>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</si>
  <si>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</si>
  <si>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</si>
  <si>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</si>
  <si>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</si>
  <si>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</si>
  <si>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</si>
  <si>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</si>
  <si>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</si>
  <si>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</si>
  <si>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</si>
  <si>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</si>
  <si>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</si>
  <si>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</si>
  <si>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</si>
  <si>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</si>
  <si>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</si>
  <si>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</si>
  <si>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</si>
  <si>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</si>
  <si>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</si>
  <si>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</si>
  <si>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</si>
  <si>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</si>
  <si>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</si>
  <si>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</si>
  <si>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</si>
  <si>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</si>
  <si>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</si>
  <si>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</si>
  <si>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</si>
  <si>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</si>
  <si>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</si>
  <si>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</si>
  <si>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</si>
  <si>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</si>
  <si>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</si>
  <si>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</si>
  <si>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</si>
  <si>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</si>
  <si>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</si>
  <si>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</si>
  <si>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</si>
  <si>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</si>
  <si>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</si>
  <si>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</si>
  <si>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</si>
  <si>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</si>
  <si>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</si>
  <si>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</si>
  <si>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</si>
  <si>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</si>
  <si>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</si>
  <si>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</si>
  <si>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</si>
  <si>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</si>
  <si>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</si>
  <si>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</si>
  <si>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</si>
  <si>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</si>
  <si>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</si>
  <si>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</si>
  <si>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</si>
  <si>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</si>
  <si>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</si>
  <si>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</si>
  <si>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</si>
  <si>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</si>
  <si>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</si>
  <si>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</si>
  <si>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</si>
  <si>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</si>
  <si>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</si>
  <si>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</si>
  <si>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</si>
  <si>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</si>
  <si>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</si>
  <si>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</si>
  <si>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</si>
  <si>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</si>
  <si>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</si>
  <si>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</si>
  <si>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</si>
  <si>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</si>
  <si>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</si>
  <si>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</si>
  <si>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</si>
  <si>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</si>
  <si>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</si>
  <si>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</si>
  <si>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</si>
  <si>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</si>
  <si>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</si>
  <si>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</si>
  <si>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</si>
  <si>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</si>
  <si>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</si>
  <si>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</si>
  <si>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</si>
  <si>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</si>
  <si>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</si>
  <si>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</si>
  <si>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</si>
  <si>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</si>
  <si>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</si>
  <si>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</si>
  <si>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</si>
  <si>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</si>
  <si>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</si>
  <si>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</si>
  <si>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</si>
  <si>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</si>
  <si>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</si>
  <si>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</si>
  <si>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</si>
  <si>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</si>
  <si>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</si>
  <si>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</si>
  <si>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</si>
  <si>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</si>
  <si>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</si>
  <si>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</si>
  <si>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</si>
  <si>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</si>
  <si>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</si>
  <si>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</si>
  <si>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</si>
  <si>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</si>
  <si>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</si>
  <si>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</si>
  <si>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</si>
  <si>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</si>
  <si>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</si>
  <si>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</si>
  <si>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</si>
  <si>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</si>
  <si>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</si>
  <si>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</si>
  <si>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</si>
  <si>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</si>
  <si>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</si>
  <si>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</si>
  <si>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</si>
  <si>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</si>
  <si>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</si>
  <si>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</si>
  <si>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</si>
  <si>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</si>
  <si>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</si>
  <si>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</si>
  <si>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</si>
  <si>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</si>
  <si>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</si>
  <si>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</si>
  <si>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</si>
  <si>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</si>
  <si>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</si>
  <si>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</si>
  <si>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</si>
  <si>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</si>
  <si>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</si>
  <si>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</si>
  <si>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</si>
  <si>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</si>
  <si>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</si>
  <si>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</si>
  <si>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</si>
  <si>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</si>
  <si>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</si>
  <si>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</si>
  <si>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</si>
  <si>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</si>
  <si>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</si>
  <si>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</si>
  <si>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</si>
  <si>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</si>
  <si>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</si>
  <si>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</si>
  <si>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</si>
  <si>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</si>
  <si>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</si>
  <si>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</si>
  <si>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</si>
  <si>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</si>
  <si>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</si>
  <si>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</si>
  <si>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</si>
  <si>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</si>
  <si>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</si>
  <si>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</si>
  <si>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</si>
  <si>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</si>
  <si>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</si>
  <si>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</si>
  <si>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</si>
  <si>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</si>
  <si>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</si>
  <si>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</si>
  <si>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</si>
  <si>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</si>
  <si>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</si>
  <si>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</si>
  <si>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</si>
  <si>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</si>
  <si>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</si>
  <si>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</si>
  <si>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</si>
  <si>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</si>
  <si>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</si>
  <si>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</si>
  <si>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</si>
  <si>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</si>
  <si>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</si>
  <si>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</si>
  <si>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</si>
  <si>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</si>
  <si>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</si>
  <si>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</si>
  <si>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</si>
  <si>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</si>
  <si>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</si>
  <si>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</si>
  <si>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</si>
  <si>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</si>
  <si>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</si>
  <si>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</si>
  <si>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</si>
  <si>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</si>
  <si>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</si>
  <si>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</si>
  <si>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</si>
  <si>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</si>
  <si>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</si>
  <si>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</si>
  <si>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</si>
  <si>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</si>
  <si>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</si>
  <si>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</si>
  <si>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</si>
  <si>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</si>
  <si>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</si>
  <si>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</si>
  <si>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</si>
  <si>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</si>
  <si>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</si>
  <si>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</si>
  <si>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</si>
  <si>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</si>
  <si>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</si>
  <si>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</si>
  <si>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</si>
  <si>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</si>
  <si>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</si>
  <si>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</si>
  <si>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</si>
  <si>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</si>
  <si>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</si>
  <si>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</si>
  <si>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</si>
  <si>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</si>
  <si>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</si>
  <si>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</si>
  <si>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</si>
  <si>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</si>
  <si>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</si>
  <si>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</si>
  <si>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</si>
  <si>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</si>
  <si>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</si>
  <si>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</si>
  <si>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</si>
  <si>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</si>
  <si>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</si>
  <si>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</si>
  <si>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</si>
  <si>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</si>
  <si>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</si>
  <si>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</si>
  <si>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</si>
  <si>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</si>
  <si>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</si>
  <si>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</si>
  <si>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</si>
  <si>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</si>
  <si>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</si>
  <si>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</si>
  <si>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</si>
  <si>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</si>
  <si>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</si>
  <si>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</si>
  <si>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</si>
  <si>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</si>
  <si>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</si>
  <si>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</si>
  <si>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</si>
  <si>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</si>
  <si>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</si>
  <si>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</si>
  <si>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</si>
  <si>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</si>
  <si>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</si>
  <si>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</si>
  <si>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</si>
  <si>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</si>
  <si>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</si>
  <si>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</si>
  <si>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</si>
  <si>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</si>
  <si>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</si>
  <si>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</si>
  <si>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</si>
  <si>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</si>
  <si>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</si>
  <si>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</si>
  <si>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</si>
  <si>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</si>
  <si>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</si>
  <si>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</si>
  <si>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</si>
  <si>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</si>
  <si>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</si>
  <si>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</si>
  <si>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</si>
  <si>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</si>
  <si>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</si>
  <si>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</si>
  <si>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</si>
  <si>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</si>
  <si>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</si>
  <si>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</si>
  <si>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</si>
  <si>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</si>
  <si>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</si>
  <si>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</si>
  <si>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</si>
  <si>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</si>
  <si>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</si>
  <si>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</si>
  <si>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</si>
  <si>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</si>
  <si>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</si>
  <si>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</si>
  <si>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</si>
  <si>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</si>
  <si>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</si>
  <si>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</si>
  <si>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</si>
  <si>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</si>
  <si>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</si>
  <si>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</si>
  <si>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</si>
  <si>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</si>
  <si>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</si>
  <si>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</si>
  <si>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</si>
  <si>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</si>
  <si>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</si>
  <si>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</si>
  <si>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</si>
  <si>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</si>
  <si>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</si>
  <si>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</si>
  <si>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</si>
  <si>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</si>
  <si>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</si>
  <si>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</si>
  <si>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</si>
  <si>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</si>
  <si>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</si>
  <si>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</si>
  <si>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</si>
  <si>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</si>
  <si>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</si>
  <si>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</si>
  <si>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</si>
  <si>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</si>
  <si>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</si>
  <si>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</si>
  <si>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</si>
  <si>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</si>
  <si>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</si>
  <si>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</si>
  <si>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</si>
  <si>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</si>
  <si>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</si>
  <si>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</si>
  <si>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</si>
  <si>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</si>
  <si>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</si>
  <si>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</si>
  <si>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</si>
  <si>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</si>
  <si>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</si>
  <si>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</si>
  <si>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</si>
  <si>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</si>
  <si>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</si>
  <si>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</si>
  <si>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</si>
  <si>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</si>
  <si>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</si>
  <si>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</si>
  <si>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</si>
  <si>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</si>
  <si>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</si>
  <si>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</si>
  <si>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</si>
  <si>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</si>
  <si>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</si>
  <si>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</si>
  <si>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</si>
  <si>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</si>
  <si>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</si>
  <si>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</si>
  <si>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</si>
  <si>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</si>
  <si>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</si>
  <si>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</si>
  <si>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</si>
  <si>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</si>
  <si>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</si>
  <si>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</si>
  <si>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</si>
  <si>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</si>
  <si>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</si>
  <si>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</si>
  <si>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</si>
  <si>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</si>
  <si>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</si>
  <si>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</si>
  <si>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</si>
  <si>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</si>
  <si>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</si>
  <si>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</si>
  <si>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</si>
  <si>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</si>
  <si>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</si>
  <si>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</si>
  <si>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</si>
  <si>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</si>
  <si>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</si>
  <si>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</si>
  <si>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</si>
  <si>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</si>
  <si>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</si>
  <si>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</si>
  <si>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</si>
  <si>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</si>
  <si>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</si>
  <si>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</si>
  <si>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</si>
  <si>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</si>
  <si>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</si>
  <si>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</si>
  <si>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</si>
  <si>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</si>
  <si>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</si>
  <si>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</si>
  <si>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</si>
  <si>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</si>
  <si>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</si>
  <si>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</si>
  <si>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</si>
  <si>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</si>
  <si>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</si>
  <si>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</si>
  <si>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</si>
  <si>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</si>
  <si>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</si>
  <si>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</si>
  <si>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</si>
  <si>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</si>
  <si>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</si>
  <si>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</si>
  <si>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</si>
  <si>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</si>
  <si>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</si>
  <si>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</si>
  <si>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</si>
  <si>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</si>
  <si>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</si>
  <si>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</si>
  <si>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</si>
  <si>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</si>
  <si>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</si>
  <si>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</si>
  <si>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</si>
  <si>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</si>
  <si>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</si>
  <si>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</si>
  <si>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</si>
  <si>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</si>
  <si>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</si>
  <si>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</si>
  <si>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</si>
  <si>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</si>
  <si>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</si>
  <si>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</si>
  <si>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</si>
  <si>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</si>
  <si>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</si>
  <si>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</si>
  <si>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</si>
  <si>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</si>
  <si>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</si>
  <si>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</si>
  <si>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</si>
  <si>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</si>
  <si>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</si>
  <si>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</si>
  <si>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</si>
  <si>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</si>
  <si>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</si>
  <si>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</si>
  <si>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</si>
  <si>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</si>
  <si>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</si>
  <si>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</si>
  <si>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</si>
  <si>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</si>
  <si>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</si>
  <si>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</si>
  <si>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</si>
  <si>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</si>
  <si>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</si>
  <si>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</si>
  <si>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</si>
  <si>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</si>
  <si>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</si>
  <si>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</si>
  <si>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</si>
  <si>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</si>
  <si>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</si>
  <si>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</si>
  <si>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</si>
  <si>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</si>
  <si>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</si>
  <si>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</si>
  <si>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</si>
  <si>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</si>
  <si>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</si>
  <si>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</si>
  <si>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</si>
  <si>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</si>
  <si>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</si>
  <si>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</si>
  <si>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</si>
  <si>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</si>
  <si>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</si>
  <si>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</si>
  <si>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</si>
  <si>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</si>
  <si>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</si>
  <si>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</si>
  <si>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</si>
  <si>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</si>
  <si>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</si>
  <si>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</si>
  <si>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</si>
  <si>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</si>
  <si>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</si>
  <si>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</si>
  <si>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</si>
  <si>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</si>
  <si>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</si>
  <si>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</si>
  <si>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</si>
  <si>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</si>
  <si>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</si>
  <si>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</si>
  <si>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</si>
  <si>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</si>
  <si>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</si>
  <si>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</si>
  <si>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</si>
  <si>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</si>
  <si>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</si>
  <si>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</si>
  <si>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</si>
  <si>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</si>
  <si>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</si>
  <si>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</si>
  <si>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</si>
  <si>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</si>
  <si>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</si>
  <si>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</si>
  <si>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</si>
  <si>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</si>
  <si>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</si>
  <si>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</si>
  <si>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</si>
  <si>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</si>
  <si>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</si>
  <si>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</si>
  <si>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</si>
  <si>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</si>
  <si>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</si>
  <si>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</si>
  <si>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</si>
  <si>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</si>
  <si>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</si>
  <si>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</si>
  <si>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</si>
  <si>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</si>
  <si>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</si>
  <si>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</si>
  <si>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</si>
  <si>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</si>
  <si>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</si>
  <si>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</si>
  <si>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</si>
  <si>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</si>
  <si>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</si>
  <si>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</si>
  <si>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</si>
  <si>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</si>
  <si>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</si>
  <si>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</si>
  <si>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</si>
  <si>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</si>
  <si>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</si>
  <si>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</si>
  <si>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</si>
  <si>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</si>
  <si>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</si>
  <si>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</si>
  <si>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</si>
  <si>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</si>
  <si>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</si>
  <si>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</si>
  <si>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</si>
  <si>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</si>
  <si>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</si>
  <si>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</si>
  <si>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</si>
  <si>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</si>
  <si>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</si>
  <si>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</si>
  <si>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</si>
  <si>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</si>
  <si>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</si>
  <si>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</si>
  <si>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</si>
  <si>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</si>
  <si>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</si>
  <si>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</si>
  <si>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</si>
  <si>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</si>
  <si>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</si>
  <si>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</si>
  <si>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</si>
  <si>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</si>
  <si>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</si>
  <si>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</si>
  <si>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</si>
  <si>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</si>
  <si>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</si>
  <si>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</si>
  <si>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</si>
  <si>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</si>
  <si>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</si>
  <si>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</si>
  <si>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</si>
  <si>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</si>
  <si>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</si>
  <si>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</si>
  <si>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</si>
  <si>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</si>
  <si>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</si>
  <si>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</si>
  <si>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</si>
  <si>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</si>
  <si>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</si>
  <si>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</si>
  <si>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</si>
  <si>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</si>
  <si>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</si>
  <si>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</si>
  <si>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</si>
  <si>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</si>
  <si>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</si>
  <si>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</si>
  <si>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</si>
  <si>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</si>
  <si>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</si>
  <si>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</si>
  <si>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</si>
  <si>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</si>
  <si>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</si>
  <si>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</si>
  <si>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</si>
  <si>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</si>
  <si>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</si>
  <si>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</si>
  <si>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</si>
  <si>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</si>
  <si>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</si>
  <si>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</si>
  <si>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</si>
  <si>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</si>
  <si>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</si>
  <si>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</si>
  <si>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</si>
  <si>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</si>
  <si>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</si>
  <si>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</si>
  <si>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</si>
  <si>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</si>
  <si>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</si>
  <si>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</si>
  <si>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</si>
  <si>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</si>
  <si>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</si>
  <si>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</si>
  <si>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</si>
  <si>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</si>
  <si>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</si>
  <si>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</si>
  <si>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</si>
  <si>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</si>
  <si>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</si>
  <si>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</si>
  <si>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</si>
  <si>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</si>
  <si>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</si>
  <si>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</si>
  <si>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</si>
  <si>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</si>
  <si>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</si>
  <si>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</si>
  <si>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</si>
  <si>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</si>
  <si>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</si>
  <si>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</si>
  <si>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</si>
  <si>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</si>
  <si>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</si>
  <si>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</si>
  <si>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</si>
  <si>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</si>
  <si>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</si>
  <si>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</si>
  <si>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</si>
  <si>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</si>
  <si>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</si>
  <si>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</si>
  <si>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</si>
  <si>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</si>
  <si>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</si>
  <si>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</si>
  <si>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</si>
  <si>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</si>
  <si>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</si>
  <si>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</si>
  <si>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</si>
  <si>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</si>
  <si>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</si>
  <si>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</si>
  <si>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</si>
  <si>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</si>
  <si>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</si>
  <si>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</si>
  <si>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</si>
  <si>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</si>
  <si>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</si>
  <si>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</si>
  <si>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</si>
  <si>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</si>
  <si>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</si>
  <si>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</si>
  <si>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</si>
  <si>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</si>
  <si>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</si>
  <si>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</si>
  <si>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</si>
  <si>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</si>
  <si>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</si>
  <si>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</si>
  <si>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</si>
  <si>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</si>
  <si>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</si>
  <si>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</si>
  <si>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</si>
  <si>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</si>
  <si>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</si>
  <si>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</si>
  <si>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</si>
  <si>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</si>
  <si>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</si>
  <si>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</si>
  <si>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</si>
  <si>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</si>
  <si>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</si>
  <si>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</si>
  <si>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</si>
  <si>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</si>
  <si>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</si>
  <si>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</si>
  <si>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</si>
  <si>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</si>
  <si>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</si>
  <si>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</si>
  <si>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</si>
  <si>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</si>
  <si>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</si>
  <si>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</si>
  <si>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</si>
  <si>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</si>
  <si>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</si>
  <si>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</si>
  <si>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</si>
  <si>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</si>
  <si>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</si>
  <si>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</si>
  <si>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</si>
  <si>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</si>
  <si>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</si>
  <si>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</si>
  <si>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</si>
  <si>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</si>
  <si>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</si>
  <si>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</si>
  <si>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</si>
  <si>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</si>
  <si>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</si>
  <si>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</si>
  <si>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</si>
  <si>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</si>
  <si>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</si>
  <si>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</si>
  <si>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</si>
  <si>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</si>
  <si>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</si>
  <si>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</si>
  <si>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</si>
  <si>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</si>
  <si>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</si>
  <si>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</si>
  <si>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</si>
  <si>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</si>
  <si>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</si>
  <si>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</si>
  <si>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</si>
  <si>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</si>
  <si>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</si>
  <si>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</si>
  <si>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</si>
  <si>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</si>
  <si>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</si>
  <si>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</si>
  <si>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</si>
  <si>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</si>
  <si>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</si>
  <si>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</si>
  <si>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</si>
  <si>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</si>
  <si>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</si>
  <si>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</si>
  <si>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</si>
  <si>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</si>
  <si>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</si>
  <si>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</si>
  <si>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</si>
  <si>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</si>
  <si>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</si>
  <si>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</si>
  <si>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</si>
  <si>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</si>
  <si>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</si>
  <si>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</si>
  <si>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</si>
  <si>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</si>
  <si>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</si>
  <si>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</si>
  <si>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</si>
  <si>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</si>
  <si>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</si>
  <si>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</si>
  <si>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</si>
  <si>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</si>
  <si>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</si>
  <si>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</si>
  <si>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</si>
  <si>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</si>
  <si>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</si>
  <si>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</si>
  <si>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</si>
  <si>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</si>
  <si>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</si>
  <si>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</si>
  <si>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</si>
  <si>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</si>
  <si>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</si>
  <si>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</si>
  <si>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</si>
  <si>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</si>
  <si>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</si>
  <si>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</si>
  <si>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</si>
  <si>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</si>
  <si>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</si>
  <si>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</si>
  <si>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</si>
  <si>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</si>
  <si>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</si>
  <si>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</si>
  <si>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</si>
  <si>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</si>
  <si>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</si>
  <si>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</si>
  <si>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</si>
  <si>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</si>
  <si>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</si>
  <si>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</si>
  <si>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</si>
  <si>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</si>
  <si>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</si>
  <si>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</si>
  <si>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</si>
  <si>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</si>
  <si>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</si>
  <si>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</si>
  <si>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</si>
  <si>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</si>
  <si>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</si>
  <si>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</si>
  <si>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</si>
  <si>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</si>
  <si>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</si>
  <si>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</si>
  <si>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</si>
  <si>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</si>
  <si>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</si>
  <si>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</si>
  <si>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</si>
  <si>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</si>
  <si>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</si>
  <si>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</si>
  <si>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</si>
  <si>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</si>
  <si>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</si>
  <si>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</si>
  <si>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</si>
  <si>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</si>
  <si>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</si>
  <si>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</si>
  <si>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</si>
  <si>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</si>
  <si>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</si>
  <si>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</si>
  <si>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</si>
  <si>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</si>
  <si>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</si>
  <si>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</si>
  <si>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</si>
  <si>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</si>
  <si>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</si>
  <si>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</si>
  <si>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</si>
  <si>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</si>
  <si>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</si>
  <si>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</si>
  <si>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</si>
  <si>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</si>
  <si>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</si>
  <si>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</si>
  <si>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</si>
  <si>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</si>
  <si>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</si>
  <si>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</si>
  <si>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</si>
  <si>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</si>
  <si>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出让</t>
  </si>
  <si>
    <t>通路</t>
  </si>
  <si>
    <t>通电</t>
  </si>
  <si>
    <t>通讯</t>
  </si>
  <si>
    <t>通上水</t>
  </si>
  <si>
    <t>通下水</t>
  </si>
  <si>
    <t>通热</t>
  </si>
  <si>
    <t>燃气</t>
  </si>
  <si>
    <t>是</t>
    <phoneticPr fontId="3" type="noConversion"/>
  </si>
  <si>
    <t>地上</t>
  </si>
  <si>
    <t>办公楼</t>
  </si>
  <si>
    <t>办公</t>
    <phoneticPr fontId="7" type="noConversion"/>
  </si>
  <si>
    <t>收益法 (元)</t>
  </si>
  <si>
    <t>融科望京产业中心未售明细</t>
    <phoneticPr fontId="255" type="noConversion"/>
  </si>
  <si>
    <t>楼座</t>
    <phoneticPr fontId="255" type="noConversion"/>
  </si>
  <si>
    <t>序号</t>
    <phoneticPr fontId="255" type="noConversion"/>
  </si>
  <si>
    <t>房号</t>
    <phoneticPr fontId="255" type="noConversion"/>
  </si>
  <si>
    <t>楼层</t>
    <phoneticPr fontId="143" type="noConversion"/>
  </si>
  <si>
    <t>业态</t>
    <phoneticPr fontId="255" type="noConversion"/>
  </si>
  <si>
    <t>是否持有</t>
    <phoneticPr fontId="255" type="noConversion"/>
  </si>
  <si>
    <t>实测建筑面积</t>
    <phoneticPr fontId="255" type="noConversion"/>
  </si>
  <si>
    <t>实测套内面积</t>
    <phoneticPr fontId="255" type="noConversion"/>
  </si>
  <si>
    <t>单价（元/建筑面积)</t>
    <phoneticPr fontId="255" type="noConversion"/>
  </si>
  <si>
    <t>总价（万元)</t>
    <phoneticPr fontId="255" type="noConversion"/>
  </si>
  <si>
    <t>A座</t>
    <phoneticPr fontId="255" type="noConversion"/>
  </si>
  <si>
    <t>商业</t>
    <phoneticPr fontId="255" type="noConversion"/>
  </si>
  <si>
    <t>否</t>
    <phoneticPr fontId="255" type="noConversion"/>
  </si>
  <si>
    <t>写字楼</t>
    <phoneticPr fontId="255" type="noConversion"/>
  </si>
  <si>
    <t>持有</t>
  </si>
  <si>
    <t>小计</t>
    <phoneticPr fontId="255" type="noConversion"/>
  </si>
  <si>
    <t>——</t>
    <phoneticPr fontId="255" type="noConversion"/>
  </si>
  <si>
    <t>B座</t>
    <phoneticPr fontId="255" type="noConversion"/>
  </si>
  <si>
    <t>总计</t>
    <phoneticPr fontId="255" type="noConversion"/>
  </si>
  <si>
    <r>
      <rPr>
        <sz val="10"/>
        <color indexed="8"/>
        <rFont val="宋体"/>
        <family val="3"/>
        <charset val="134"/>
      </rPr>
      <t>高区（</t>
    </r>
    <r>
      <rPr>
        <sz val="10"/>
        <color indexed="8"/>
        <rFont val="Arial"/>
        <family val="2"/>
      </rPr>
      <t>16-22</t>
    </r>
    <r>
      <rPr>
        <sz val="10"/>
        <color indexed="8"/>
        <rFont val="宋体"/>
        <family val="3"/>
        <charset val="134"/>
      </rPr>
      <t>）</t>
    </r>
    <phoneticPr fontId="25" type="noConversion"/>
  </si>
  <si>
    <r>
      <rPr>
        <sz val="10"/>
        <color indexed="8"/>
        <rFont val="宋体"/>
        <family val="3"/>
        <charset val="134"/>
      </rPr>
      <t>中区（</t>
    </r>
    <r>
      <rPr>
        <sz val="10"/>
        <color indexed="8"/>
        <rFont val="Arial"/>
        <family val="2"/>
      </rPr>
      <t>8-15</t>
    </r>
    <r>
      <rPr>
        <sz val="10"/>
        <color indexed="8"/>
        <rFont val="宋体"/>
        <family val="3"/>
        <charset val="134"/>
      </rPr>
      <t>）</t>
    </r>
    <phoneticPr fontId="25" type="noConversion"/>
  </si>
  <si>
    <r>
      <rPr>
        <sz val="10"/>
        <color indexed="8"/>
        <rFont val="宋体"/>
        <family val="3"/>
        <charset val="134"/>
      </rPr>
      <t>低区（</t>
    </r>
    <r>
      <rPr>
        <sz val="10"/>
        <color indexed="8"/>
        <rFont val="Arial"/>
        <family val="2"/>
      </rPr>
      <t>1-7</t>
    </r>
    <r>
      <rPr>
        <sz val="10"/>
        <color indexed="8"/>
        <rFont val="宋体"/>
        <family val="3"/>
        <charset val="134"/>
      </rPr>
      <t>）</t>
    </r>
    <phoneticPr fontId="25" type="noConversion"/>
  </si>
  <si>
    <t>高区（16-22）</t>
  </si>
  <si>
    <t>比较法-办公</t>
  </si>
  <si>
    <t>现房</t>
  </si>
  <si>
    <t>钢混</t>
  </si>
  <si>
    <t>非生产用房</t>
  </si>
  <si>
    <t>否</t>
  </si>
  <si>
    <t>押一</t>
  </si>
  <si>
    <t>按租金收入计税</t>
  </si>
  <si>
    <t>标准写字楼</t>
  </si>
  <si>
    <t>标准写字楼</t>
    <phoneticPr fontId="32" type="noConversion"/>
  </si>
  <si>
    <t>0-300</t>
    <phoneticPr fontId="32" type="noConversion"/>
  </si>
  <si>
    <t>300-500</t>
    <phoneticPr fontId="32" type="noConversion"/>
  </si>
  <si>
    <t>500-1000</t>
    <phoneticPr fontId="32" type="noConversion"/>
  </si>
  <si>
    <t>1000-1500</t>
    <phoneticPr fontId="32" type="noConversion"/>
  </si>
  <si>
    <t>1500-2000</t>
    <phoneticPr fontId="32" type="noConversion"/>
  </si>
  <si>
    <t>售价</t>
  </si>
  <si>
    <t>精装</t>
    <phoneticPr fontId="32" type="noConversion"/>
  </si>
  <si>
    <t>普装</t>
    <phoneticPr fontId="32" type="noConversion"/>
  </si>
  <si>
    <t>简装</t>
    <phoneticPr fontId="32" type="noConversion"/>
  </si>
  <si>
    <t>毛坯</t>
    <phoneticPr fontId="32" type="noConversion"/>
  </si>
  <si>
    <t>高区</t>
  </si>
  <si>
    <t>高区</t>
    <phoneticPr fontId="32" type="noConversion"/>
  </si>
  <si>
    <t>中区</t>
    <phoneticPr fontId="32" type="noConversion"/>
  </si>
  <si>
    <t>低区</t>
    <phoneticPr fontId="32" type="noConversion"/>
  </si>
  <si>
    <t>2层</t>
    <phoneticPr fontId="143" type="noConversion"/>
  </si>
  <si>
    <t>19层</t>
    <phoneticPr fontId="143" type="noConversion"/>
  </si>
  <si>
    <t>20层</t>
    <phoneticPr fontId="143" type="noConversion"/>
  </si>
  <si>
    <t>21层</t>
    <phoneticPr fontId="143" type="noConversion"/>
  </si>
  <si>
    <t>22层</t>
    <phoneticPr fontId="143" type="noConversion"/>
  </si>
  <si>
    <t>1-7</t>
    <phoneticPr fontId="143" type="noConversion"/>
  </si>
  <si>
    <t>8-15</t>
    <phoneticPr fontId="143" type="noConversion"/>
  </si>
  <si>
    <t>16-22</t>
    <phoneticPr fontId="143" type="noConversion"/>
  </si>
  <si>
    <t>望京SOHO</t>
    <phoneticPr fontId="3" type="noConversion"/>
  </si>
  <si>
    <t>北京绿地中心</t>
    <phoneticPr fontId="3" type="noConversion"/>
  </si>
  <si>
    <t>融科望京中心</t>
    <phoneticPr fontId="3" type="noConversion"/>
  </si>
  <si>
    <t>正常</t>
    <phoneticPr fontId="32" type="noConversion"/>
  </si>
  <si>
    <t>正常</t>
    <phoneticPr fontId="32" type="noConversion"/>
  </si>
  <si>
    <t>办公</t>
    <phoneticPr fontId="32" type="noConversion"/>
  </si>
  <si>
    <t>30-40（含）</t>
  </si>
  <si>
    <t>较好</t>
    <phoneticPr fontId="32" type="noConversion"/>
  </si>
  <si>
    <t>七通</t>
    <phoneticPr fontId="32" type="noConversion"/>
  </si>
  <si>
    <t>七通</t>
    <phoneticPr fontId="32" type="noConversion"/>
  </si>
  <si>
    <t>较好</t>
    <phoneticPr fontId="32" type="noConversion"/>
  </si>
  <si>
    <t>中区</t>
    <phoneticPr fontId="32" type="noConversion"/>
  </si>
  <si>
    <t>钢混</t>
    <phoneticPr fontId="32" type="noConversion"/>
  </si>
  <si>
    <t>钢混</t>
    <phoneticPr fontId="32" type="noConversion"/>
  </si>
  <si>
    <t>专业</t>
    <phoneticPr fontId="32" type="noConversion"/>
  </si>
  <si>
    <t>六通</t>
    <phoneticPr fontId="32" type="noConversion"/>
  </si>
  <si>
    <t>六通</t>
    <phoneticPr fontId="32" type="noConversion"/>
  </si>
  <si>
    <t>六通</t>
    <phoneticPr fontId="32" type="noConversion"/>
  </si>
  <si>
    <t>300-500</t>
    <phoneticPr fontId="32" type="noConversion"/>
  </si>
  <si>
    <t>300-500</t>
    <phoneticPr fontId="32" type="noConversion"/>
  </si>
  <si>
    <t>2000-3000</t>
    <phoneticPr fontId="32" type="noConversion"/>
  </si>
  <si>
    <t>0-300</t>
    <phoneticPr fontId="32" type="noConversion"/>
  </si>
  <si>
    <t>方恒时代</t>
    <phoneticPr fontId="3" type="noConversion"/>
  </si>
  <si>
    <t>比较法-办公 (2)</t>
  </si>
  <si>
    <t>比较法-办公 (2)</t>
    <phoneticPr fontId="16" type="noConversion"/>
  </si>
  <si>
    <t>低区（1-7）</t>
  </si>
  <si>
    <r>
      <t>高区（</t>
    </r>
    <r>
      <rPr>
        <b/>
        <sz val="10"/>
        <color indexed="10"/>
        <rFont val="Arial"/>
        <family val="2"/>
      </rPr>
      <t>16-22</t>
    </r>
    <r>
      <rPr>
        <b/>
        <sz val="10"/>
        <color indexed="10"/>
        <rFont val="宋体"/>
        <family val="3"/>
        <charset val="134"/>
      </rPr>
      <t>）</t>
    </r>
  </si>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</sst>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color theme="1"/>
      <name val="华文楷体"/>
      <family val="3"/>
      <charset val="134"/>
    </font>
    <font>
      <sz val="9"/>
      <name val="宋体"/>
      <family val="2"/>
      <charset val="134"/>
      <scheme val="minor"/>
    </font>
    <font>
      <sz val="11"/>
      <color theme="1"/>
      <name val="华文楷体"/>
      <family val="3"/>
      <charset val="134"/>
    </font>
    <font>
      <b/>
      <sz val="9"/>
      <color theme="1"/>
      <name val="华文楷体"/>
      <family val="3"/>
      <charset val="134"/>
    </font>
    <font>
      <sz val="10"/>
      <color theme="1"/>
      <name val="华文楷体"/>
      <family val="3"/>
      <charset val="134"/>
    </font>
    <font>
      <b/>
      <sz val="10"/>
      <color theme="1"/>
      <name val="华文楷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99" fillId="0" borderId="0" applyFont="0" applyFill="0" applyBorder="0" applyAlignment="0" applyProtection="0">
      <alignment vertical="center"/>
    </xf>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6" fillId="7" borderId="0" xfId="10" applyNumberFormat="1" applyFont="1" applyFill="1" applyAlignment="1">
      <alignment vertical="center" wrapText="1"/>
    </xf>
    <xf numFmtId="0" fontId="257" fillId="7" borderId="0" xfId="10" applyNumberFormat="1" applyFont="1" applyFill="1" applyAlignment="1">
      <alignment vertical="center" wrapText="1"/>
    </xf>
    <xf numFmtId="0" fontId="257" fillId="18" borderId="161" xfId="17"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0" fontId="258" fillId="0" borderId="161" xfId="17" applyNumberFormat="1" applyFont="1" applyFill="1" applyBorder="1" applyAlignment="1">
      <alignment vertical="center" wrapText="1"/>
    </xf>
    <xf numFmtId="0" fontId="258" fillId="0" borderId="161" xfId="17" applyNumberFormat="1" applyFont="1" applyFill="1" applyBorder="1" applyAlignment="1">
      <alignment horizontal="right" vertical="center" wrapText="1"/>
    </xf>
    <xf numFmtId="0" fontId="258" fillId="0" borderId="163"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0" fontId="258" fillId="9" borderId="160" xfId="10" applyNumberFormat="1" applyFont="1" applyFill="1" applyBorder="1" applyAlignment="1">
      <alignment horizontal="center" vertical="center" wrapText="1"/>
    </xf>
    <xf numFmtId="0" fontId="258" fillId="19" borderId="160"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167" xfId="10" applyNumberFormat="1" applyFont="1" applyFill="1" applyBorder="1" applyAlignment="1">
      <alignment vertical="center" wrapText="1"/>
    </xf>
    <xf numFmtId="0" fontId="259" fillId="0" borderId="167" xfId="17" applyNumberFormat="1" applyFont="1" applyFill="1" applyBorder="1" applyAlignment="1">
      <alignment horizontal="right" vertical="center" wrapText="1"/>
    </xf>
    <xf numFmtId="0" fontId="259" fillId="0" borderId="167" xfId="10" applyNumberFormat="1" applyFont="1" applyFill="1" applyBorder="1" applyAlignment="1">
      <alignment horizontal="center" vertical="center" wrapText="1"/>
    </xf>
    <xf numFmtId="0" fontId="259" fillId="0" borderId="168" xfId="10" applyNumberFormat="1" applyFont="1" applyFill="1" applyBorder="1" applyAlignment="1">
      <alignment horizontal="center" vertical="center" wrapText="1"/>
    </xf>
    <xf numFmtId="0" fontId="258" fillId="20"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0" fontId="258" fillId="0" borderId="157" xfId="17" applyNumberFormat="1" applyFont="1" applyFill="1" applyBorder="1" applyAlignment="1">
      <alignment vertical="center" wrapText="1"/>
    </xf>
    <xf numFmtId="0" fontId="258" fillId="7" borderId="157" xfId="17" applyNumberFormat="1" applyFont="1" applyFill="1" applyBorder="1" applyAlignment="1">
      <alignment horizontal="right" vertical="center" wrapText="1"/>
    </xf>
    <xf numFmtId="0" fontId="258" fillId="7" borderId="159" xfId="10" applyNumberFormat="1" applyFont="1" applyFill="1" applyBorder="1" applyAlignment="1">
      <alignment horizontal="center" vertical="center" wrapText="1"/>
    </xf>
    <xf numFmtId="0" fontId="258" fillId="21"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0" fontId="258" fillId="7" borderId="161" xfId="17" applyNumberFormat="1" applyFont="1" applyFill="1" applyBorder="1" applyAlignment="1">
      <alignment horizontal="right" vertical="center" wrapText="1"/>
    </xf>
    <xf numFmtId="0" fontId="258" fillId="7" borderId="163"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7" borderId="170" xfId="17" applyNumberFormat="1" applyFont="1" applyFill="1" applyBorder="1" applyAlignment="1">
      <alignment vertical="center" wrapText="1"/>
    </xf>
    <xf numFmtId="0" fontId="259" fillId="7" borderId="170" xfId="17" applyNumberFormat="1" applyFont="1" applyFill="1" applyBorder="1" applyAlignment="1">
      <alignment horizontal="right" vertical="center" wrapText="1"/>
    </xf>
    <xf numFmtId="0" fontId="259" fillId="7" borderId="170" xfId="10" applyNumberFormat="1" applyFont="1" applyFill="1" applyBorder="1" applyAlignment="1">
      <alignment horizontal="center" vertical="center" wrapText="1"/>
    </xf>
    <xf numFmtId="0" fontId="259" fillId="7" borderId="171" xfId="10" applyNumberFormat="1" applyFont="1" applyFill="1" applyBorder="1" applyAlignment="1">
      <alignment horizontal="center" vertical="center" wrapText="1"/>
    </xf>
    <xf numFmtId="0" fontId="259" fillId="0" borderId="170" xfId="10" applyNumberFormat="1" applyFont="1" applyFill="1" applyBorder="1" applyAlignment="1">
      <alignment vertical="center" wrapText="1"/>
    </xf>
    <xf numFmtId="0" fontId="259" fillId="0" borderId="170" xfId="17" applyNumberFormat="1" applyFont="1" applyFill="1" applyBorder="1" applyAlignment="1">
      <alignment vertical="center" wrapText="1"/>
    </xf>
    <xf numFmtId="0" fontId="259" fillId="0" borderId="170" xfId="10" applyNumberFormat="1" applyFont="1" applyFill="1" applyBorder="1" applyAlignment="1">
      <alignment horizontal="center" vertical="center" wrapText="1"/>
    </xf>
    <xf numFmtId="0" fontId="259" fillId="0" borderId="171" xfId="10" applyNumberFormat="1" applyFont="1" applyFill="1" applyBorder="1" applyAlignment="1">
      <alignment horizontal="center" vertical="center" wrapText="1"/>
    </xf>
    <xf numFmtId="0" fontId="258" fillId="0" borderId="0" xfId="10" applyNumberFormat="1" applyFont="1" applyFill="1" applyAlignment="1">
      <alignment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5" borderId="160" xfId="10" applyNumberFormat="1" applyFont="1" applyFill="1" applyBorder="1" applyAlignment="1">
      <alignment horizontal="left" vertical="center" wrapText="1"/>
    </xf>
    <xf numFmtId="0" fontId="258" fillId="18" borderId="0" xfId="10" applyNumberFormat="1" applyFont="1" applyFill="1" applyAlignment="1">
      <alignment vertical="center" wrapText="1"/>
    </xf>
    <xf numFmtId="0" fontId="258" fillId="9" borderId="0" xfId="10" applyNumberFormat="1" applyFont="1" applyFill="1" applyAlignment="1">
      <alignment vertical="center" wrapText="1"/>
    </xf>
    <xf numFmtId="0" fontId="258" fillId="19" borderId="0" xfId="10" applyNumberFormat="1" applyFont="1" applyFill="1" applyAlignment="1">
      <alignment vertical="center" wrapText="1"/>
    </xf>
    <xf numFmtId="0" fontId="258" fillId="20" borderId="0" xfId="10" applyNumberFormat="1" applyFont="1" applyFill="1" applyAlignment="1">
      <alignment vertical="center" wrapText="1"/>
    </xf>
    <xf numFmtId="0" fontId="258" fillId="21" borderId="0" xfId="10" applyNumberFormat="1" applyFont="1" applyFill="1" applyAlignment="1">
      <alignment vertical="center" wrapText="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64" xfId="10" applyNumberFormat="1" applyFont="1" applyFill="1" applyBorder="1" applyAlignment="1">
      <alignment horizontal="center" vertical="center" wrapText="1"/>
    </xf>
    <xf numFmtId="0" fontId="258" fillId="0" borderId="165" xfId="10" applyNumberFormat="1" applyFont="1" applyFill="1" applyBorder="1" applyAlignment="1">
      <alignment horizontal="center" vertical="center" wrapText="1"/>
    </xf>
    <xf numFmtId="0" fontId="258" fillId="0" borderId="166" xfId="10" applyNumberFormat="1" applyFont="1" applyFill="1" applyBorder="1" applyAlignment="1">
      <alignment horizontal="center" vertical="center" wrapText="1"/>
    </xf>
    <xf numFmtId="0" fontId="259" fillId="0" borderId="18"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8" fillId="0" borderId="169" xfId="10" applyNumberFormat="1" applyFont="1" applyFill="1" applyBorder="1" applyAlignment="1">
      <alignment horizontal="center" vertical="center" wrapText="1"/>
    </xf>
    <xf numFmtId="0" fontId="259" fillId="0" borderId="42"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0" borderId="63" xfId="10" applyNumberFormat="1" applyFont="1" applyFill="1" applyBorder="1" applyAlignment="1">
      <alignment horizontal="center" vertical="center" wrapText="1"/>
    </xf>
    <xf numFmtId="0" fontId="259" fillId="0" borderId="64" xfId="10" applyNumberFormat="1" applyFont="1" applyFill="1" applyBorder="1" applyAlignment="1">
      <alignment horizontal="center" vertical="center" wrapText="1"/>
    </xf>
    <xf numFmtId="0" fontId="254"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0" fontId="257" fillId="18" borderId="19" xfId="10" applyNumberFormat="1" applyFont="1" applyFill="1" applyBorder="1" applyAlignment="1">
      <alignment horizontal="center" vertical="center" wrapText="1"/>
    </xf>
    <xf numFmtId="0" fontId="257" fillId="16" borderId="157" xfId="10" applyNumberFormat="1" applyFont="1" applyFill="1" applyBorder="1" applyAlignment="1">
      <alignment horizontal="center" vertical="center" wrapText="1"/>
    </xf>
    <xf numFmtId="0" fontId="257" fillId="16" borderId="161" xfId="10" applyNumberFormat="1" applyFont="1" applyFill="1" applyBorder="1" applyAlignment="1">
      <alignment horizontal="center" vertical="center" wrapText="1"/>
    </xf>
    <xf numFmtId="0" fontId="257" fillId="5" borderId="159" xfId="10" applyNumberFormat="1" applyFont="1" applyFill="1" applyBorder="1" applyAlignment="1">
      <alignment horizontal="center" vertical="center" wrapText="1"/>
    </xf>
    <xf numFmtId="0" fontId="257" fillId="5" borderId="163" xfId="10" applyNumberFormat="1" applyFont="1" applyFill="1"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408496</xdr:colOff>
      <xdr:row>25</xdr:row>
      <xdr:rowOff>142322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38096" cy="4428572"/>
        </a:xfrm>
        <a:prstGeom prst="rect">
          <a:avLst/>
        </a:prstGeom>
      </xdr:spPr>
    </xdr:pic>
    <xdr:clientData/>
  </xdr:twoCellAnchor>
  <xdr:twoCellAnchor editAs="oneCell">
    <xdr:from>
      <xdr:col>0</xdr:col>
      <xdr:colOff>0</xdr:colOff>
      <xdr:row>51</xdr:row>
      <xdr:rowOff>38100</xdr:rowOff>
    </xdr:from>
    <xdr:to>
      <xdr:col>16</xdr:col>
      <xdr:colOff>236725</xdr:colOff>
      <xdr:row>83</xdr:row>
      <xdr:rowOff>151700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782050"/>
          <a:ext cx="11209525" cy="5600000"/>
        </a:xfrm>
        <a:prstGeom prst="rect">
          <a:avLst/>
        </a:prstGeom>
      </xdr:spPr>
    </xdr:pic>
    <xdr:clientData/>
  </xdr:twoCellAnchor>
  <xdr:twoCellAnchor editAs="oneCell">
    <xdr:from>
      <xdr:col>0</xdr:col>
      <xdr:colOff>0</xdr:colOff>
      <xdr:row>26</xdr:row>
      <xdr:rowOff>0</xdr:rowOff>
    </xdr:from>
    <xdr:to>
      <xdr:col>12</xdr:col>
      <xdr:colOff>160877</xdr:colOff>
      <xdr:row>52</xdr:row>
      <xdr:rowOff>161348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457700"/>
          <a:ext cx="8390477" cy="4619048"/>
        </a:xfrm>
        <a:prstGeom prst="rect">
          <a:avLst/>
        </a:prstGeom>
      </xdr:spPr>
    </xdr:pic>
    <xdr:clientData/>
  </xdr:twoCellAnchor>
  <xdr:twoCellAnchor editAs="oneCell">
    <xdr:from>
      <xdr:col>0</xdr:col>
      <xdr:colOff>0</xdr:colOff>
      <xdr:row>92</xdr:row>
      <xdr:rowOff>66675</xdr:rowOff>
    </xdr:from>
    <xdr:to>
      <xdr:col>12</xdr:col>
      <xdr:colOff>56115</xdr:colOff>
      <xdr:row>118</xdr:row>
      <xdr:rowOff>37547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840075"/>
          <a:ext cx="8285715" cy="4428572"/>
        </a:xfrm>
        <a:prstGeom prst="rect">
          <a:avLst/>
        </a:prstGeom>
      </xdr:spPr>
    </xdr:pic>
    <xdr:clientData/>
  </xdr:twoCellAnchor>
  <xdr:twoCellAnchor editAs="oneCell">
    <xdr:from>
      <xdr:col>0</xdr:col>
      <xdr:colOff>161925</xdr:colOff>
      <xdr:row>145</xdr:row>
      <xdr:rowOff>123825</xdr:rowOff>
    </xdr:from>
    <xdr:to>
      <xdr:col>12</xdr:col>
      <xdr:colOff>560897</xdr:colOff>
      <xdr:row>172</xdr:row>
      <xdr:rowOff>85152</xdr:rowOff>
    </xdr:to>
    <xdr:pic>
      <xdr:nvPicPr>
        <xdr:cNvPr id="7" name="图片 6"/>
        <xdr:cNvPicPr>
          <a:picLocks noChangeAspect="1"/>
        </xdr:cNvPicPr>
      </xdr:nvPicPr>
      <xdr:blipFill>
        <a:blip xmlns:r="http://schemas.openxmlformats.org/officeDocument/2006/relationships" r:embed="rId5"/>
        <a:stretch>
          <a:fillRect/>
        </a:stretch>
      </xdr:blipFill>
      <xdr:spPr>
        <a:xfrm>
          <a:off x="161925" y="24984075"/>
          <a:ext cx="8628572" cy="4590477"/>
        </a:xfrm>
        <a:prstGeom prst="rect">
          <a:avLst/>
        </a:prstGeom>
      </xdr:spPr>
    </xdr:pic>
    <xdr:clientData/>
  </xdr:twoCellAnchor>
  <xdr:twoCellAnchor editAs="oneCell">
    <xdr:from>
      <xdr:col>0</xdr:col>
      <xdr:colOff>38100</xdr:colOff>
      <xdr:row>118</xdr:row>
      <xdr:rowOff>0</xdr:rowOff>
    </xdr:from>
    <xdr:to>
      <xdr:col>12</xdr:col>
      <xdr:colOff>256120</xdr:colOff>
      <xdr:row>145</xdr:row>
      <xdr:rowOff>170850</xdr:rowOff>
    </xdr:to>
    <xdr:pic>
      <xdr:nvPicPr>
        <xdr:cNvPr id="8" name="图片 7"/>
        <xdr:cNvPicPr>
          <a:picLocks noChangeAspect="1"/>
        </xdr:cNvPicPr>
      </xdr:nvPicPr>
      <xdr:blipFill>
        <a:blip xmlns:r="http://schemas.openxmlformats.org/officeDocument/2006/relationships" r:embed="rId6"/>
        <a:stretch>
          <a:fillRect/>
        </a:stretch>
      </xdr:blipFill>
      <xdr:spPr>
        <a:xfrm>
          <a:off x="38100" y="20231100"/>
          <a:ext cx="8447620" cy="4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估价对象为北京市房地产，为所有。根据《国有土地使用证》[]，估价对象（分摊）出让国有建设用地使用权面积为56.93平方米，建筑面积为317.81平方米。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估价对象为北京市房地产,属开发建设的，该项目尚在开发建设中。根据《国有土地使用证》[]，估价对象（分摊）出让国有建设用地使用权面积为56.93平方米，规划建筑面积为317.81平方米。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2019年8月30日</v>
      </c>
    </row>
    <row r="13" spans="1:2" s="1593" customFormat="1">
      <c r="A13" s="1591" t="s">
        <v>1223</v>
      </c>
      <c r="B13" s="1592"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1868</v>
      </c>
    </row>
    <row r="21" spans="1:2" s="1593" customFormat="1">
      <c r="A21" s="1591" t="s">
        <v>1231</v>
      </c>
      <c r="B21" s="1592">
        <f ca="1">'预评函-2'!D7</f>
        <v>58777</v>
      </c>
    </row>
    <row r="22" spans="1:2" s="1593" customFormat="1">
      <c r="A22" s="1591" t="s">
        <v>1232</v>
      </c>
      <c r="B22" s="1592" t="str">
        <f ca="1">'预评函-2'!D6</f>
        <v>壹仟捌佰陆拾捌万元整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1868</v>
      </c>
    </row>
    <row r="31" spans="1:2" s="1593" customFormat="1">
      <c r="A31" s="1591" t="s">
        <v>1270</v>
      </c>
      <c r="B31" s="1592">
        <f ca="1">'预评函-2'!D15</f>
        <v>58777</v>
      </c>
    </row>
    <row r="32" spans="1:2" s="1593" customFormat="1">
      <c r="A32" s="1591" t="s">
        <v>1237</v>
      </c>
      <c r="B32" s="1592" t="str">
        <f ca="1">'预评函-2'!D14</f>
        <v>壹仟捌佰陆拾捌万元整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317.81</v>
      </c>
    </row>
    <row r="44" spans="1:2" s="1593" customFormat="1">
      <c r="A44" s="1591" t="s">
        <v>1269</v>
      </c>
      <c r="B44" s="1592" t="str">
        <f>'预评函-3'!C2</f>
        <v>(分摊)土地面积</v>
      </c>
    </row>
    <row r="45" spans="1:2" s="1593" customFormat="1">
      <c r="A45" s="1591" t="s">
        <v>1241</v>
      </c>
      <c r="B45" s="1592">
        <f>'预评函-3'!C4</f>
        <v>56.93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3151</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021" t="s">
        <v>861</v>
      </c>
      <c r="C54" s="2018" t="s">
        <v>1277</v>
      </c>
    </row>
    <row r="55" spans="1:4">
      <c r="A55" s="3082"/>
      <c r="B55" s="2021" t="s">
        <v>862</v>
      </c>
      <c r="C55" s="2018" t="s">
        <v>1278</v>
      </c>
    </row>
    <row r="56" spans="1:4">
      <c r="A56" s="3082"/>
      <c r="B56" s="2021" t="s">
        <v>863</v>
      </c>
      <c r="C56" s="2018" t="s">
        <v>1282</v>
      </c>
    </row>
    <row r="57" spans="1:4">
      <c r="A57" s="308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09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43707</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3056</v>
      </c>
      <c r="C8" s="2055"/>
      <c r="D8" s="3094" t="s">
        <v>1780</v>
      </c>
      <c r="E8" s="2056" t="s">
        <v>3057</v>
      </c>
      <c r="F8" s="2057"/>
      <c r="G8" s="2025"/>
      <c r="H8" s="2025"/>
      <c r="I8" s="2025"/>
      <c r="J8" s="2041"/>
      <c r="K8" s="2042"/>
      <c r="L8" s="2027"/>
      <c r="M8" s="2027"/>
      <c r="N8" s="2028"/>
      <c r="O8" s="2029"/>
      <c r="P8" s="2028"/>
      <c r="Q8" s="2028"/>
      <c r="R8" s="2028"/>
    </row>
    <row r="9" spans="1:19" ht="18" customHeight="1" thickBot="1">
      <c r="A9" s="2039" t="s">
        <v>1781</v>
      </c>
      <c r="B9" s="2058" t="s">
        <v>3057</v>
      </c>
      <c r="C9" s="2059"/>
      <c r="D9" s="3095"/>
      <c r="E9" s="2058"/>
      <c r="F9" s="2060"/>
      <c r="G9" s="2061"/>
      <c r="H9" s="2061"/>
      <c r="I9" s="2061"/>
      <c r="J9" s="2041"/>
      <c r="K9" s="2053"/>
      <c r="L9" s="2027"/>
      <c r="M9" s="2027"/>
      <c r="N9" s="2028"/>
      <c r="O9" s="2029"/>
      <c r="P9" s="2028"/>
      <c r="Q9" s="2028"/>
      <c r="R9" s="2028"/>
    </row>
    <row r="10" spans="1:19" ht="18" customHeight="1" thickTop="1">
      <c r="A10" s="2062" t="s">
        <v>1782</v>
      </c>
      <c r="B10" s="2063" t="s">
        <v>3058</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3154</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3059</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v>56490</v>
      </c>
      <c r="G13" s="2079"/>
      <c r="H13" s="2079"/>
      <c r="I13" s="1047"/>
      <c r="J13" s="2041"/>
      <c r="K13" s="2053"/>
      <c r="L13" s="2027"/>
      <c r="M13" s="2027"/>
      <c r="N13" s="2028"/>
      <c r="O13" s="2029"/>
      <c r="P13" s="2028"/>
      <c r="Q13" s="2028"/>
      <c r="R13" s="2028"/>
    </row>
    <row r="14" spans="1:19" ht="18" customHeight="1">
      <c r="A14" s="2076"/>
      <c r="B14" s="2077"/>
      <c r="C14" s="2078" t="s">
        <v>1794</v>
      </c>
      <c r="D14" s="1050"/>
      <c r="E14" s="1050"/>
      <c r="F14" s="1050">
        <v>50</v>
      </c>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f>IF(B12="出让",IF(F13="","",ROUNDDOWN(MIN((F13-$D$3)/365,F14),2)),F14)</f>
        <v>35.020000000000003</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101"/>
      <c r="C16" s="3102"/>
      <c r="D16" s="3103"/>
      <c r="E16" s="2085" t="s">
        <v>1797</v>
      </c>
      <c r="F16" s="3104"/>
      <c r="G16" s="3105"/>
      <c r="H16" s="3105"/>
      <c r="I16" s="3106"/>
      <c r="J16" s="2028"/>
      <c r="K16" s="2082"/>
      <c r="L16" s="2083"/>
      <c r="M16" s="2083"/>
      <c r="N16" s="2084"/>
      <c r="O16" s="2083"/>
      <c r="P16" s="2084"/>
      <c r="Q16" s="2028"/>
      <c r="R16" s="2028"/>
    </row>
    <row r="17" spans="1:22" ht="18" customHeight="1">
      <c r="A17" s="2086" t="s">
        <v>1798</v>
      </c>
      <c r="B17" s="2034" t="s">
        <v>1799</v>
      </c>
      <c r="C17" s="1054">
        <f>'数据-汇总表'!E3</f>
        <v>317.81</v>
      </c>
      <c r="D17" s="2087" t="s">
        <v>1800</v>
      </c>
      <c r="E17" s="3107" t="s">
        <v>1801</v>
      </c>
      <c r="F17" s="3108"/>
      <c r="G17" s="3108"/>
      <c r="H17" s="3108"/>
      <c r="I17" s="3109"/>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56.93</v>
      </c>
      <c r="D18" s="2090" t="s">
        <v>1800</v>
      </c>
      <c r="E18" s="3110" t="s">
        <v>1804</v>
      </c>
      <c r="F18" s="3111"/>
      <c r="G18" s="3111"/>
      <c r="H18" s="3111"/>
      <c r="I18" s="3112"/>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97" t="s">
        <v>1809</v>
      </c>
      <c r="C20" s="3098"/>
      <c r="D20" s="3099" t="s">
        <v>1810</v>
      </c>
      <c r="E20" s="3100"/>
      <c r="F20" s="2097" t="s">
        <v>1811</v>
      </c>
      <c r="G20" s="2041"/>
      <c r="H20" s="2041"/>
      <c r="I20" s="2041"/>
      <c r="J20" s="2041"/>
      <c r="K20" s="309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84"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84"/>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84"/>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85"/>
      <c r="B30" s="2034" t="s">
        <v>1828</v>
      </c>
      <c r="C30" s="3086"/>
      <c r="D30" s="308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8"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t="s">
        <v>3060</v>
      </c>
      <c r="C34" s="2133" t="s">
        <v>3061</v>
      </c>
      <c r="D34" s="2133" t="s">
        <v>3062</v>
      </c>
      <c r="E34" s="2133" t="s">
        <v>3063</v>
      </c>
      <c r="F34" s="2133" t="s">
        <v>3064</v>
      </c>
      <c r="G34" s="2133" t="s">
        <v>3065</v>
      </c>
      <c r="H34" s="2133" t="s">
        <v>3066</v>
      </c>
      <c r="I34" s="2041"/>
      <c r="J34" s="2041"/>
      <c r="K34" s="1795">
        <f>COUNTIF(B34:H34,"——")</f>
        <v>0</v>
      </c>
      <c r="L34" s="2074" t="s">
        <v>1831</v>
      </c>
      <c r="M34" s="2074" t="s">
        <v>1832</v>
      </c>
      <c r="N34" s="2074" t="s">
        <v>1833</v>
      </c>
      <c r="O34" s="2074" t="s">
        <v>1834</v>
      </c>
      <c r="P34" s="2074" t="s">
        <v>1835</v>
      </c>
      <c r="Q34" s="2074" t="s">
        <v>1836</v>
      </c>
      <c r="R34" s="2074" t="s">
        <v>1837</v>
      </c>
      <c r="S34" s="3083" t="s">
        <v>1838</v>
      </c>
      <c r="T34" s="2134" t="str">
        <f>NUMBERSTRING(7-K34,1)&amp;"通"</f>
        <v>七通</v>
      </c>
      <c r="U34" s="2028"/>
      <c r="V34" s="2028"/>
    </row>
    <row r="35" spans="1:22" ht="18" customHeight="1">
      <c r="A35" s="2135"/>
      <c r="B35" s="3090" t="s">
        <v>1839</v>
      </c>
      <c r="C35" s="3090"/>
      <c r="D35" s="3090"/>
      <c r="E35" s="3090"/>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3"/>
      <c r="T35" s="48" t="str">
        <f>IF(T34="一通",L35,IF(T34="二通",M35,IF(T34="三通",N35,IF(T34="四通",O35,IF(T34="五通",P35,IF(T34="六通",Q35,R35))))))</f>
        <v>通路、通电、通讯、通上水、通下水、通热、燃气</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56.93</v>
      </c>
      <c r="B3" s="14">
        <f>IF(C3="否",G5-AT5,G5)</f>
        <v>317.81</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3068</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3069</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12202</v>
      </c>
      <c r="D13" s="2978" t="s">
        <v>3067</v>
      </c>
      <c r="E13" s="16">
        <f>IF($C$3="是",ROUND($A$3*G13/$B$3,2),ROUND($A$3*(G13-AT13)/$B$3,2))</f>
        <v>56.93</v>
      </c>
      <c r="F13" s="32"/>
      <c r="G13" s="33">
        <f>H13+AC13+AT13</f>
        <v>317.81</v>
      </c>
      <c r="H13" s="20">
        <f>SUMIF(I$12:AB$12,"总值",I13:AB13)</f>
        <v>317.81</v>
      </c>
      <c r="I13" s="2214">
        <v>317.81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12202</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124" t="s">
        <v>1935</v>
      </c>
      <c r="B2" s="3124"/>
      <c r="C2" s="3124"/>
      <c r="D2" s="967" t="s">
        <v>1911</v>
      </c>
      <c r="E2" s="2227" t="s">
        <v>1912</v>
      </c>
      <c r="F2" s="1392"/>
      <c r="G2" s="2228"/>
      <c r="H2" s="2229"/>
      <c r="I2" s="2230" t="s">
        <v>1936</v>
      </c>
      <c r="J2" s="1392"/>
      <c r="K2" s="1392"/>
      <c r="L2" s="1392"/>
      <c r="M2" s="1392"/>
      <c r="N2" s="1427"/>
      <c r="O2" s="1392"/>
      <c r="P2" s="1392"/>
    </row>
    <row r="3" spans="1:16" ht="15.75" thickBot="1">
      <c r="A3" s="3125" t="s">
        <v>1909</v>
      </c>
      <c r="B3" s="3125"/>
      <c r="C3" s="3125"/>
      <c r="D3" s="46">
        <f>'数据-基础表'!AY6</f>
        <v>56.93</v>
      </c>
      <c r="E3" s="46">
        <f>'数据-基础表'!AZ5</f>
        <v>317.81</v>
      </c>
      <c r="F3" s="1392"/>
      <c r="G3" s="1399"/>
      <c r="H3" s="1247" t="s">
        <v>1910</v>
      </c>
      <c r="I3" s="55">
        <f>ROUND('数据-基础表'!B3/'数据-基础表'!A3,2)</f>
        <v>5.58</v>
      </c>
      <c r="J3" s="1392"/>
      <c r="K3" s="1392"/>
      <c r="L3" s="1392"/>
      <c r="M3" s="1392"/>
      <c r="N3" s="1427"/>
      <c r="O3" s="1392"/>
      <c r="P3" s="1392"/>
    </row>
    <row r="4" spans="1:16" ht="15">
      <c r="A4" s="3126"/>
      <c r="B4" s="3127"/>
      <c r="C4" s="3128"/>
      <c r="D4" s="2231" t="s">
        <v>1911</v>
      </c>
      <c r="E4" s="2232" t="s">
        <v>1912</v>
      </c>
      <c r="F4" s="1392"/>
      <c r="G4" s="2233" t="s">
        <v>1937</v>
      </c>
      <c r="H4" s="1247" t="s">
        <v>1917</v>
      </c>
      <c r="I4" s="55">
        <f>ROUND(SUMIF('数据-基础表'!I9:AS9,"地上",'数据-基础表'!I5:AS5)/'数据-基础表'!A3,2)</f>
        <v>5.58</v>
      </c>
      <c r="J4" s="1392"/>
      <c r="K4" s="1392"/>
      <c r="L4" s="1392"/>
      <c r="M4" s="1392"/>
      <c r="N4" s="1427"/>
      <c r="O4" s="1392"/>
      <c r="P4" s="1392"/>
    </row>
    <row r="5" spans="1:16">
      <c r="A5" s="47" t="s">
        <v>1913</v>
      </c>
      <c r="B5" s="3129" t="s">
        <v>1914</v>
      </c>
      <c r="C5" s="3129"/>
      <c r="D5" s="48">
        <f>ROUND($D$3*E5/$E$3,2)</f>
        <v>0</v>
      </c>
      <c r="E5" s="49">
        <f>SUMIF('数据-基础表'!$11:$11,"住宅",'数据-基础表'!$5:$5)</f>
        <v>0</v>
      </c>
      <c r="F5" s="1392"/>
      <c r="G5" s="1399"/>
      <c r="H5" s="1247" t="s">
        <v>1910</v>
      </c>
      <c r="I5" s="55">
        <f>ROUND(E31/D31,2)</f>
        <v>5.58</v>
      </c>
      <c r="J5" s="1392"/>
      <c r="K5" s="1392"/>
      <c r="L5" s="1392"/>
      <c r="M5" s="1392"/>
      <c r="N5" s="1392"/>
      <c r="O5" s="1392"/>
      <c r="P5" s="1392"/>
    </row>
    <row r="6" spans="1:16" ht="15" thickBot="1">
      <c r="A6" s="2234"/>
      <c r="B6" s="3129" t="s">
        <v>1915</v>
      </c>
      <c r="C6" s="3129"/>
      <c r="D6" s="48">
        <f>ROUND($D$3*E6/$E$3,2)</f>
        <v>56.93</v>
      </c>
      <c r="E6" s="49">
        <f>E3-E5</f>
        <v>317.81</v>
      </c>
      <c r="F6" s="1392"/>
      <c r="G6" s="2235" t="s">
        <v>1916</v>
      </c>
      <c r="H6" s="1399" t="s">
        <v>1917</v>
      </c>
      <c r="I6" s="939">
        <f>ROUND(F31/D31,2)</f>
        <v>5.58</v>
      </c>
      <c r="J6" s="1392"/>
      <c r="K6" s="1392"/>
      <c r="L6" s="1392"/>
      <c r="M6" s="1392"/>
      <c r="N6" s="1392"/>
      <c r="O6" s="1392"/>
      <c r="P6" s="1392"/>
    </row>
    <row r="7" spans="1:16" ht="15">
      <c r="A7" s="3121"/>
      <c r="B7" s="3122"/>
      <c r="C7" s="3123"/>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56.93</v>
      </c>
      <c r="E8" s="51">
        <f>SUMIF('数据-基础表'!BB10:BK10,"地上",'数据-基础表'!BB5:BK5)</f>
        <v>317.81</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56.93</v>
      </c>
      <c r="E16" s="53">
        <f>SUM(E8:E15)</f>
        <v>317.81</v>
      </c>
      <c r="F16" s="1392"/>
      <c r="G16" s="2237"/>
      <c r="H16" s="2240" t="s">
        <v>1939</v>
      </c>
      <c r="I16" s="2241"/>
      <c r="J16" s="1392"/>
      <c r="K16" s="3118" t="s">
        <v>1939</v>
      </c>
      <c r="L16" s="3119"/>
      <c r="M16" s="3119"/>
      <c r="N16" s="3119"/>
      <c r="O16" s="3119"/>
      <c r="P16" s="3120"/>
    </row>
    <row r="17" spans="1:19" ht="15">
      <c r="A17" s="2242" t="s">
        <v>1940</v>
      </c>
      <c r="B17" s="2243" t="s">
        <v>1941</v>
      </c>
      <c r="C17" s="2244" t="s">
        <v>1942</v>
      </c>
      <c r="D17" s="2245" t="s">
        <v>1930</v>
      </c>
      <c r="E17" s="2246" t="s">
        <v>1931</v>
      </c>
      <c r="F17" s="2247"/>
      <c r="G17" s="2248"/>
      <c r="H17" s="2249" t="s">
        <v>1943</v>
      </c>
      <c r="I17" s="2250" t="s">
        <v>1928</v>
      </c>
      <c r="J17" s="1392"/>
      <c r="K17" s="3115" t="s">
        <v>1944</v>
      </c>
      <c r="L17" s="3116"/>
      <c r="M17" s="3117"/>
      <c r="N17" s="3115" t="s">
        <v>1945</v>
      </c>
      <c r="O17" s="3116"/>
      <c r="P17" s="3117"/>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79" t="s">
        <v>3070</v>
      </c>
      <c r="D19" s="48">
        <f>ROUND($D$3*E19/$E$3,2)</f>
        <v>56.93</v>
      </c>
      <c r="E19" s="56">
        <f t="shared" ref="E19:E26" si="1">SUM(F19:G19)</f>
        <v>317.81</v>
      </c>
      <c r="F19" s="57">
        <f>'数据-基础表'!I13</f>
        <v>317.81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56.93</v>
      </c>
      <c r="S19" s="1248">
        <f t="shared" si="5"/>
        <v>317.81</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56.93</v>
      </c>
      <c r="E31" s="729">
        <f>E27+E30</f>
        <v>317.81</v>
      </c>
      <c r="F31" s="730">
        <f>F27+F30</f>
        <v>317.81</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43707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4" t="s">
        <v>2006</v>
      </c>
      <c r="AP5" s="1249"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56490</v>
      </c>
      <c r="F6" s="72">
        <f>SUMIF(项目基本情况!D$12:I$12,C6,项目基本情况!D$15:I$15)</f>
        <v>35.020000000000003</v>
      </c>
      <c r="G6" s="73">
        <f>IF(ISERROR(ROUND(POWER(1+H6,D6-F6)*(POWER(1+H6,F6)-1)/(POWER(1+H6,D6)-1),3)),0,ROUND(POWER(1+H6,D6-F6)*(POWER(1+H6,F6)-1)/(POWER(1+H6,D6)-1),3))</f>
        <v>0.89700000000000002</v>
      </c>
      <c r="H6" s="802">
        <v>0.05</v>
      </c>
      <c r="I6" s="802">
        <v>5.5E-2</v>
      </c>
      <c r="J6" s="74">
        <v>0.08</v>
      </c>
      <c r="K6" s="1251">
        <f>SUMIF('数据-汇总表'!C$19:C$33,A6,'数据-汇总表'!E$19:E$33)</f>
        <v>317.81</v>
      </c>
      <c r="L6" s="803">
        <v>3000</v>
      </c>
      <c r="M6" s="75">
        <f t="shared" ref="M6:M14" si="0">ROUND(K6*L6/10000,0)</f>
        <v>95</v>
      </c>
      <c r="N6" s="801">
        <f>ROUND(1-(2019-2014)/60,2)</f>
        <v>0.92</v>
      </c>
      <c r="O6" s="75">
        <f>IF($N$5="成新度","——",ROUND(M6*N6,0))</f>
        <v>87</v>
      </c>
      <c r="P6" s="76">
        <f>IF($N$5="成新度","——",M6-O6)</f>
        <v>8</v>
      </c>
      <c r="Q6" s="804">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v>9</v>
      </c>
      <c r="V6" s="79">
        <v>0.03</v>
      </c>
      <c r="W6" s="79">
        <v>0.1</v>
      </c>
      <c r="X6" s="1261"/>
      <c r="Y6" s="80">
        <f>N6</f>
        <v>0.92</v>
      </c>
      <c r="Z6" s="81"/>
      <c r="AA6" s="74"/>
      <c r="AB6" s="74"/>
      <c r="AC6" s="1261"/>
      <c r="AD6" s="82"/>
      <c r="AE6" s="1262">
        <f ca="1">IF(AN6="",0,SUMIF(INDIRECT("'"&amp;AN6&amp;"'"&amp;"!E:E"),$AE$5,INDIRECT("'"&amp;AN6&amp;"'"&amp;"!F:F")))</f>
        <v>35.020000000000003</v>
      </c>
      <c r="AF6" s="1804"/>
      <c r="AG6" s="147">
        <f>IF(AF6="",0,AE6-AF6)</f>
        <v>0</v>
      </c>
      <c r="AH6" s="83"/>
      <c r="AI6" s="85">
        <v>365</v>
      </c>
      <c r="AJ6" s="86"/>
      <c r="AK6" s="87">
        <v>1.4999999999999999E-2</v>
      </c>
      <c r="AL6" s="88">
        <v>1.5E-3</v>
      </c>
      <c r="AM6" s="89">
        <v>0.02</v>
      </c>
      <c r="AN6" s="2309" t="s">
        <v>3071</v>
      </c>
      <c r="AO6" s="55">
        <f ca="1">SUMIF(INDIRECT("'"&amp;AN6&amp;"'"&amp;"!A:A"),"总价",INDIRECT("'"&amp;AN6&amp;"'"&amp;"!B:B"))</f>
        <v>1683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2010</v>
      </c>
      <c r="B14" s="2307" t="s">
        <v>2011</v>
      </c>
      <c r="C14" s="2312"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2014</v>
      </c>
      <c r="B16" s="97"/>
      <c r="C16" s="1005"/>
      <c r="D16" s="2314"/>
      <c r="E16" s="97"/>
      <c r="F16" s="97"/>
      <c r="G16" s="98">
        <f>ROUND(SUMPRODUCT(G6:G13,K6:K13)/SUMPRODUCT((G6:G13&gt;0)*(K6:K13)),3)</f>
        <v>0.89700000000000002</v>
      </c>
      <c r="H16" s="99">
        <f>ROUND(SUMPRODUCT(H6:H13,K6:K13)/SUMPRODUCT((H6:H13&gt;0)*(K6:K13)),3)</f>
        <v>0.05</v>
      </c>
      <c r="I16" s="100"/>
      <c r="J16" s="100"/>
      <c r="K16" s="101">
        <f>SUM(K6:K15)</f>
        <v>317.81</v>
      </c>
      <c r="L16" s="102">
        <f>ROUND(M16*10000/SUM(K6:K14),0)</f>
        <v>2989</v>
      </c>
      <c r="M16" s="102">
        <f>SUM(M6:M14)</f>
        <v>95</v>
      </c>
      <c r="N16" s="103">
        <f>ROUND(SUMPRODUCT(M6:M14,N6:N14)/M16,3)</f>
        <v>0.92</v>
      </c>
      <c r="O16" s="102">
        <f>SUM(O6:O14)</f>
        <v>87</v>
      </c>
      <c r="P16" s="102">
        <f>SUM(P6:P14)</f>
        <v>8</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v>0</v>
      </c>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v>2</v>
      </c>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v>0.03</v>
      </c>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v>0.05</v>
      </c>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v>200</v>
      </c>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v>1.4999999999999999E-2</v>
      </c>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v>0.02</v>
      </c>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v>0.02</v>
      </c>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f ca="1">存贷款利率!G1</f>
        <v>4.7500000000000001E-2</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v>7.0000000000000007E-2</v>
      </c>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v>0.03</v>
      </c>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v>0.02</v>
      </c>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v>0.03</v>
      </c>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v>5.0000000000000001E-4</v>
      </c>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t="s">
        <v>137</v>
      </c>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45" sqref="E45"/>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30" t="s">
        <v>2081</v>
      </c>
      <c r="B1" s="3131"/>
      <c r="C1" s="3131"/>
      <c r="D1" s="3131"/>
      <c r="E1" s="3131"/>
      <c r="F1" s="3131"/>
      <c r="G1" s="313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8865.2300000000032</v>
      </c>
      <c r="C1" s="1742"/>
      <c r="D1" s="1742"/>
      <c r="E1" s="1742"/>
      <c r="F1" s="1742"/>
      <c r="G1" s="1740"/>
    </row>
    <row r="2" spans="1:10" ht="16.5">
      <c r="A2" s="1743" t="s">
        <v>1349</v>
      </c>
      <c r="B2" s="1743">
        <f>SUM(C14:C23)</f>
        <v>1588.1200000000001</v>
      </c>
      <c r="C2" s="1742"/>
      <c r="D2" s="1742"/>
      <c r="E2" s="1742"/>
      <c r="F2" s="1742"/>
      <c r="G2" s="1740"/>
    </row>
    <row r="3" spans="1:10" ht="16.5">
      <c r="A3" s="1743" t="s">
        <v>1358</v>
      </c>
      <c r="B3" s="1744">
        <f>项目基本情况!D3</f>
        <v>43707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50083</v>
      </c>
      <c r="C5" s="1743">
        <f ca="1">ROUND(B5*10000/$B$1,0)</f>
        <v>56494</v>
      </c>
      <c r="D5" s="1743">
        <f ca="1">ROUND(B5*10000/$B$2,0)</f>
        <v>315360</v>
      </c>
      <c r="E5" s="1742"/>
      <c r="F5" s="1740"/>
      <c r="G5" s="1740"/>
    </row>
    <row r="6" spans="1:10" ht="16.5">
      <c r="A6" s="1743" t="s">
        <v>1352</v>
      </c>
      <c r="B6" s="1743">
        <f ca="1">SUM(G14:G23)</f>
        <v>50083</v>
      </c>
      <c r="C6" s="1743">
        <f ca="1">ROUND(B6*10000/$B$1,0)</f>
        <v>56494</v>
      </c>
      <c r="D6" s="1743">
        <f ca="1">ROUND(B6*10000/$B$2,0)</f>
        <v>315360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317.81</v>
      </c>
      <c r="C14" s="1741">
        <f>结果表!C118</f>
        <v>56.93</v>
      </c>
      <c r="D14" s="1741">
        <f ca="1">结果表!H118</f>
        <v>1868</v>
      </c>
      <c r="E14" s="1741">
        <f ca="1">ROUND(D14*10000/B14,0)</f>
        <v>58777</v>
      </c>
      <c r="F14" s="1741">
        <f ca="1">ROUND(D14*10000/C14,0)</f>
        <v>328122</v>
      </c>
      <c r="G14" s="1741">
        <f ca="1">结果表!D122</f>
        <v>1868</v>
      </c>
      <c r="H14" s="1741" t="str">
        <f>结果表!D124</f>
        <v>——</v>
      </c>
      <c r="I14" s="1741" t="str">
        <f>结果表!D126</f>
        <v>——</v>
      </c>
      <c r="J14" s="1740"/>
    </row>
    <row r="15" spans="1:10" ht="16.5">
      <c r="A15" s="1739" t="s">
        <v>1345</v>
      </c>
      <c r="B15" s="1746">
        <f>典型户型修正!B22-典型户型修正!B24</f>
        <v>8547.4200000000037</v>
      </c>
      <c r="C15" s="1746">
        <f>Sheet1!K42-Sheet1!K7</f>
        <v>1531.19</v>
      </c>
      <c r="D15" s="1746">
        <f ca="1">典型户型修正!S22-典型户型修正!S24-1</f>
        <v>48215</v>
      </c>
      <c r="E15" s="1741">
        <f t="shared" ref="E15:E23" ca="1" si="0">ROUND(D15*10000/B15,0)</f>
        <v>56409</v>
      </c>
      <c r="F15" s="1741">
        <f t="shared" ref="F15:F23" ca="1" si="1">ROUND(D15*10000/C15,0)</f>
        <v>314886</v>
      </c>
      <c r="G15" s="1747">
        <f ca="1">D15</f>
        <v>48215</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3097</v>
      </c>
      <c r="H1" s="2422" t="str">
        <f>IF(G1="现房","——","估价对象范围")</f>
        <v>——</v>
      </c>
      <c r="I1" s="2423"/>
    </row>
    <row r="2" spans="1:12" ht="21.75" customHeight="1" thickBot="1">
      <c r="A2" s="3165" t="str">
        <f>项目基本情况!S2</f>
        <v>北京市房地产</v>
      </c>
      <c r="B2" s="3166"/>
      <c r="C2" s="3166"/>
      <c r="D2" s="3166"/>
      <c r="E2" s="3166"/>
      <c r="F2" s="3166"/>
      <c r="G2" s="3166"/>
      <c r="H2" s="3166"/>
      <c r="I2" s="3167"/>
    </row>
    <row r="3" spans="1:12" ht="12.75">
      <c r="A3" s="3169" t="s">
        <v>2120</v>
      </c>
      <c r="B3" s="3170"/>
      <c r="C3" s="3170"/>
      <c r="D3" s="3170"/>
      <c r="E3" s="3170"/>
      <c r="F3" s="3170"/>
      <c r="G3" s="3170"/>
      <c r="H3" s="3170"/>
      <c r="I3" s="3170"/>
    </row>
    <row r="4" spans="1:12" ht="14.25">
      <c r="A4" s="2426" t="s">
        <v>2121</v>
      </c>
      <c r="B4" s="2427" t="s">
        <v>2122</v>
      </c>
      <c r="C4" s="2428" t="s">
        <v>3096</v>
      </c>
      <c r="D4" s="2428" t="s">
        <v>3071</v>
      </c>
      <c r="E4" s="3162" t="s">
        <v>2123</v>
      </c>
      <c r="F4" s="3163"/>
      <c r="G4" s="3163"/>
      <c r="H4" s="3163"/>
      <c r="I4" s="317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2124</v>
      </c>
      <c r="B5" s="3083">
        <v>25</v>
      </c>
      <c r="C5" s="3148"/>
      <c r="D5" s="3168"/>
      <c r="E5" s="140" t="s">
        <v>2125</v>
      </c>
      <c r="F5" s="2430"/>
      <c r="G5" s="2430"/>
      <c r="H5" s="2430"/>
      <c r="I5" s="1831"/>
    </row>
    <row r="6" spans="1:12" ht="12.75">
      <c r="A6" s="3145"/>
      <c r="B6" s="3083"/>
      <c r="C6" s="3149"/>
      <c r="D6" s="3168"/>
      <c r="E6" s="140" t="s">
        <v>2126</v>
      </c>
      <c r="F6" s="2430"/>
      <c r="G6" s="2430"/>
      <c r="H6" s="2430"/>
      <c r="I6" s="1831"/>
    </row>
    <row r="7" spans="1:12" ht="12.75">
      <c r="A7" s="3145"/>
      <c r="B7" s="3083"/>
      <c r="C7" s="3150"/>
      <c r="D7" s="3168"/>
      <c r="E7" s="140" t="s">
        <v>2127</v>
      </c>
      <c r="F7" s="2430"/>
      <c r="G7" s="2430"/>
      <c r="H7" s="2430"/>
      <c r="I7" s="1831"/>
    </row>
    <row r="8" spans="1:12" ht="12.75">
      <c r="A8" s="3145" t="s">
        <v>2128</v>
      </c>
      <c r="B8" s="3083">
        <v>15</v>
      </c>
      <c r="C8" s="3148"/>
      <c r="D8" s="3168"/>
      <c r="E8" s="140" t="s">
        <v>2129</v>
      </c>
      <c r="F8" s="2430"/>
      <c r="G8" s="2430"/>
      <c r="H8" s="2430"/>
      <c r="I8" s="1831"/>
    </row>
    <row r="9" spans="1:12" ht="12.75">
      <c r="A9" s="3145"/>
      <c r="B9" s="3083"/>
      <c r="C9" s="3150"/>
      <c r="D9" s="3168"/>
      <c r="E9" s="140" t="s">
        <v>2130</v>
      </c>
      <c r="F9" s="2430"/>
      <c r="G9" s="2430"/>
      <c r="H9" s="2430"/>
      <c r="I9" s="1831"/>
    </row>
    <row r="10" spans="1:12" ht="12.75">
      <c r="A10" s="3145" t="s">
        <v>2131</v>
      </c>
      <c r="B10" s="3083">
        <v>15</v>
      </c>
      <c r="C10" s="3148"/>
      <c r="D10" s="3168"/>
      <c r="E10" s="140" t="s">
        <v>2132</v>
      </c>
      <c r="F10" s="2430"/>
      <c r="G10" s="2430"/>
      <c r="H10" s="2430"/>
      <c r="I10" s="1831"/>
    </row>
    <row r="11" spans="1:12" ht="12.75">
      <c r="A11" s="3145"/>
      <c r="B11" s="3083"/>
      <c r="C11" s="3150"/>
      <c r="D11" s="3168"/>
      <c r="E11" s="140" t="s">
        <v>2133</v>
      </c>
      <c r="F11" s="2430"/>
      <c r="G11" s="2430"/>
      <c r="H11" s="2430"/>
      <c r="I11" s="1831"/>
    </row>
    <row r="12" spans="1:12" ht="12.75">
      <c r="A12" s="3145" t="s">
        <v>2134</v>
      </c>
      <c r="B12" s="3083">
        <v>15</v>
      </c>
      <c r="C12" s="3148"/>
      <c r="D12" s="3168"/>
      <c r="E12" s="140" t="s">
        <v>2135</v>
      </c>
      <c r="F12" s="2430"/>
      <c r="G12" s="2430"/>
      <c r="H12" s="2430"/>
      <c r="I12" s="1831"/>
    </row>
    <row r="13" spans="1:12" ht="12.75">
      <c r="A13" s="3145"/>
      <c r="B13" s="3083"/>
      <c r="C13" s="3150"/>
      <c r="D13" s="3168"/>
      <c r="E13" s="140" t="s">
        <v>2136</v>
      </c>
      <c r="F13" s="2430"/>
      <c r="G13" s="2430"/>
      <c r="H13" s="2430"/>
      <c r="I13" s="1831"/>
    </row>
    <row r="14" spans="1:12" ht="12.75">
      <c r="A14" s="3145" t="s">
        <v>2137</v>
      </c>
      <c r="B14" s="3083">
        <v>30</v>
      </c>
      <c r="C14" s="3148">
        <v>5</v>
      </c>
      <c r="D14" s="3168">
        <v>5</v>
      </c>
      <c r="E14" s="140" t="s">
        <v>2138</v>
      </c>
      <c r="F14" s="2430"/>
      <c r="G14" s="2430"/>
      <c r="H14" s="2430"/>
      <c r="I14" s="1831"/>
    </row>
    <row r="15" spans="1:12" ht="12.75">
      <c r="A15" s="3145"/>
      <c r="B15" s="3083"/>
      <c r="C15" s="3149"/>
      <c r="D15" s="3168"/>
      <c r="E15" s="140" t="s">
        <v>2139</v>
      </c>
      <c r="F15" s="2430"/>
      <c r="G15" s="2430"/>
      <c r="H15" s="2430"/>
      <c r="I15" s="1831"/>
    </row>
    <row r="16" spans="1:12" ht="12.75">
      <c r="A16" s="3145"/>
      <c r="B16" s="3083"/>
      <c r="C16" s="3150"/>
      <c r="D16" s="3168"/>
      <c r="E16" s="140" t="s">
        <v>2140</v>
      </c>
      <c r="F16" s="2430"/>
      <c r="G16" s="2430"/>
      <c r="H16" s="2430"/>
      <c r="I16" s="1831"/>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317.81</v>
      </c>
      <c r="M18" s="2429">
        <f>IF(C1="",'数据-汇总表'!E3,SUMIF(项目类型,C1,'数据-汇总表'!E17:E26))</f>
        <v>317.81</v>
      </c>
    </row>
    <row r="19" spans="1:35" ht="15">
      <c r="A19" s="2435" t="s">
        <v>2146</v>
      </c>
      <c r="B19" s="2436" t="s">
        <v>2147</v>
      </c>
      <c r="C19" s="143">
        <f ca="1">SUMIF(INDIRECT("'"&amp;C4&amp;"'"&amp;"!A:A"),结果表!B19,INDIRECT("'"&amp;C4&amp;"'"&amp;"!B:B"))</f>
        <v>2053</v>
      </c>
      <c r="D19" s="144">
        <f ca="1">SUMIF(INDIRECT("'"&amp;D4&amp;"'"&amp;"!A:A"),结果表!B19,INDIRECT("'"&amp;D4&amp;"'"&amp;"!B:B"))</f>
        <v>1683</v>
      </c>
      <c r="E19" s="2435" t="s">
        <v>2148</v>
      </c>
      <c r="F19" s="2436" t="s">
        <v>2147</v>
      </c>
      <c r="G19" s="145">
        <f ca="1">ROUND(C19*$C$18+D19*$D$18,0)</f>
        <v>1868</v>
      </c>
      <c r="H19" s="2437" t="s">
        <v>2149</v>
      </c>
      <c r="I19" s="138"/>
      <c r="K19" s="2429" t="s">
        <v>2150</v>
      </c>
      <c r="L19" s="2429">
        <f>IF(C1="",'数据-汇总表'!D3,SUMIF(项目类型,C1,'数据-汇总表'!D17:D26)+SUMIF(项目类型,C1,'数据-汇总表'!H17:H27))</f>
        <v>56.93</v>
      </c>
      <c r="M19" s="2429">
        <f>IF(C1="",'数据-汇总表'!D3,SUMIF(项目类型,C1,'数据-汇总表'!D17:D26))</f>
        <v>56.93</v>
      </c>
    </row>
    <row r="20" spans="1:35" ht="15">
      <c r="A20" s="2438"/>
      <c r="B20" s="1247" t="s">
        <v>2151</v>
      </c>
      <c r="C20" s="146">
        <f ca="1">SUMIF(INDIRECT("'"&amp;C4&amp;"'"&amp;"!A:A"),结果表!B20,INDIRECT("'"&amp;C4&amp;"'"&amp;"!B:B"))</f>
        <v>64612</v>
      </c>
      <c r="D20" s="147">
        <f ca="1">SUMIF(INDIRECT("'"&amp;D4&amp;"'"&amp;"!A:A"),结果表!B20,INDIRECT("'"&amp;D4&amp;"'"&amp;"!B:B"))</f>
        <v>52949</v>
      </c>
      <c r="E20" s="2438"/>
      <c r="F20" s="1247" t="s">
        <v>2151</v>
      </c>
      <c r="G20" s="148">
        <f ca="1">ROUND(C20*$C$18+D20*$D$18,0)</f>
        <v>58781</v>
      </c>
      <c r="H20" s="980" t="s">
        <v>2152</v>
      </c>
      <c r="I20" s="138"/>
    </row>
    <row r="21" spans="1:35" ht="15" customHeight="1" thickBot="1">
      <c r="A21" s="1000"/>
      <c r="B21" s="2439" t="s">
        <v>2153</v>
      </c>
      <c r="C21" s="789">
        <f ca="1">ROUND(C19*10000/L19,0)</f>
        <v>360618</v>
      </c>
      <c r="D21" s="790">
        <f ca="1">ROUND(D19*10000/L19,0)</f>
        <v>295626</v>
      </c>
      <c r="E21" s="1000"/>
      <c r="F21" s="2439" t="s">
        <v>2153</v>
      </c>
      <c r="G21" s="149">
        <f ca="1">ROUND(G19*10000/L19,0)</f>
        <v>328122</v>
      </c>
      <c r="H21" s="2440" t="s">
        <v>2152</v>
      </c>
      <c r="I21" s="138"/>
    </row>
    <row r="22" spans="1:35" ht="15" thickBot="1">
      <c r="A22" s="2281" t="s">
        <v>2154</v>
      </c>
      <c r="B22" s="2441"/>
      <c r="C22" s="2442"/>
      <c r="D22" s="791">
        <f ca="1">IF(C19&lt;D19,D19/C19-1,C19/D19-1)</f>
        <v>0.21984551396316099</v>
      </c>
      <c r="E22" s="138"/>
      <c r="F22" s="138"/>
      <c r="G22" s="138"/>
      <c r="H22" s="138"/>
      <c r="I22" s="138"/>
    </row>
    <row r="23" spans="1:35" ht="13.5" thickBot="1">
      <c r="A23" s="2419"/>
      <c r="B23" s="2419"/>
      <c r="C23" s="2419"/>
      <c r="D23" s="2419"/>
      <c r="E23" s="138"/>
      <c r="F23" s="138"/>
      <c r="G23" s="138"/>
      <c r="H23" s="138"/>
      <c r="I23" s="138"/>
    </row>
    <row r="24" spans="1:35" ht="14.25">
      <c r="A24" s="3139" t="s">
        <v>2155</v>
      </c>
      <c r="B24" s="2436" t="s">
        <v>2147</v>
      </c>
      <c r="C24" s="145">
        <f>IF(B30=0,0,D30)</f>
        <v>0</v>
      </c>
      <c r="D24" s="2443"/>
      <c r="E24" s="138"/>
      <c r="F24" s="138"/>
      <c r="G24" s="138"/>
      <c r="H24" s="138"/>
      <c r="I24" s="138"/>
    </row>
    <row r="25" spans="1:35" ht="14.25">
      <c r="A25" s="3140"/>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7"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1868</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57" t="s">
        <v>2169</v>
      </c>
      <c r="B36" s="2462" t="s">
        <v>2170</v>
      </c>
      <c r="C36" s="154"/>
      <c r="D36" s="2463"/>
      <c r="E36" s="2464"/>
      <c r="F36" s="2465"/>
      <c r="G36" s="138"/>
      <c r="H36" s="138"/>
      <c r="I36" s="138"/>
    </row>
    <row r="37" spans="1:15" ht="15.75" thickBot="1">
      <c r="A37" s="3158"/>
      <c r="B37" s="2267" t="s">
        <v>2171</v>
      </c>
      <c r="C37" s="156"/>
      <c r="D37" s="1392"/>
      <c r="E37" s="1392"/>
      <c r="F37" s="2465"/>
      <c r="G37" s="138"/>
      <c r="H37" s="138"/>
      <c r="I37" s="138"/>
    </row>
    <row r="38" spans="1:15" ht="15.75" thickBot="1">
      <c r="A38" s="3159"/>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6" t="s">
        <v>2183</v>
      </c>
      <c r="B45" s="3137"/>
      <c r="C45" s="3138"/>
      <c r="D45" s="164">
        <f ca="1">ROUND(H101*F45,0)</f>
        <v>1868</v>
      </c>
      <c r="E45" s="165" t="s">
        <v>2184</v>
      </c>
      <c r="F45" s="166">
        <v>1</v>
      </c>
      <c r="G45" s="167" t="s">
        <v>2185</v>
      </c>
      <c r="H45" s="138"/>
      <c r="I45" s="138"/>
      <c r="J45" s="3196" t="s">
        <v>2186</v>
      </c>
      <c r="K45" s="3196"/>
      <c r="L45" s="3196"/>
      <c r="M45" s="3196"/>
      <c r="N45" s="3196"/>
      <c r="O45" s="3196"/>
    </row>
    <row r="46" spans="1:15" ht="14.25" customHeight="1">
      <c r="A46" s="3133" t="s">
        <v>2187</v>
      </c>
      <c r="B46" s="3134"/>
      <c r="C46" s="3134"/>
      <c r="D46" s="3134"/>
      <c r="E46" s="3134"/>
      <c r="F46" s="3134"/>
      <c r="G46" s="3135"/>
      <c r="H46" s="2481"/>
      <c r="I46" s="168"/>
      <c r="J46" s="1809">
        <v>1</v>
      </c>
      <c r="K46" s="3196" t="s">
        <v>2188</v>
      </c>
      <c r="L46" s="3196"/>
      <c r="M46" s="3216"/>
      <c r="N46" s="3216"/>
      <c r="O46" s="3216"/>
    </row>
    <row r="47" spans="1:15" ht="12" customHeight="1">
      <c r="A47" s="169" t="s">
        <v>2189</v>
      </c>
      <c r="B47" s="170"/>
      <c r="C47" s="171"/>
      <c r="D47" s="172" t="s">
        <v>2190</v>
      </c>
      <c r="E47" s="24" t="s">
        <v>2191</v>
      </c>
      <c r="F47" s="173" t="s">
        <v>2192</v>
      </c>
      <c r="G47" s="174" t="s">
        <v>2193</v>
      </c>
      <c r="H47" s="2481"/>
      <c r="I47" s="168"/>
      <c r="J47" s="1809">
        <v>2</v>
      </c>
      <c r="K47" s="3196" t="s">
        <v>2194</v>
      </c>
      <c r="L47" s="3196"/>
      <c r="M47" s="3217">
        <f>'数据-取费表'!B2</f>
        <v>43707</v>
      </c>
      <c r="N47" s="3217"/>
      <c r="O47" s="3217"/>
    </row>
    <row r="48" spans="1:15" ht="25.5">
      <c r="A48" s="3164" t="s">
        <v>2195</v>
      </c>
      <c r="B48" s="3147"/>
      <c r="C48" s="3147"/>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196" t="s">
        <v>2198</v>
      </c>
      <c r="L48" s="3196"/>
      <c r="M48" s="3218">
        <f ca="1">H101</f>
        <v>1868</v>
      </c>
      <c r="N48" s="3218"/>
      <c r="O48" s="3218"/>
    </row>
    <row r="49" spans="1:35" ht="25.5" customHeight="1">
      <c r="A49" s="176" t="s">
        <v>2199</v>
      </c>
      <c r="B49" s="3132" t="s">
        <v>2200</v>
      </c>
      <c r="C49" s="3132"/>
      <c r="D49" s="177">
        <v>0</v>
      </c>
      <c r="E49" s="23" t="s">
        <v>2201</v>
      </c>
      <c r="F49" s="28" t="s">
        <v>34</v>
      </c>
      <c r="G49" s="3202"/>
      <c r="H49" s="138"/>
      <c r="I49" s="2484"/>
      <c r="J49" s="1809">
        <v>4</v>
      </c>
      <c r="K49" s="3196" t="str">
        <f>IF(项目基本情况!E8="房地产抵押价值","房地产抵押价值","抵押担保权已注销时的房地产抵押价值")</f>
        <v>房地产抵押价值</v>
      </c>
      <c r="L49" s="3196"/>
      <c r="M49" s="3218">
        <f ca="1">IF(项目基本情况!E8="房地产抵押价值",H107,H109)</f>
        <v>1868</v>
      </c>
      <c r="N49" s="3218"/>
      <c r="O49" s="3218"/>
    </row>
    <row r="50" spans="1:35" ht="25.5" customHeight="1">
      <c r="A50" s="178"/>
      <c r="B50" s="3132" t="s">
        <v>2202</v>
      </c>
      <c r="C50" s="3132"/>
      <c r="D50" s="179"/>
      <c r="E50" s="31"/>
      <c r="F50" s="180"/>
      <c r="G50" s="3203"/>
      <c r="H50" s="138"/>
      <c r="I50" s="2484"/>
      <c r="J50" s="3196" t="s">
        <v>2203</v>
      </c>
      <c r="K50" s="3196"/>
      <c r="L50" s="3196"/>
      <c r="M50" s="3196"/>
      <c r="N50" s="3196"/>
      <c r="O50" s="3196"/>
    </row>
    <row r="51" spans="1:35" ht="12" customHeight="1">
      <c r="A51" s="181"/>
      <c r="B51" s="3132" t="s">
        <v>2204</v>
      </c>
      <c r="C51" s="3132"/>
      <c r="D51" s="182"/>
      <c r="E51" s="30"/>
      <c r="F51" s="180"/>
      <c r="G51" s="3204"/>
      <c r="H51" s="138"/>
      <c r="I51" s="2484"/>
      <c r="J51" s="2485" t="s">
        <v>2205</v>
      </c>
      <c r="K51" s="3196" t="s">
        <v>2206</v>
      </c>
      <c r="L51" s="3196"/>
      <c r="M51" s="2485" t="s">
        <v>2207</v>
      </c>
      <c r="N51" s="2485" t="s">
        <v>2208</v>
      </c>
      <c r="O51" s="2485" t="s">
        <v>2209</v>
      </c>
    </row>
    <row r="52" spans="1:35" ht="24" customHeight="1">
      <c r="A52" s="183" t="s">
        <v>2210</v>
      </c>
      <c r="B52" s="3132" t="s">
        <v>2211</v>
      </c>
      <c r="C52" s="3132"/>
      <c r="D52" s="182">
        <f ca="1">ROUND(D45*'数据-取费表'!B41/(1+'数据-取费表'!C42),0)</f>
        <v>100</v>
      </c>
      <c r="E52" s="11" t="s">
        <v>2212</v>
      </c>
      <c r="F52" s="184">
        <f>'数据-取费表'!B41</f>
        <v>5.6000000000000001E-2</v>
      </c>
      <c r="G52" s="2486"/>
      <c r="H52" s="138"/>
      <c r="I52" s="2484"/>
      <c r="J52" s="1809">
        <v>1</v>
      </c>
      <c r="K52" s="3197" t="s">
        <v>2213</v>
      </c>
      <c r="L52" s="3197"/>
      <c r="M52" s="1751">
        <f>D48</f>
        <v>0</v>
      </c>
      <c r="N52" s="1809" t="str">
        <f>E48</f>
        <v>销售额×税（费）率</v>
      </c>
      <c r="O52" s="1752" t="str">
        <f>F48</f>
        <v>免征</v>
      </c>
    </row>
    <row r="53" spans="1:35" ht="12" customHeight="1">
      <c r="A53" s="183" t="s">
        <v>2214</v>
      </c>
      <c r="B53" s="3155" t="s">
        <v>2215</v>
      </c>
      <c r="C53" s="3156"/>
      <c r="D53" s="182">
        <f ca="1">ROUND(D45*'数据-取费表'!B41/(1+'数据-取费表'!C42),0)</f>
        <v>100</v>
      </c>
      <c r="E53" s="11" t="s">
        <v>2212</v>
      </c>
      <c r="F53" s="184">
        <f>'数据-取费表'!B41</f>
        <v>5.6000000000000001E-2</v>
      </c>
      <c r="G53" s="2486"/>
      <c r="H53" s="138"/>
      <c r="I53" s="2484"/>
      <c r="J53" s="1809">
        <v>2</v>
      </c>
      <c r="K53" s="3197" t="s">
        <v>2216</v>
      </c>
      <c r="L53" s="3197"/>
      <c r="M53" s="1751">
        <f t="shared" ref="M53:O54" ca="1" si="0">D55</f>
        <v>1</v>
      </c>
      <c r="N53" s="1809" t="str">
        <f t="shared" si="0"/>
        <v>销售额×税（费）率</v>
      </c>
      <c r="O53" s="1752">
        <f t="shared" si="0"/>
        <v>5.0000000000000001E-4</v>
      </c>
    </row>
    <row r="54" spans="1:35" ht="12" customHeight="1">
      <c r="A54" s="183" t="s">
        <v>2217</v>
      </c>
      <c r="B54" s="3155" t="s">
        <v>2218</v>
      </c>
      <c r="C54" s="3156"/>
      <c r="D54" s="182">
        <f ca="1">C68</f>
        <v>100</v>
      </c>
      <c r="E54" s="30" t="s">
        <v>2219</v>
      </c>
      <c r="F54" s="184">
        <f>'数据-取费表'!B41</f>
        <v>5.6000000000000001E-2</v>
      </c>
      <c r="G54" s="2486"/>
      <c r="H54" s="2487"/>
      <c r="I54" s="2484"/>
      <c r="J54" s="1809">
        <v>3</v>
      </c>
      <c r="K54" s="3197" t="s">
        <v>2220</v>
      </c>
      <c r="L54" s="3197"/>
      <c r="M54" s="1751">
        <f t="shared" ca="1" si="0"/>
        <v>1057</v>
      </c>
      <c r="N54" s="1809" t="str">
        <f t="shared" si="0"/>
        <v>增值额×税（费）率</v>
      </c>
      <c r="O54" s="1753" t="str">
        <f t="shared" si="0"/>
        <v>——</v>
      </c>
    </row>
    <row r="55" spans="1:35" ht="24" customHeight="1">
      <c r="A55" s="3146" t="s">
        <v>2221</v>
      </c>
      <c r="B55" s="3147"/>
      <c r="C55" s="3147"/>
      <c r="D55" s="185">
        <f ca="1">IF(H55="个人住宅",0,ROUND(D45*I55,0))</f>
        <v>1</v>
      </c>
      <c r="E55" s="11" t="s">
        <v>2222</v>
      </c>
      <c r="F55" s="184">
        <f>IF(H55="正常",I55,"免征")</f>
        <v>5.0000000000000001E-4</v>
      </c>
      <c r="G55" s="2486"/>
      <c r="H55" s="2483" t="s">
        <v>2223</v>
      </c>
      <c r="I55" s="186">
        <f>'数据-取费表'!B49</f>
        <v>5.0000000000000001E-4</v>
      </c>
      <c r="J55" s="1809" t="str">
        <f>IF(H59="非个人房产","",4)</f>
        <v/>
      </c>
      <c r="K55" s="3197" t="str">
        <f>IF(H59="非个人房产","——","个人所得税")</f>
        <v>——</v>
      </c>
      <c r="L55" s="3197"/>
      <c r="M55" s="1754" t="str">
        <f>D59</f>
        <v>——</v>
      </c>
      <c r="N55" s="1807" t="str">
        <f>E59</f>
        <v>——</v>
      </c>
      <c r="O55" s="1755" t="str">
        <f>F59</f>
        <v>——</v>
      </c>
    </row>
    <row r="56" spans="1:35" ht="24.75">
      <c r="A56" s="3146" t="s">
        <v>2224</v>
      </c>
      <c r="B56" s="3147"/>
      <c r="C56" s="3147"/>
      <c r="D56" s="185">
        <f ca="1">IF(H56="个人住宅",D57,D58)</f>
        <v>1057</v>
      </c>
      <c r="E56" s="11" t="s">
        <v>2225</v>
      </c>
      <c r="F56" s="184" t="str">
        <f>IF(H56="正常",F58,"免征")</f>
        <v>——</v>
      </c>
      <c r="G56" s="2488" t="s">
        <v>2226</v>
      </c>
      <c r="H56" s="2489" t="s">
        <v>2223</v>
      </c>
      <c r="I56" s="2490"/>
      <c r="J56" s="1809" t="str">
        <f>IF(项目基本情况!K6="上海银行",IF(J55="",4,J55+1),"")</f>
        <v/>
      </c>
      <c r="K56" s="3220" t="str">
        <f>IF(项目基本情况!K6="上海银行","其他处置费用","")</f>
        <v/>
      </c>
      <c r="L56" s="3221"/>
      <c r="M56" s="1751" t="str">
        <f>IF(项目基本情况!K6="上海银行",M69,"")</f>
        <v/>
      </c>
      <c r="N56" s="3223" t="str">
        <f>IF(项目基本情况!K6="上海银行","包含处置中涉及的律师、诉讼、拍卖、评估等费用","")</f>
        <v/>
      </c>
      <c r="O56" s="3224"/>
    </row>
    <row r="57" spans="1:35" ht="12.75">
      <c r="A57" s="183" t="s">
        <v>2199</v>
      </c>
      <c r="B57" s="3162" t="s">
        <v>2227</v>
      </c>
      <c r="C57" s="3171"/>
      <c r="D57" s="187">
        <v>0</v>
      </c>
      <c r="E57" s="23" t="s">
        <v>2201</v>
      </c>
      <c r="F57" s="155"/>
      <c r="G57" s="2486"/>
      <c r="H57" s="2490"/>
      <c r="I57" s="2490"/>
      <c r="J57" s="3197">
        <f>IF(AND(J55="",J56=""),4,IF(项目基本情况!K6="上海银行",结果表!J56+1,结果表!J55+1))</f>
        <v>4</v>
      </c>
      <c r="K57" s="3197" t="s">
        <v>2228</v>
      </c>
      <c r="L57" s="2491" t="s">
        <v>2229</v>
      </c>
      <c r="M57" s="1756"/>
      <c r="N57" s="1757">
        <f ca="1">SUMIF(M52:M56,"&lt;9e307")</f>
        <v>1058</v>
      </c>
      <c r="O57" s="2492"/>
      <c r="P57" s="1750">
        <f ca="1">N57/M49</f>
        <v>0.56638115631691643</v>
      </c>
    </row>
    <row r="58" spans="1:35" ht="24.75">
      <c r="A58" s="183" t="s">
        <v>2210</v>
      </c>
      <c r="B58" s="3162" t="s">
        <v>2230</v>
      </c>
      <c r="C58" s="3163"/>
      <c r="D58" s="185">
        <f ca="1">IF(H58="转让取得",C81,C97)</f>
        <v>1057</v>
      </c>
      <c r="E58" s="11" t="s">
        <v>2225</v>
      </c>
      <c r="F58" s="24" t="s">
        <v>34</v>
      </c>
      <c r="G58" s="2486"/>
      <c r="H58" s="2489" t="s">
        <v>2231</v>
      </c>
      <c r="I58" s="2490"/>
      <c r="J58" s="3197"/>
      <c r="K58" s="3197"/>
      <c r="L58" s="2491" t="s">
        <v>2232</v>
      </c>
      <c r="M58" s="1758"/>
      <c r="N58" s="2493" t="str">
        <f ca="1">NUMBERSTRING(INT(N57*10000),2)&amp;"元整"</f>
        <v>壹仟零伍拾捌万元整</v>
      </c>
      <c r="O58" s="2494"/>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198">
        <f>J57+1</f>
        <v>5</v>
      </c>
      <c r="K59" s="3197" t="s">
        <v>2235</v>
      </c>
      <c r="L59" s="1809" t="s">
        <v>2229</v>
      </c>
      <c r="M59" s="1759"/>
      <c r="N59" s="1760">
        <f ca="1">M49-N57</f>
        <v>810</v>
      </c>
      <c r="O59" s="2496"/>
    </row>
    <row r="60" spans="1:35" ht="12" customHeight="1">
      <c r="A60" s="2497"/>
      <c r="B60" s="2419"/>
      <c r="C60" s="2419"/>
      <c r="D60" s="2419"/>
      <c r="E60" s="2166"/>
      <c r="F60" s="2490"/>
      <c r="G60" s="2490"/>
      <c r="H60" s="2498"/>
      <c r="I60" s="138"/>
      <c r="J60" s="3199"/>
      <c r="K60" s="3197"/>
      <c r="L60" s="2491" t="s">
        <v>2232</v>
      </c>
      <c r="M60" s="1758"/>
      <c r="N60" s="2493" t="str">
        <f ca="1">NUMBERSTRING(INT(N59*10000),2)&amp;"元整"</f>
        <v>捌佰壹拾万元整</v>
      </c>
      <c r="O60" s="2494"/>
    </row>
    <row r="61" spans="1:35" ht="13.5" thickBot="1">
      <c r="A61" s="3144" t="s">
        <v>2236</v>
      </c>
      <c r="B61" s="3144"/>
      <c r="C61" s="3144"/>
      <c r="D61" s="3144"/>
      <c r="E61" s="3144"/>
      <c r="F61" s="2490"/>
      <c r="G61" s="2490"/>
      <c r="H61" s="2498"/>
      <c r="I61" s="138"/>
      <c r="J61" s="1809">
        <f>J59+1</f>
        <v>6</v>
      </c>
      <c r="K61" s="3197" t="s">
        <v>2237</v>
      </c>
      <c r="L61" s="3197"/>
      <c r="M61" s="1761"/>
      <c r="N61" s="1762">
        <f ca="1">ROUND(N59*10000/'数据-汇总表'!E3,0)</f>
        <v>25487</v>
      </c>
      <c r="O61" s="2499"/>
    </row>
    <row r="62" spans="1:35" ht="12.75">
      <c r="A62" s="3160" t="s">
        <v>2238</v>
      </c>
      <c r="B62" s="3161"/>
      <c r="C62" s="1801"/>
      <c r="D62" s="1801" t="s">
        <v>2239</v>
      </c>
      <c r="E62" s="192" t="s">
        <v>2240</v>
      </c>
      <c r="F62" s="2490"/>
      <c r="G62" s="2490"/>
      <c r="H62" s="2498"/>
      <c r="I62" s="138"/>
    </row>
    <row r="63" spans="1:35" ht="12.75">
      <c r="A63" s="203" t="s">
        <v>775</v>
      </c>
      <c r="B63" s="193" t="s">
        <v>2241</v>
      </c>
      <c r="C63" s="194">
        <f ca="1">ROUND((C64+C65)/(1+'数据-取费表'!C42),0)</f>
        <v>1779</v>
      </c>
      <c r="D63" s="195"/>
      <c r="E63" s="196"/>
      <c r="F63" s="2490"/>
      <c r="G63" s="2490"/>
      <c r="H63" s="2498"/>
      <c r="I63" s="138"/>
      <c r="J63" s="3222" t="s">
        <v>2242</v>
      </c>
      <c r="K63" s="2500" t="s">
        <v>2243</v>
      </c>
      <c r="L63" s="1749">
        <f ca="1">IF(M49&gt;10000,M49*0.5%,IF(AND(M49&gt;1000,M49&lt;=10000),M49*1%,IF(AND(M49&gt;100,M49&lt;=1000),M49*3%,IF(AND(M49&gt;10,M49&lt;=100),M49*5%,M49*8%))))</f>
        <v>18.68</v>
      </c>
      <c r="M63" s="24">
        <f ca="1">ROUND(L63,1)</f>
        <v>18.7</v>
      </c>
      <c r="Z63" s="2424"/>
      <c r="AI63" s="2425"/>
    </row>
    <row r="64" spans="1:35" ht="14.25" customHeight="1">
      <c r="A64" s="197" t="s">
        <v>770</v>
      </c>
      <c r="B64" s="198" t="s">
        <v>2244</v>
      </c>
      <c r="C64" s="199">
        <f ca="1">D45</f>
        <v>1868</v>
      </c>
      <c r="D64" s="200" t="s">
        <v>32</v>
      </c>
      <c r="E64" s="201"/>
      <c r="F64" s="2490"/>
      <c r="G64" s="2490"/>
      <c r="H64" s="2498"/>
      <c r="I64" s="138"/>
      <c r="J64" s="3222"/>
      <c r="K64" s="2500" t="s">
        <v>2245</v>
      </c>
      <c r="L64" s="1749">
        <f ca="1">IF(M49&gt;2000,M49*0.5%,IF(AND(M49&gt;1000,M49&lt;=2000),M49*0.6%,IF(AND(M49&gt;500,M49&lt;=1000),M49*0.7%,IF(AND(M49&gt;200,M49&lt;=500),M49*0.8%,IF(AND(M49&gt;100,M49&lt;=200),M49*0.9%,IF(AND(M49&gt;50,M49&lt;=100),M49*1%,IF(AND(M49&gt;20,M49&lt;=50),M49*1.5%,IF(AND(M49&gt;10,M49&lt;=20),M49*2%,IF(AND(M49&gt;1,M49&lt;=10),M49*2.5%)))))))))</f>
        <v>11.208</v>
      </c>
      <c r="M64" s="24">
        <f t="shared" ref="M64:M65" ca="1" si="1">ROUND(L64,1)</f>
        <v>11.2</v>
      </c>
      <c r="N64" s="138" t="s">
        <v>2246</v>
      </c>
      <c r="Z64" s="2424"/>
      <c r="AI64" s="2425"/>
    </row>
    <row r="65" spans="1:35" ht="14.25" customHeight="1">
      <c r="A65" s="197" t="s">
        <v>771</v>
      </c>
      <c r="B65" s="198" t="s">
        <v>2247</v>
      </c>
      <c r="C65" s="202"/>
      <c r="D65" s="200"/>
      <c r="E65" s="201"/>
      <c r="F65" s="2490"/>
      <c r="G65" s="2490"/>
      <c r="H65" s="2498"/>
      <c r="I65" s="138"/>
      <c r="J65" s="3222"/>
      <c r="K65" s="2500" t="s">
        <v>2248</v>
      </c>
      <c r="L65" s="1749">
        <f ca="1">IF(M49&gt;1000,M49*0.1%,IF(AND(M49&gt;500,M49&lt;=1000),M49*0.5%,IF(AND(M49&gt;50,M49&lt;=500),M49*1%,IF(AND(M49&gt;1,M49&lt;=50),M49*1.5%))))</f>
        <v>1.8680000000000001</v>
      </c>
      <c r="M65" s="24">
        <f t="shared" ca="1" si="1"/>
        <v>1.9</v>
      </c>
      <c r="N65" s="138" t="s">
        <v>2246</v>
      </c>
      <c r="Z65" s="2424"/>
      <c r="AI65" s="2425"/>
    </row>
    <row r="66" spans="1:35" ht="14.25" customHeight="1">
      <c r="A66" s="203" t="s">
        <v>772</v>
      </c>
      <c r="B66" s="204" t="s">
        <v>2249</v>
      </c>
      <c r="C66" s="205"/>
      <c r="D66" s="206" t="s">
        <v>32</v>
      </c>
      <c r="E66" s="1773" t="s">
        <v>1367</v>
      </c>
      <c r="F66" s="2490"/>
      <c r="G66" s="2490"/>
      <c r="H66" s="2498"/>
      <c r="I66" s="138"/>
      <c r="J66" s="3222"/>
      <c r="K66" s="2500" t="s">
        <v>2250</v>
      </c>
      <c r="L66" s="1749">
        <f ca="1">M49*0.5%</f>
        <v>9.34</v>
      </c>
      <c r="M66" s="24">
        <f ca="1">IF(L66&gt;0.5,0.5,ROUND(L66,0))</f>
        <v>0.5</v>
      </c>
      <c r="N66" s="138" t="s">
        <v>2251</v>
      </c>
      <c r="Z66" s="2424"/>
      <c r="AI66" s="2425"/>
    </row>
    <row r="67" spans="1:35" ht="14.25" customHeight="1">
      <c r="A67" s="203" t="s">
        <v>773</v>
      </c>
      <c r="B67" s="204" t="s">
        <v>2252</v>
      </c>
      <c r="C67" s="207">
        <f ca="1">C63-C66</f>
        <v>1779</v>
      </c>
      <c r="D67" s="200" t="s">
        <v>32</v>
      </c>
      <c r="E67" s="201"/>
      <c r="F67" s="2490"/>
      <c r="G67" s="2490"/>
      <c r="H67" s="2498"/>
      <c r="I67" s="138"/>
      <c r="J67" s="3222"/>
      <c r="K67" s="2500" t="s">
        <v>2253</v>
      </c>
      <c r="L67" s="1749">
        <f ca="1">IF(M49&gt;=10000,(8.25+(M49-10000)*0.01%),IF(AND(M49&gt;=8000,M49&lt;10000),(7.85+(M49-8000)*0.02%),IF(AND(M49&gt;=5000,M49&lt;8000),(6.65+(M49-5000)*0.04%),IF(AND(M49&gt;=2000,M49&lt;5000),(4.25+(PM49-2000)*0.08%),IF(AND(M49&gt;=1000,M49&lt;2000),(2.75+(M49-1000)*0.15%),IF(AND(M49&gt;=100,M49&lt;1000),(0.5+(M49-100)*0.25%),IF(AND(M49&gt;0,M49&lt;100),M49*0.5%)))))))</f>
        <v>4.0519999999999996</v>
      </c>
      <c r="M67" s="24">
        <f ca="1">ROUND(L67*0.9,1)</f>
        <v>3.6</v>
      </c>
      <c r="Z67" s="2424"/>
      <c r="AI67" s="2425"/>
    </row>
    <row r="68" spans="1:35" ht="14.25" customHeight="1" thickBot="1">
      <c r="A68" s="208" t="s">
        <v>774</v>
      </c>
      <c r="B68" s="209" t="s">
        <v>2254</v>
      </c>
      <c r="C68" s="210">
        <f ca="1">IF(C67&lt;=0,0,ROUND(C67*D68,0))</f>
        <v>100</v>
      </c>
      <c r="D68" s="211">
        <f>'数据-取费表'!B41</f>
        <v>5.6000000000000001E-2</v>
      </c>
      <c r="E68" s="212"/>
      <c r="F68" s="2490"/>
      <c r="G68" s="2490"/>
      <c r="H68" s="2498"/>
      <c r="I68" s="138"/>
      <c r="J68" s="3222"/>
      <c r="K68" s="2500" t="s">
        <v>2255</v>
      </c>
      <c r="L68" s="1749">
        <f ca="1">IF(M49&gt;10000,M49*0.5%,IF(AND(M49&gt;5000,M49&lt;=10000),M49*1%,IF(AND(M49&gt;1000,M49&lt;=5000),M49*2%,IF(AND(M49&gt;200,M49&lt;=1000),M49*3%,M49*5%))))</f>
        <v>37.36</v>
      </c>
      <c r="M68" s="24">
        <f ca="1">ROUND(L68,1)</f>
        <v>37.4</v>
      </c>
      <c r="Z68" s="2424"/>
      <c r="AI68" s="2425"/>
    </row>
    <row r="69" spans="1:35" s="2447" customFormat="1" ht="16.5" customHeight="1">
      <c r="A69" s="2501"/>
      <c r="B69" s="2502"/>
      <c r="C69" s="2503"/>
      <c r="D69" s="2504"/>
      <c r="E69" s="2505"/>
      <c r="F69" s="2166"/>
      <c r="G69" s="2166"/>
      <c r="H69" s="2165"/>
      <c r="I69" s="2419"/>
      <c r="J69" s="3222"/>
      <c r="K69" s="2500" t="s">
        <v>2256</v>
      </c>
      <c r="L69" s="2506"/>
      <c r="M69" s="24">
        <f ca="1">ROUND(SUM(M63:M68),0)</f>
        <v>73</v>
      </c>
      <c r="N69" s="1750">
        <f ca="1">M69/M49</f>
        <v>3.9079229122055671E-2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1" t="s">
        <v>2257</v>
      </c>
      <c r="B70" s="3182"/>
      <c r="C70" s="3182"/>
      <c r="D70" s="3182"/>
      <c r="E70" s="3182"/>
      <c r="F70" s="3182"/>
      <c r="G70" s="3182"/>
      <c r="H70" s="318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0" t="s">
        <v>2238</v>
      </c>
      <c r="B71" s="3161"/>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1779</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11</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55" t="s">
        <v>2266</v>
      </c>
      <c r="F76" s="3132"/>
      <c r="G76" s="3132"/>
      <c r="H76" s="318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11</v>
      </c>
      <c r="D78" s="226">
        <f>'数据-取费表'!B43</f>
        <v>6.000000000000001E-3</v>
      </c>
      <c r="E78" s="3141" t="s">
        <v>2271</v>
      </c>
      <c r="F78" s="3142"/>
      <c r="G78" s="3142"/>
      <c r="H78" s="315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1768</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160.72727272727272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1057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1" t="s">
        <v>2275</v>
      </c>
      <c r="B83" s="3182"/>
      <c r="C83" s="3182"/>
      <c r="D83" s="3182"/>
      <c r="E83" s="3182"/>
      <c r="F83" s="3182"/>
      <c r="G83" s="3182"/>
      <c r="H83" s="318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0" t="s">
        <v>2238</v>
      </c>
      <c r="B84" s="3161"/>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1779</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11</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41" t="s">
        <v>2284</v>
      </c>
      <c r="F91" s="3142"/>
      <c r="G91" s="314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41" t="s">
        <v>2288</v>
      </c>
      <c r="F92" s="3142"/>
      <c r="G92" s="3142"/>
      <c r="H92" s="315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11</v>
      </c>
      <c r="D93" s="226">
        <f>'数据-取费表'!B43</f>
        <v>6.000000000000001E-3</v>
      </c>
      <c r="E93" s="3141" t="s">
        <v>2271</v>
      </c>
      <c r="F93" s="3142"/>
      <c r="G93" s="3142"/>
      <c r="H93" s="315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52" t="s">
        <v>2292</v>
      </c>
      <c r="F94" s="3153"/>
      <c r="G94" s="3153"/>
      <c r="H94" s="315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1768</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160.72727272727272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1057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126" t="s">
        <v>2294</v>
      </c>
      <c r="B100" s="3127"/>
      <c r="C100" s="3127"/>
      <c r="D100" s="3143"/>
      <c r="E100" s="3127" t="s">
        <v>2295</v>
      </c>
      <c r="F100" s="3127"/>
      <c r="G100" s="3127"/>
      <c r="H100" s="3143"/>
      <c r="I100" s="138"/>
    </row>
    <row r="101" spans="1:35" ht="18.75" customHeight="1">
      <c r="A101" s="3205" t="s">
        <v>2296</v>
      </c>
      <c r="B101" s="3206"/>
      <c r="C101" s="736" t="str">
        <f>C4</f>
        <v>比较法-办公</v>
      </c>
      <c r="D101" s="737" t="str">
        <f>D4</f>
        <v>收益法 (元)</v>
      </c>
      <c r="E101" s="3219" t="s">
        <v>2297</v>
      </c>
      <c r="F101" s="3173"/>
      <c r="G101" s="2521" t="s">
        <v>2298</v>
      </c>
      <c r="H101" s="1045">
        <f ca="1">H118</f>
        <v>1868</v>
      </c>
      <c r="I101" s="138"/>
    </row>
    <row r="102" spans="1:35" ht="18.75" customHeight="1">
      <c r="A102" s="3175" t="s">
        <v>2299</v>
      </c>
      <c r="B102" s="2521" t="s">
        <v>2298</v>
      </c>
      <c r="C102" s="736">
        <f ca="1">C19</f>
        <v>2053</v>
      </c>
      <c r="D102" s="737">
        <f ca="1">D19</f>
        <v>1683</v>
      </c>
      <c r="E102" s="3219"/>
      <c r="F102" s="3173"/>
      <c r="G102" s="2521" t="s">
        <v>2300</v>
      </c>
      <c r="H102" s="371">
        <f ca="1">I118</f>
        <v>58777</v>
      </c>
      <c r="I102" s="138"/>
    </row>
    <row r="103" spans="1:35" ht="42.75" customHeight="1">
      <c r="A103" s="3175"/>
      <c r="B103" s="2521" t="s">
        <v>2300</v>
      </c>
      <c r="C103" s="738">
        <f ca="1">C20</f>
        <v>64612</v>
      </c>
      <c r="D103" s="739">
        <f ca="1">D20</f>
        <v>52949</v>
      </c>
      <c r="E103" s="3214" t="s">
        <v>2301</v>
      </c>
      <c r="F103" s="3215"/>
      <c r="G103" s="2522" t="s">
        <v>2302</v>
      </c>
      <c r="H103" s="1045">
        <f>IF(D36="正常操作",H104+H105+H106,H105+H106)</f>
        <v>0</v>
      </c>
      <c r="I103" s="138"/>
    </row>
    <row r="104" spans="1:35" ht="18.75" customHeight="1">
      <c r="A104" s="3175" t="s">
        <v>2303</v>
      </c>
      <c r="B104" s="2523" t="s">
        <v>2298</v>
      </c>
      <c r="C104" s="740">
        <f ca="1">H118</f>
        <v>1868</v>
      </c>
      <c r="D104" s="741"/>
      <c r="E104" s="2267" t="s">
        <v>2304</v>
      </c>
      <c r="F104" s="2258"/>
      <c r="G104" s="2522" t="s">
        <v>2302</v>
      </c>
      <c r="H104" s="1046">
        <f>IF(D36="同一抵押权人同一抵押物续贷",C36&amp;"（未扣减，详见特别提示）",C36)</f>
        <v>0</v>
      </c>
      <c r="I104" s="138"/>
    </row>
    <row r="105" spans="1:35" ht="18.75" customHeight="1" thickBot="1">
      <c r="A105" s="3176"/>
      <c r="B105" s="2524" t="s">
        <v>2300</v>
      </c>
      <c r="C105" s="742">
        <f ca="1">I118</f>
        <v>58777</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172" t="str">
        <f>IF(项目基本情况!E8="已注销","——","3.房地产抵押价值")</f>
        <v>3.房地产抵押价值</v>
      </c>
      <c r="F107" s="3173"/>
      <c r="G107" s="2521" t="s">
        <v>2298</v>
      </c>
      <c r="H107" s="1045">
        <f ca="1">IF(E107="——","——",H101-H103)</f>
        <v>1868</v>
      </c>
      <c r="I107" s="138"/>
    </row>
    <row r="108" spans="1:35" ht="18.75" customHeight="1">
      <c r="A108" s="138"/>
      <c r="B108" s="138"/>
      <c r="C108" s="138"/>
      <c r="D108" s="138"/>
      <c r="E108" s="3172"/>
      <c r="F108" s="3173"/>
      <c r="G108" s="2521" t="s">
        <v>2300</v>
      </c>
      <c r="H108" s="371">
        <f ca="1">ROUND(H107*10000/'数据-汇总表'!E3,0)</f>
        <v>58777</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v>
      </c>
      <c r="F109" s="3173"/>
      <c r="G109" s="2521" t="s">
        <v>2298</v>
      </c>
      <c r="H109" s="348" t="str">
        <f>IF(E109="——","——",H101-H105-H106)</f>
        <v>——</v>
      </c>
      <c r="I109" s="138"/>
    </row>
    <row r="110" spans="1:35" ht="18.75" customHeight="1">
      <c r="A110" s="138"/>
      <c r="B110" s="138"/>
      <c r="C110" s="138"/>
      <c r="D110" s="138"/>
      <c r="E110" s="3172"/>
      <c r="F110" s="3173"/>
      <c r="G110" s="2521" t="s">
        <v>2300</v>
      </c>
      <c r="H110" s="371" t="str">
        <f>IF(H109="——","——",ROUND(H109*10000/'数据-汇总表'!E3,0))</f>
        <v>——</v>
      </c>
      <c r="I110" s="138"/>
    </row>
    <row r="111" spans="1:35" ht="18.75" customHeight="1">
      <c r="A111" s="138"/>
      <c r="B111" s="138"/>
      <c r="C111" s="138"/>
      <c r="D111" s="138"/>
      <c r="E111" s="3207" t="str">
        <f>IF(项目基本情况!E9="抵押净值",IF(OR(项目基本情况!E8="已注销",项目基本情况!E8="房地产抵押价值"),"4.抵押净值","5.抵押净值"),"——")</f>
        <v>——</v>
      </c>
      <c r="F111" s="3208"/>
      <c r="G111" s="2521" t="s">
        <v>2298</v>
      </c>
      <c r="H111" s="1045" t="str">
        <f>IF(E111="——","——",N59)</f>
        <v>——</v>
      </c>
      <c r="I111" s="138"/>
    </row>
    <row r="112" spans="1:35" ht="18.75" customHeight="1" thickBot="1">
      <c r="A112" s="138"/>
      <c r="B112" s="138"/>
      <c r="C112" s="138"/>
      <c r="D112" s="138"/>
      <c r="E112" s="3209"/>
      <c r="F112" s="3210"/>
      <c r="G112" s="2526" t="s">
        <v>2300</v>
      </c>
      <c r="H112" s="790" t="str">
        <f>IF(E111="——","——",N61)</f>
        <v>——</v>
      </c>
      <c r="I112" s="138"/>
    </row>
    <row r="113" spans="1:11" ht="18.75" customHeight="1">
      <c r="A113" s="138"/>
      <c r="B113" s="138"/>
      <c r="C113" s="138"/>
      <c r="D113" s="138"/>
      <c r="E113" s="3177" t="s">
        <v>2306</v>
      </c>
      <c r="F113" s="3177"/>
      <c r="G113" s="3177"/>
      <c r="H113" s="3177"/>
      <c r="I113" s="138"/>
    </row>
    <row r="114" spans="1:11" ht="3.75" customHeight="1">
      <c r="A114" s="2419"/>
      <c r="B114" s="2419"/>
      <c r="C114" s="2419"/>
      <c r="D114" s="2419"/>
      <c r="E114" s="2497"/>
      <c r="F114" s="2497"/>
      <c r="G114" s="2497"/>
      <c r="H114" s="2497"/>
      <c r="I114" s="2419"/>
    </row>
    <row r="115" spans="1:11" ht="18.75" customHeight="1">
      <c r="A115" s="3190" t="s">
        <v>2308</v>
      </c>
      <c r="B115" s="3191"/>
      <c r="C115" s="3191"/>
      <c r="D115" s="3191"/>
      <c r="E115" s="3191"/>
      <c r="F115" s="3191"/>
      <c r="G115" s="3191"/>
      <c r="H115" s="3191"/>
      <c r="I115" s="3192"/>
    </row>
    <row r="116" spans="1:11" ht="27" customHeight="1">
      <c r="A116" s="3083" t="s">
        <v>2309</v>
      </c>
      <c r="B116" s="3178" t="s">
        <v>2310</v>
      </c>
      <c r="C116" s="3178" t="s">
        <v>2311</v>
      </c>
      <c r="D116" s="3194" t="s">
        <v>2312</v>
      </c>
      <c r="E116" s="3195"/>
      <c r="F116" s="3186" t="s">
        <v>2313</v>
      </c>
      <c r="G116" s="3186"/>
      <c r="H116" s="3083" t="s">
        <v>2314</v>
      </c>
      <c r="I116" s="3083"/>
    </row>
    <row r="117" spans="1:11" ht="18.75" customHeight="1">
      <c r="A117" s="3083"/>
      <c r="B117" s="3179"/>
      <c r="C117" s="3179"/>
      <c r="D117" s="1795" t="s">
        <v>2315</v>
      </c>
      <c r="E117" s="1795" t="s">
        <v>2316</v>
      </c>
      <c r="F117" s="1795" t="s">
        <v>2315</v>
      </c>
      <c r="G117" s="1795" t="s">
        <v>2317</v>
      </c>
      <c r="H117" s="1795" t="s">
        <v>2315</v>
      </c>
      <c r="I117" s="1795" t="s">
        <v>2317</v>
      </c>
    </row>
    <row r="118" spans="1:11" ht="24.75" customHeight="1">
      <c r="A118" s="2527" t="str">
        <f>项目基本情况!S2</f>
        <v>北京市房地产</v>
      </c>
      <c r="B118" s="1795">
        <f>M18</f>
        <v>317.81</v>
      </c>
      <c r="C118" s="1795">
        <f>M19</f>
        <v>56.93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1868</v>
      </c>
      <c r="I118" s="1795">
        <f ca="1">ROUND(IF(D32="楼面单价",C32,H118*10000/B118),0)</f>
        <v>58777</v>
      </c>
    </row>
    <row r="119" spans="1:11" ht="18.75" customHeight="1">
      <c r="A119" s="3083" t="s">
        <v>2318</v>
      </c>
      <c r="B119" s="3083"/>
      <c r="C119" s="3083"/>
      <c r="D119" s="3183" t="e">
        <f ca="1">NUMBERSTRING(INT(D118*10000),2)&amp;"元整"</f>
        <v>#REF!</v>
      </c>
      <c r="E119" s="3185"/>
      <c r="F119" s="3183" t="e">
        <f ca="1">NUMBERSTRING(INT(F118*10000),2)&amp;"元整"</f>
        <v>#REF!</v>
      </c>
      <c r="G119" s="3185"/>
      <c r="H119" s="3183" t="str">
        <f ca="1">NUMBERSTRING(INT(H118*10000),2)&amp;"元整"</f>
        <v>壹仟捌佰陆拾捌万元整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4" t="str">
        <f>IF(D120=0,"故，本次评估不存在"&amp;A120,"故，本次评估"&amp;A120&amp;"为人民币"&amp;D120&amp;"万元整。")</f>
        <v>故，本次评估不存在估价师知悉的法定优先受偿款</v>
      </c>
    </row>
    <row r="121" spans="1:11" ht="18.75" customHeight="1">
      <c r="A121" s="3187" t="s">
        <v>2318</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房地产抵押价值</v>
      </c>
      <c r="B122" s="3174"/>
      <c r="C122" s="3174"/>
      <c r="D122" s="3211">
        <f ca="1">H107</f>
        <v>1868</v>
      </c>
      <c r="E122" s="3212"/>
      <c r="F122" s="3212"/>
      <c r="G122" s="3212"/>
      <c r="H122" s="3212"/>
      <c r="I122" s="3213"/>
    </row>
    <row r="123" spans="1:11" ht="18.75" customHeight="1">
      <c r="A123" s="3083" t="s">
        <v>2318</v>
      </c>
      <c r="B123" s="3083"/>
      <c r="C123" s="3083"/>
      <c r="D123" s="3183" t="str">
        <f ca="1">NUMBERSTRING(INT(D122*10000),2)&amp;"元整"</f>
        <v>壹仟捌佰陆拾捌万元整</v>
      </c>
      <c r="E123" s="3184"/>
      <c r="F123" s="3184"/>
      <c r="G123" s="3184"/>
      <c r="H123" s="3184"/>
      <c r="I123" s="3185"/>
    </row>
    <row r="124" spans="1:11" ht="18.75" customHeight="1">
      <c r="A124" s="3174" t="str">
        <f>IF(项目基本情况!B9="房地产市场价值","",MID(E109,3,LEN(E109)-2))</f>
        <v/>
      </c>
      <c r="B124" s="3174"/>
      <c r="C124" s="3174"/>
      <c r="D124" s="3211" t="str">
        <f>H109</f>
        <v>——</v>
      </c>
      <c r="E124" s="3212"/>
      <c r="F124" s="3212"/>
      <c r="G124" s="3212"/>
      <c r="H124" s="3212"/>
      <c r="I124" s="3213"/>
    </row>
    <row r="125" spans="1:11" ht="18.75" customHeight="1">
      <c r="A125" s="3083" t="s">
        <v>2318</v>
      </c>
      <c r="B125" s="3083"/>
      <c r="C125" s="3083"/>
      <c r="D125" s="3183" t="e">
        <f>NUMBERSTRING(INT(D124*10000),2)&amp;"元整"</f>
        <v>#VALUE!</v>
      </c>
      <c r="E125" s="3184"/>
      <c r="F125" s="3184"/>
      <c r="G125" s="3184"/>
      <c r="H125" s="3184"/>
      <c r="I125" s="3185"/>
    </row>
    <row r="126" spans="1:11" ht="18.75" customHeight="1">
      <c r="A126" s="3174" t="str">
        <f>IF(项目基本情况!B9="房地产市场价值","",MID(E111,3,LEN(E111)-2))</f>
        <v/>
      </c>
      <c r="B126" s="3174"/>
      <c r="C126" s="3174"/>
      <c r="D126" s="3211" t="str">
        <f>H111</f>
        <v>——</v>
      </c>
      <c r="E126" s="3212"/>
      <c r="F126" s="3212"/>
      <c r="G126" s="3212"/>
      <c r="H126" s="3212"/>
      <c r="I126" s="3213"/>
    </row>
    <row r="127" spans="1:11" ht="18.75" customHeight="1">
      <c r="A127" s="3083" t="s">
        <v>2318</v>
      </c>
      <c r="B127" s="3083"/>
      <c r="C127" s="3083"/>
      <c r="D127" s="3183" t="e">
        <f>NUMBERSTRING(INT(D126*10000),2)&amp;"元整"</f>
        <v>#VALUE!</v>
      </c>
      <c r="E127" s="3184"/>
      <c r="F127" s="3184"/>
      <c r="G127" s="3184"/>
      <c r="H127" s="3184"/>
      <c r="I127" s="3185"/>
    </row>
    <row r="128" spans="1:11" ht="21.75" customHeight="1">
      <c r="A128" s="3193" t="s">
        <v>2319</v>
      </c>
      <c r="B128" s="3193"/>
      <c r="C128" s="3193"/>
      <c r="D128" s="3193"/>
      <c r="E128" s="3193"/>
      <c r="F128" s="3193"/>
      <c r="G128" s="3193"/>
      <c r="H128" s="3193"/>
      <c r="I128" s="3193"/>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7</v>
      </c>
    </row>
    <row r="2" spans="1:9" s="244" customFormat="1" ht="18" customHeight="1">
      <c r="A2" s="245" t="s">
        <v>2328</v>
      </c>
      <c r="B2" s="246">
        <f ca="1">IF(D2="——",C52,C52-E2)</f>
        <v>149</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f ca="1">ROUND(B2*10000/(IF(B1="",'数据-汇总表'!E3,INDIRECT("'数据-取费表'!k"&amp;$G$1))),0)</f>
        <v>4688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3"/>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4"/>
      <c r="H9" s="1390"/>
      <c r="I9" s="2555" t="s">
        <v>2345</v>
      </c>
    </row>
    <row r="10" spans="1:9" s="258" customFormat="1" ht="13.5" customHeight="1">
      <c r="A10" s="950" t="s">
        <v>801</v>
      </c>
      <c r="B10" s="268" t="s">
        <v>2346</v>
      </c>
      <c r="C10" s="269">
        <f ca="1">ROUND(D10*E10/10000,0)</f>
        <v>6</v>
      </c>
      <c r="D10" s="1032">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6</v>
      </c>
      <c r="D19" s="1036">
        <f ca="1">D9+D10</f>
        <v>317.81</v>
      </c>
      <c r="E19" s="255">
        <f>'数据-取费表'!B31</f>
        <v>200</v>
      </c>
      <c r="F19" s="275"/>
      <c r="G19" s="2553"/>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1</v>
      </c>
      <c r="D24" s="282"/>
      <c r="E24" s="282"/>
      <c r="F24" s="283"/>
      <c r="G24" s="284" t="s">
        <v>2373</v>
      </c>
    </row>
    <row r="25" spans="1:7" s="258" customFormat="1" ht="24">
      <c r="A25" s="951" t="s">
        <v>2374</v>
      </c>
      <c r="B25" s="259" t="s">
        <v>2375</v>
      </c>
      <c r="C25" s="1355">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2</v>
      </c>
      <c r="D27" s="279">
        <f ca="1">C29</f>
        <v>5.0000000000000001E-3</v>
      </c>
      <c r="E27" s="280" t="s">
        <v>2380</v>
      </c>
      <c r="F27" s="290">
        <f ca="1">IF(B1="",'数据-取费表'!Q16,INDIRECT("'数据-取费表'!q"&amp;$G$1))</f>
        <v>0.25</v>
      </c>
      <c r="G27" s="291" t="s">
        <v>2381</v>
      </c>
    </row>
    <row r="28" spans="1:7" s="258" customFormat="1" ht="13.5" customHeight="1">
      <c r="A28" s="951" t="s">
        <v>791</v>
      </c>
      <c r="B28" s="292" t="s">
        <v>2382</v>
      </c>
      <c r="C28" s="293">
        <f ca="1">ROUND((C5+C19+C20)*F27*'数据-取费表'!B21/'数据-取费表'!B20,0)</f>
        <v>2</v>
      </c>
      <c r="D28" s="279"/>
      <c r="E28" s="280"/>
      <c r="F28" s="290"/>
      <c r="G28" s="291"/>
    </row>
    <row r="29" spans="1:7" s="258" customFormat="1" ht="13.5" customHeight="1">
      <c r="A29" s="951"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51" t="s">
        <v>796</v>
      </c>
      <c r="B35" s="259" t="s">
        <v>2393</v>
      </c>
      <c r="C35" s="264">
        <f ca="1">ROUND(C34*F35,0)</f>
        <v>3</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6</v>
      </c>
      <c r="D37" s="261">
        <f ca="1">D19</f>
        <v>317.81</v>
      </c>
      <c r="E37" s="293">
        <f>'数据-取费表'!B35</f>
        <v>200</v>
      </c>
      <c r="F37" s="303"/>
      <c r="G37" s="305" t="s">
        <v>2398</v>
      </c>
    </row>
    <row r="38" spans="1:7" ht="13.5" customHeight="1">
      <c r="A38" s="951"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v>
      </c>
      <c r="D42" s="282"/>
      <c r="E42" s="282"/>
      <c r="F42" s="283"/>
      <c r="G42" s="3225" t="s">
        <v>2410</v>
      </c>
    </row>
    <row r="43" spans="1:7" ht="13.5" customHeight="1">
      <c r="A43" s="951" t="s">
        <v>792</v>
      </c>
      <c r="B43" s="259" t="s">
        <v>2411</v>
      </c>
      <c r="C43" s="282">
        <f ca="1">ROUND(IF('数据-取费表'!B22&lt;=1,C39*F22*'数据-取费表'!B21/2,C39*(POWER((1+F22),'数据-取费表'!B21/2)-1)),0)</f>
        <v>0</v>
      </c>
      <c r="D43" s="282"/>
      <c r="E43" s="282"/>
      <c r="F43" s="283"/>
      <c r="G43" s="3226"/>
    </row>
    <row r="44" spans="1:7" ht="13.5" customHeight="1">
      <c r="A44" s="951" t="s">
        <v>793</v>
      </c>
      <c r="B44" s="259" t="s">
        <v>2412</v>
      </c>
      <c r="C44" s="282">
        <f ca="1">ROUND(IF('数据-取费表'!B22&lt;=1,C40*F22*'数据-取费表'!B21/2,C40*(POWER((1+F22),'数据-取费表'!B21/2)-1)),4)</f>
        <v>1E-3</v>
      </c>
      <c r="D44" s="282"/>
      <c r="E44" s="282"/>
      <c r="F44" s="283"/>
      <c r="G44" s="3227"/>
    </row>
    <row r="45" spans="1:7" s="258" customFormat="1" ht="13.5" customHeight="1">
      <c r="A45" s="299" t="s">
        <v>2413</v>
      </c>
      <c r="B45" s="288" t="s">
        <v>2379</v>
      </c>
      <c r="C45" s="289">
        <f ca="1">C46</f>
        <v>27</v>
      </c>
      <c r="D45" s="279">
        <f ca="1">C47</f>
        <v>5.0000000000000001E-3</v>
      </c>
      <c r="E45" s="280" t="s">
        <v>2405</v>
      </c>
      <c r="F45" s="290"/>
      <c r="G45" s="291" t="s">
        <v>2414</v>
      </c>
    </row>
    <row r="46" spans="1:7" s="258" customFormat="1" ht="13.5" customHeight="1">
      <c r="A46" s="951" t="s">
        <v>791</v>
      </c>
      <c r="B46" s="292" t="s">
        <v>2415</v>
      </c>
      <c r="C46" s="293">
        <f ca="1">ROUND((C33+C39)*F27,0)</f>
        <v>27</v>
      </c>
      <c r="D46" s="307"/>
      <c r="E46" s="280"/>
      <c r="F46" s="290"/>
      <c r="G46" s="291"/>
    </row>
    <row r="47" spans="1:7" s="258" customFormat="1" ht="13.5" customHeight="1">
      <c r="A47" s="951" t="s">
        <v>792</v>
      </c>
      <c r="B47" s="292" t="s">
        <v>2416</v>
      </c>
      <c r="C47" s="282">
        <f ca="1">ROUND(C40*F27,4)</f>
        <v>5.0000000000000001E-3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151</v>
      </c>
      <c r="D49" s="276"/>
      <c r="E49" s="276"/>
      <c r="F49" s="308"/>
      <c r="G49" s="278" t="s">
        <v>2420</v>
      </c>
    </row>
    <row r="50" spans="1:7" s="302" customFormat="1" ht="24">
      <c r="A50" s="299" t="s">
        <v>2421</v>
      </c>
      <c r="B50" s="254" t="s">
        <v>2422</v>
      </c>
      <c r="C50" s="276"/>
      <c r="D50" s="276"/>
      <c r="E50" s="276"/>
      <c r="F50" s="308">
        <f>IF('数据-取费表'!B24=0,'数据-取费表'!N16,1)</f>
        <v>0.92</v>
      </c>
      <c r="G50" s="291" t="s">
        <v>2423</v>
      </c>
    </row>
    <row r="51" spans="1:7" ht="16.5" customHeight="1">
      <c r="A51" s="299" t="s">
        <v>2424</v>
      </c>
      <c r="B51" s="254" t="s">
        <v>2425</v>
      </c>
      <c r="C51" s="276">
        <f ca="1">ROUND(C49*F50,0)</f>
        <v>139</v>
      </c>
      <c r="D51" s="276"/>
      <c r="E51" s="276"/>
      <c r="F51" s="308"/>
      <c r="G51" s="278" t="s">
        <v>2426</v>
      </c>
    </row>
    <row r="52" spans="1:7" s="252" customFormat="1" ht="16.5" thickBot="1">
      <c r="A52" s="309" t="s">
        <v>2427</v>
      </c>
      <c r="B52" s="310"/>
      <c r="C52" s="311">
        <f ca="1">C31+C51</f>
        <v>149</v>
      </c>
      <c r="D52" s="310"/>
      <c r="E52" s="310"/>
      <c r="F52" s="310"/>
      <c r="G52" s="312"/>
    </row>
    <row r="55" spans="1:7" ht="15">
      <c r="B55" s="314" t="s">
        <v>2428</v>
      </c>
      <c r="C55" s="315"/>
    </row>
    <row r="56" spans="1:7">
      <c r="B56" s="317" t="s">
        <v>1508</v>
      </c>
      <c r="C56" s="319">
        <f ca="1">1-C57</f>
        <v>6.6999999999999948E-2</v>
      </c>
    </row>
    <row r="57" spans="1:7">
      <c r="B57" s="317" t="s">
        <v>1509</v>
      </c>
      <c r="C57" s="318">
        <f ca="1">ROUND(C51/C52,3)</f>
        <v>0.93300000000000005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9" t="str">
        <f>项目基本情况!B1</f>
        <v>北京市房地产抵押价值预评估</v>
      </c>
      <c r="C37" s="3039"/>
      <c r="D37" s="3039"/>
      <c r="E37" s="3039"/>
      <c r="F37" s="3039"/>
      <c r="G37" s="3039"/>
      <c r="H37" s="3039"/>
      <c r="I37" s="303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159</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5003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63562</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63562</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63562</v>
      </c>
      <c r="D10" s="1032">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63562</v>
      </c>
      <c r="D19" s="1036">
        <f ca="1">D9+D10</f>
        <v>317.81</v>
      </c>
      <c r="E19" s="255">
        <f>'数据-取费表'!B31</f>
        <v>200</v>
      </c>
      <c r="F19" s="275"/>
      <c r="G19" s="2553"/>
    </row>
    <row r="20" spans="1:7" s="258" customFormat="1" ht="13.5" customHeight="1">
      <c r="A20" s="299" t="s">
        <v>2440</v>
      </c>
      <c r="B20" s="254" t="s">
        <v>2441</v>
      </c>
      <c r="C20" s="276">
        <f ca="1">ROUND((C5+C19)*F20,0)</f>
        <v>2542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12485</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6182</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6182</v>
      </c>
      <c r="D24" s="282"/>
      <c r="E24" s="282"/>
      <c r="F24" s="283"/>
      <c r="G24" s="284" t="s">
        <v>2452</v>
      </c>
    </row>
    <row r="25" spans="1:7" s="258" customFormat="1" ht="24">
      <c r="A25" s="951" t="s">
        <v>2342</v>
      </c>
      <c r="B25" s="259" t="s">
        <v>2453</v>
      </c>
      <c r="C25" s="1381">
        <f ca="1">ROUND(IF('数据-取费表'!B22&lt;=1,C20*F22*'数据-取费表'!B22/2,C20*(POWER((1+F22),'数据-取费表'!B22/2)-1)),0)</f>
        <v>121</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32417</v>
      </c>
      <c r="D27" s="279">
        <f ca="1">C29</f>
        <v>5.0000000000000001E-3</v>
      </c>
      <c r="E27" s="280" t="s">
        <v>2380</v>
      </c>
      <c r="F27" s="290">
        <f ca="1">IF(B1="",'数据-取费表'!Q16,INDIRECT("'数据-取费表'!q"&amp;$G$1))</f>
        <v>0.25</v>
      </c>
      <c r="G27" s="291" t="s">
        <v>2381</v>
      </c>
    </row>
    <row r="28" spans="1:7" s="258" customFormat="1" ht="13.5" customHeight="1">
      <c r="A28" s="951" t="s">
        <v>791</v>
      </c>
      <c r="B28" s="292" t="s">
        <v>2382</v>
      </c>
      <c r="C28" s="293">
        <f ca="1">ROUND((C5+C19+C20)*F27,0)</f>
        <v>32417</v>
      </c>
      <c r="D28" s="279"/>
      <c r="E28" s="280"/>
      <c r="F28" s="290"/>
      <c r="G28" s="291"/>
    </row>
    <row r="29" spans="1:7" s="258" customFormat="1" ht="13.5" customHeight="1">
      <c r="A29" s="951"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189604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1059896</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1" t="s">
        <v>796</v>
      </c>
      <c r="B35" s="259" t="s">
        <v>2393</v>
      </c>
      <c r="C35" s="264">
        <f ca="1">ROUND(C34*F35,0)</f>
        <v>28603</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63562</v>
      </c>
      <c r="D37" s="261">
        <f ca="1">D19</f>
        <v>317.81</v>
      </c>
      <c r="E37" s="293">
        <f>'数据-取费表'!B35</f>
        <v>200</v>
      </c>
      <c r="F37" s="303"/>
      <c r="G37" s="305"/>
    </row>
    <row r="38" spans="1:7" ht="13.5" customHeight="1">
      <c r="A38" s="951" t="s">
        <v>799</v>
      </c>
      <c r="B38" s="259" t="s">
        <v>2399</v>
      </c>
      <c r="C38" s="264">
        <f ca="1">ROUND(C34*F38,0)</f>
        <v>14301</v>
      </c>
      <c r="D38" s="264"/>
      <c r="E38" s="264"/>
      <c r="F38" s="303">
        <f>'数据-取费表'!B36</f>
        <v>1.4999999999999999E-2</v>
      </c>
      <c r="G38" s="263" t="s">
        <v>2394</v>
      </c>
    </row>
    <row r="39" spans="1:7" s="258" customFormat="1" ht="13.5" customHeight="1">
      <c r="A39" s="299" t="s">
        <v>2400</v>
      </c>
      <c r="B39" s="254" t="s">
        <v>2401</v>
      </c>
      <c r="C39" s="276">
        <f ca="1">ROUND(C33*F20,0)</f>
        <v>21198</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51352</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50345</v>
      </c>
      <c r="D42" s="282"/>
      <c r="E42" s="282"/>
      <c r="F42" s="283"/>
      <c r="G42" s="3225" t="s">
        <v>2457</v>
      </c>
    </row>
    <row r="43" spans="1:7" ht="13.5" customHeight="1">
      <c r="A43" s="951" t="s">
        <v>792</v>
      </c>
      <c r="B43" s="259" t="s">
        <v>2411</v>
      </c>
      <c r="C43" s="282">
        <f ca="1">ROUND(IF('数据-取费表'!B22&lt;=1,C39*F22*'数据-取费表'!B20/2,C39*(POWER((1+F22),'数据-取费表'!B20/2)-1)),0)</f>
        <v>1007</v>
      </c>
      <c r="D43" s="282"/>
      <c r="E43" s="282"/>
      <c r="F43" s="283"/>
      <c r="G43" s="3226"/>
    </row>
    <row r="44" spans="1:7" ht="13.5" customHeight="1">
      <c r="A44" s="951" t="s">
        <v>793</v>
      </c>
      <c r="B44" s="259" t="s">
        <v>2412</v>
      </c>
      <c r="C44" s="282">
        <f ca="1">ROUND(IF('数据-取费表'!B22&lt;=1,C40*F22*'数据-取费表'!B20/2,C40*(POWER((1+F22),'数据-取费表'!B20/2)-1)),4)</f>
        <v>1E-3</v>
      </c>
      <c r="D44" s="282"/>
      <c r="E44" s="282"/>
      <c r="F44" s="283"/>
      <c r="G44" s="3227"/>
    </row>
    <row r="45" spans="1:7" s="258" customFormat="1" ht="13.5" customHeight="1">
      <c r="A45" s="299" t="s">
        <v>2413</v>
      </c>
      <c r="B45" s="288" t="s">
        <v>2379</v>
      </c>
      <c r="C45" s="289">
        <f ca="1">C46</f>
        <v>270274</v>
      </c>
      <c r="D45" s="279">
        <f ca="1">C47</f>
        <v>5.0000000000000001E-3</v>
      </c>
      <c r="E45" s="280" t="s">
        <v>2405</v>
      </c>
      <c r="F45" s="290"/>
      <c r="G45" s="291" t="s">
        <v>2414</v>
      </c>
    </row>
    <row r="46" spans="1:7" s="258" customFormat="1" ht="13.5" customHeight="1">
      <c r="A46" s="951" t="s">
        <v>791</v>
      </c>
      <c r="B46" s="292" t="s">
        <v>2415</v>
      </c>
      <c r="C46" s="293">
        <f ca="1">ROUND((C33+C39)*F27,0)</f>
        <v>270274</v>
      </c>
      <c r="D46" s="307"/>
      <c r="E46" s="280"/>
      <c r="F46" s="290"/>
      <c r="G46" s="291"/>
    </row>
    <row r="47" spans="1:7" s="258" customFormat="1" ht="13.5" customHeight="1">
      <c r="A47" s="951"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1523536</v>
      </c>
      <c r="D49" s="276"/>
      <c r="E49" s="276"/>
      <c r="F49" s="308"/>
      <c r="G49" s="278" t="s">
        <v>2420</v>
      </c>
    </row>
    <row r="50" spans="1:7" s="302" customFormat="1">
      <c r="A50" s="299" t="s">
        <v>2421</v>
      </c>
      <c r="B50" s="254" t="s">
        <v>2422</v>
      </c>
      <c r="C50" s="276"/>
      <c r="D50" s="276"/>
      <c r="E50" s="276"/>
      <c r="F50" s="308">
        <f>IF('数据-取费表'!B24=0,'数据-取费表'!N16,1)</f>
        <v>0.92</v>
      </c>
      <c r="G50" s="291"/>
    </row>
    <row r="51" spans="1:7" ht="16.5" customHeight="1">
      <c r="A51" s="299" t="s">
        <v>2424</v>
      </c>
      <c r="B51" s="254" t="s">
        <v>2459</v>
      </c>
      <c r="C51" s="276">
        <f ca="1">ROUND(C49*F50,0)</f>
        <v>1401653</v>
      </c>
      <c r="D51" s="276"/>
      <c r="E51" s="276"/>
      <c r="F51" s="308"/>
      <c r="G51" s="278" t="s">
        <v>2426</v>
      </c>
    </row>
    <row r="52" spans="1:7" s="252" customFormat="1" ht="16.5" thickBot="1">
      <c r="A52" s="309" t="s">
        <v>2427</v>
      </c>
      <c r="B52" s="310"/>
      <c r="C52" s="311">
        <f ca="1">C31+C51</f>
        <v>1591257</v>
      </c>
      <c r="D52" s="310"/>
      <c r="E52" s="310"/>
      <c r="F52" s="310"/>
      <c r="G52" s="312"/>
    </row>
    <row r="55" spans="1:7" ht="15">
      <c r="B55" s="314" t="s">
        <v>2428</v>
      </c>
      <c r="C55" s="315"/>
    </row>
    <row r="56" spans="1:7">
      <c r="B56" s="317" t="s">
        <v>1508</v>
      </c>
      <c r="C56" s="319">
        <f ca="1">1-C57</f>
        <v>0.11899999999999999</v>
      </c>
    </row>
    <row r="57" spans="1:7">
      <c r="B57" s="317" t="s">
        <v>1509</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-17</v>
      </c>
      <c r="C2" s="320" t="s">
        <v>2461</v>
      </c>
      <c r="D2" s="320"/>
      <c r="E2" s="320"/>
      <c r="F2" s="320"/>
      <c r="G2" s="320"/>
      <c r="H2" s="320"/>
      <c r="I2" s="320"/>
      <c r="J2" s="320"/>
      <c r="K2" s="320"/>
    </row>
    <row r="3" spans="1:33" ht="18" customHeight="1" thickBot="1">
      <c r="A3" s="247" t="s">
        <v>2330</v>
      </c>
      <c r="B3" s="248">
        <f ca="1">ROUND(B2*10000/IF(C1="",'数据-汇总表'!E3,INDIRECT("'数据-取费表'!K"&amp;$K$1)),0)</f>
        <v>-535</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7" t="s">
        <v>2466</v>
      </c>
      <c r="D5" s="2557" t="s">
        <v>2467</v>
      </c>
      <c r="E5" s="2557" t="s">
        <v>2468</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8</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317.81</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317.81</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6</v>
      </c>
      <c r="D18" s="1033"/>
      <c r="E18" s="24"/>
      <c r="F18" s="976"/>
      <c r="G18" s="2559"/>
      <c r="H18" s="1577"/>
      <c r="I18" s="2560"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6</v>
      </c>
      <c r="D20" s="1033">
        <f ca="1">IF(C1="",'数据-汇总表'!E6,IF(INDIRECT("'数据-取费表'!c"&amp;$K$1)="住宅",INDIRECT("'数据-取费表'!s"&amp;$K$1),INDIRECT("'数据-取费表'!k"&amp;$K$1)+INDIRECT("'数据-取费表'!s"&amp;$K$1)))</f>
        <v>317.81</v>
      </c>
      <c r="E20" s="24">
        <f>'数据-取费表'!B28</f>
        <v>200</v>
      </c>
      <c r="F20" s="976"/>
      <c r="G20" s="15"/>
      <c r="H20" s="981"/>
      <c r="I20" s="981"/>
      <c r="J20" s="981"/>
      <c r="K20" s="982"/>
    </row>
    <row r="21" spans="1:33" s="975" customFormat="1" ht="13.5" customHeight="1">
      <c r="A21" s="961" t="s">
        <v>802</v>
      </c>
      <c r="B21" s="985" t="s">
        <v>2497</v>
      </c>
      <c r="C21" s="986">
        <f ca="1">C16+C17+C18</f>
        <v>14</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2510</v>
      </c>
      <c r="B28" s="2562" t="s">
        <v>2511</v>
      </c>
      <c r="C28" s="331">
        <f ca="1">C30</f>
        <v>4</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4</v>
      </c>
      <c r="D30" s="328"/>
      <c r="E30" s="329"/>
      <c r="F30" s="334"/>
      <c r="G30" s="140"/>
      <c r="H30" s="979"/>
      <c r="I30" s="979"/>
      <c r="J30" s="979"/>
      <c r="K30" s="980"/>
    </row>
    <row r="31" spans="1:33" s="975" customFormat="1" ht="13.5" customHeight="1" thickBot="1">
      <c r="A31" s="2563"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-17</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230" t="s">
        <v>1398</v>
      </c>
      <c r="C6" s="1296">
        <f ca="1">ROUND(F6*F8*F7*(1-F9)/10000,0)</f>
        <v>0</v>
      </c>
      <c r="D6" s="164" t="s">
        <v>3031</v>
      </c>
      <c r="E6" s="347" t="s">
        <v>1400</v>
      </c>
      <c r="F6" s="348">
        <f ca="1">INDIRECT("'数据-取费表'!u"&amp;$G$1)</f>
        <v>0</v>
      </c>
      <c r="G6" s="1851"/>
      <c r="H6" s="1291" t="s">
        <v>1032</v>
      </c>
      <c r="I6" s="3230" t="s">
        <v>1398</v>
      </c>
      <c r="J6" s="346">
        <f ca="1">ROUND(M6*M8*M7*(1-M9)/10000,0)</f>
        <v>0</v>
      </c>
      <c r="K6" s="164" t="s">
        <v>3030</v>
      </c>
      <c r="L6" s="347" t="s">
        <v>1400</v>
      </c>
      <c r="M6" s="348">
        <f ca="1">INDIRECT("'数据-取费表'!z"&amp;$G$1)</f>
        <v>0</v>
      </c>
    </row>
    <row r="7" spans="1:37" ht="18" customHeight="1">
      <c r="A7" s="1295"/>
      <c r="B7" s="3231"/>
      <c r="C7" s="1297"/>
      <c r="D7" s="352"/>
      <c r="E7" s="1298" t="s">
        <v>1401</v>
      </c>
      <c r="F7" s="348">
        <f ca="1">IF(INDIRECT("'数据-取费表'!ah"&amp;$G$1)="",INDIRECT("'数据-取费表'!k"&amp;$G$1),INDIRECT("'数据-取费表'!ah"&amp;$G$1))</f>
        <v>0</v>
      </c>
      <c r="G7" s="1851"/>
      <c r="H7" s="349"/>
      <c r="I7" s="3231"/>
      <c r="J7" s="351"/>
      <c r="K7" s="352"/>
      <c r="L7" s="347" t="s">
        <v>1401</v>
      </c>
      <c r="M7" s="348">
        <f ca="1">F7</f>
        <v>0</v>
      </c>
    </row>
    <row r="8" spans="1:37" ht="18" customHeight="1">
      <c r="A8" s="349"/>
      <c r="B8" s="3231"/>
      <c r="C8" s="351"/>
      <c r="D8" s="352"/>
      <c r="E8" s="347" t="s">
        <v>1402</v>
      </c>
      <c r="F8" s="348">
        <f ca="1">INDIRECT("'数据-取费表'!ai"&amp;$G$1)</f>
        <v>0</v>
      </c>
      <c r="G8" s="1851"/>
      <c r="H8" s="349"/>
      <c r="I8" s="3231"/>
      <c r="J8" s="351"/>
      <c r="K8" s="352"/>
      <c r="L8" s="347" t="s">
        <v>1402</v>
      </c>
      <c r="M8" s="348">
        <f ca="1">INDIRECT("'数据-取费表'!ai"&amp;$G$1)</f>
        <v>0</v>
      </c>
    </row>
    <row r="9" spans="1:37" ht="18" customHeight="1">
      <c r="A9" s="349"/>
      <c r="B9" s="3232"/>
      <c r="C9" s="351"/>
      <c r="D9" s="352"/>
      <c r="E9" s="347" t="s">
        <v>1403</v>
      </c>
      <c r="F9" s="357">
        <f ca="1">INDIRECT("'数据-取费表'!w"&amp;$G$1)</f>
        <v>0</v>
      </c>
      <c r="G9" s="1851"/>
      <c r="H9" s="349"/>
      <c r="I9" s="3232"/>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12</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75">
        <f ca="1">IF(M47="住宅",IF(D1="——",MAX(J51,L48),MAX(J51,L48-'数据-取费表'!B24)),IF(D1="——",MIN(J51,L48),MIN(J51,L48-'数据-取费表'!B24)))</f>
        <v>0</v>
      </c>
      <c r="K53" s="3228" t="s">
        <v>1543</v>
      </c>
      <c r="L53" s="3229"/>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12</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31" sqref="M3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t="s">
        <v>27</v>
      </c>
      <c r="E1" s="1630"/>
      <c r="F1" s="2587" t="s">
        <v>3110</v>
      </c>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f>IF(C2="——",ROUND(C50*D3/10000,0),ROUND(C50*D3/10000,0)-D2)</f>
        <v>2053</v>
      </c>
      <c r="C2" s="2589" t="s">
        <v>70</v>
      </c>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64612</v>
      </c>
      <c r="C3" s="400" t="s">
        <v>2645</v>
      </c>
      <c r="D3" s="399">
        <f>IF(D1="",'数据-汇总表'!E3,SUMIF('数据-汇总表'!$C19:$C33,D1,'数据-汇总表'!$E19:$E33))</f>
        <v>317.81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61" t="s">
        <v>2648</v>
      </c>
      <c r="S4" s="3262"/>
      <c r="T4" s="3261" t="s">
        <v>2649</v>
      </c>
      <c r="U4" s="3262"/>
      <c r="V4" s="3267" t="s">
        <v>2650</v>
      </c>
      <c r="W4" s="3267"/>
      <c r="X4" s="2673"/>
      <c r="Y4" s="3261" t="s">
        <v>2652</v>
      </c>
      <c r="Z4" s="3262"/>
      <c r="AA4" s="3280" t="s">
        <v>2648</v>
      </c>
      <c r="AB4" s="3280" t="s">
        <v>2649</v>
      </c>
      <c r="AC4" s="3248" t="s">
        <v>2650</v>
      </c>
    </row>
    <row r="5" spans="1:29" ht="15">
      <c r="A5" s="404"/>
      <c r="B5" s="405"/>
      <c r="C5" s="3277" t="s">
        <v>2543</v>
      </c>
      <c r="D5" s="3272"/>
      <c r="E5" s="3283" t="s">
        <v>3127</v>
      </c>
      <c r="F5" s="3284"/>
      <c r="G5" s="3271" t="s">
        <v>3128</v>
      </c>
      <c r="H5" s="3272"/>
      <c r="I5" s="3271" t="s">
        <v>3129</v>
      </c>
      <c r="J5" s="3272"/>
      <c r="K5" s="610"/>
      <c r="L5" s="1130"/>
      <c r="M5" s="1131"/>
      <c r="N5" s="1131"/>
      <c r="O5" s="1131"/>
      <c r="P5" s="3257"/>
      <c r="Q5" s="3258"/>
      <c r="R5" s="3263"/>
      <c r="S5" s="3264"/>
      <c r="T5" s="3263"/>
      <c r="U5" s="3264"/>
      <c r="V5" s="3268"/>
      <c r="W5" s="3268"/>
      <c r="X5" s="1813"/>
      <c r="Y5" s="3263"/>
      <c r="Z5" s="3264"/>
      <c r="AA5" s="3281"/>
      <c r="AB5" s="3281"/>
      <c r="AC5" s="3249"/>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259"/>
      <c r="Q6" s="3260"/>
      <c r="R6" s="3263"/>
      <c r="S6" s="3264"/>
      <c r="T6" s="3265"/>
      <c r="U6" s="3266"/>
      <c r="V6" s="3268"/>
      <c r="W6" s="3268"/>
      <c r="X6" s="1813"/>
      <c r="Y6" s="3265"/>
      <c r="Z6" s="3266"/>
      <c r="AA6" s="3282"/>
      <c r="AB6" s="3282"/>
      <c r="AC6" s="3250"/>
    </row>
    <row r="7" spans="1:29" s="117" customFormat="1" ht="15.75" thickBot="1">
      <c r="A7" s="408" t="s">
        <v>2549</v>
      </c>
      <c r="B7" s="409"/>
      <c r="C7" s="410">
        <f>'数据-取费表'!B2</f>
        <v>43707</v>
      </c>
      <c r="D7" s="411">
        <v>100</v>
      </c>
      <c r="E7" s="412">
        <v>43678</v>
      </c>
      <c r="F7" s="413">
        <f>SUMIF(59:59,YEAR(E7)&amp;"-"&amp;MONTH(E7),60:60)</f>
        <v>100</v>
      </c>
      <c r="G7" s="412">
        <v>43678</v>
      </c>
      <c r="H7" s="411">
        <f>SUMIF(59:59,YEAR(G7)&amp;"-"&amp;MONTH(G7),60:60)</f>
        <v>100</v>
      </c>
      <c r="I7" s="412">
        <v>43678</v>
      </c>
      <c r="J7" s="411">
        <f>SUMIF(59:59,YEAR(I7)&amp;"-"&amp;MONTH(I7),60:60)</f>
        <v>100</v>
      </c>
      <c r="K7" s="611"/>
      <c r="L7" s="1132"/>
      <c r="M7" s="1133"/>
      <c r="N7" s="1133"/>
      <c r="O7" s="1133"/>
      <c r="P7" s="3273" t="s">
        <v>2550</v>
      </c>
      <c r="Q7" s="3276"/>
      <c r="R7" s="770" t="s">
        <v>17</v>
      </c>
      <c r="S7" s="771">
        <f t="shared" ref="S7:S15" si="0">F7</f>
        <v>100</v>
      </c>
      <c r="T7" s="770" t="s">
        <v>17</v>
      </c>
      <c r="U7" s="771">
        <f t="shared" ref="U7:U15" si="1">H7</f>
        <v>100</v>
      </c>
      <c r="V7" s="770" t="s">
        <v>17</v>
      </c>
      <c r="W7" s="771">
        <f t="shared" ref="W7:W15" si="2">J7</f>
        <v>100</v>
      </c>
      <c r="X7" s="772"/>
      <c r="Y7" s="3275" t="s">
        <v>2550</v>
      </c>
      <c r="Z7" s="3274"/>
      <c r="AA7" s="773">
        <f>D7/F7</f>
        <v>1</v>
      </c>
      <c r="AB7" s="773">
        <f>D7/H7</f>
        <v>1</v>
      </c>
      <c r="AC7" s="2674">
        <f>D7/J7</f>
        <v>1</v>
      </c>
    </row>
    <row r="8" spans="1:29" s="117" customFormat="1" ht="15.75" thickBot="1">
      <c r="A8" s="408" t="s">
        <v>2551</v>
      </c>
      <c r="B8" s="409"/>
      <c r="C8" s="414" t="s">
        <v>2653</v>
      </c>
      <c r="D8" s="411">
        <v>100</v>
      </c>
      <c r="E8" s="3024" t="s">
        <v>3130</v>
      </c>
      <c r="F8" s="413">
        <f>SUMIF(62:62,E8,63:63)-SUMIF(62:62,C8,63:63)+100</f>
        <v>100</v>
      </c>
      <c r="G8" s="3024" t="s">
        <v>3130</v>
      </c>
      <c r="H8" s="411">
        <f>SUMIF(62:62,G8,63:63)-SUMIF(62:62,C8,63:63)+100</f>
        <v>100</v>
      </c>
      <c r="I8" s="3024" t="s">
        <v>3131</v>
      </c>
      <c r="J8" s="411">
        <f>SUMIF(62:62,I8,63:63)-SUMIF(62:62,C8,63:63)+100</f>
        <v>100</v>
      </c>
      <c r="K8" s="611"/>
      <c r="L8" s="1132"/>
      <c r="M8" s="1133"/>
      <c r="N8" s="1133"/>
      <c r="O8" s="1133"/>
      <c r="P8" s="3273" t="s">
        <v>2553</v>
      </c>
      <c r="Q8" s="3274"/>
      <c r="R8" s="770" t="s">
        <v>17</v>
      </c>
      <c r="S8" s="771">
        <f t="shared" si="0"/>
        <v>100</v>
      </c>
      <c r="T8" s="770" t="s">
        <v>17</v>
      </c>
      <c r="U8" s="771">
        <f t="shared" si="1"/>
        <v>100</v>
      </c>
      <c r="V8" s="770" t="s">
        <v>17</v>
      </c>
      <c r="W8" s="771">
        <f t="shared" si="2"/>
        <v>100</v>
      </c>
      <c r="X8" s="772"/>
      <c r="Y8" s="3275" t="s">
        <v>2553</v>
      </c>
      <c r="Z8" s="3274"/>
      <c r="AA8" s="773">
        <f t="shared" ref="AA8:AA47" si="3">D8/F8</f>
        <v>1</v>
      </c>
      <c r="AB8" s="773">
        <f t="shared" ref="AB8:AB47" si="4">D8/H8</f>
        <v>1</v>
      </c>
      <c r="AC8" s="2674">
        <f t="shared" ref="AC8:AC47" si="5">D8/J8</f>
        <v>1</v>
      </c>
    </row>
    <row r="9" spans="1:29" s="117" customFormat="1">
      <c r="A9" s="415" t="s">
        <v>2554</v>
      </c>
      <c r="B9" s="71" t="s">
        <v>2555</v>
      </c>
      <c r="C9" s="3025" t="s">
        <v>3132</v>
      </c>
      <c r="D9" s="135">
        <v>100</v>
      </c>
      <c r="E9" s="3026" t="s">
        <v>3132</v>
      </c>
      <c r="F9" s="135">
        <f>SUMIF(64:64,E9,65:65)-SUMIF(64:64,C9,65:65)+100</f>
        <v>100</v>
      </c>
      <c r="G9" s="3027" t="s">
        <v>3132</v>
      </c>
      <c r="H9" s="135">
        <f>SUMIF(64:64,G9,65:65)-SUMIF(64:64,C9,65:65)+100</f>
        <v>100</v>
      </c>
      <c r="I9" s="3027" t="s">
        <v>3132</v>
      </c>
      <c r="J9" s="135">
        <f>SUMIF(64:64,I9,65:65)-SUMIF(64:64,C9,65:65)+100</f>
        <v>100</v>
      </c>
      <c r="K9" s="611"/>
      <c r="L9" s="1132"/>
      <c r="M9" s="1133"/>
      <c r="N9" s="1133"/>
      <c r="O9" s="1133"/>
      <c r="P9" s="3233"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2674">
        <f t="shared" si="5"/>
        <v>1</v>
      </c>
    </row>
    <row r="10" spans="1:29" s="427" customFormat="1" ht="27">
      <c r="A10" s="421"/>
      <c r="B10" s="422" t="s">
        <v>2558</v>
      </c>
      <c r="C10" s="423" t="s">
        <v>3133</v>
      </c>
      <c r="D10" s="136">
        <v>100</v>
      </c>
      <c r="E10" s="423" t="s">
        <v>3133</v>
      </c>
      <c r="F10" s="136">
        <f>SUMIF(66:66,E10,67:67)-SUMIF(66:66,C10,67:67)+100</f>
        <v>100</v>
      </c>
      <c r="G10" s="424" t="s">
        <v>3133</v>
      </c>
      <c r="H10" s="136">
        <f>SUMIF(66:66,G10,67:67)-SUMIF(66:66,C10,67:67)+100</f>
        <v>100</v>
      </c>
      <c r="I10" s="423" t="s">
        <v>3133</v>
      </c>
      <c r="J10" s="136">
        <f>SUMIF(66:66,I10,67:67)-SUMIF(66:66,C10,67:67)+100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2674">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33"/>
      <c r="Q11" s="1795" t="str">
        <f t="shared" si="6"/>
        <v>容积率</v>
      </c>
      <c r="R11" s="770" t="s">
        <v>17</v>
      </c>
      <c r="S11" s="771">
        <f t="shared" si="0"/>
        <v>100</v>
      </c>
      <c r="T11" s="770" t="s">
        <v>17</v>
      </c>
      <c r="U11" s="771">
        <f t="shared" si="1"/>
        <v>100</v>
      </c>
      <c r="V11" s="770" t="s">
        <v>17</v>
      </c>
      <c r="W11" s="771">
        <f t="shared" si="2"/>
        <v>100</v>
      </c>
      <c r="X11" s="772"/>
      <c r="Y11" s="3083"/>
      <c r="Z11" s="55"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2561</v>
      </c>
      <c r="Q15" s="1810" t="str">
        <f t="shared" si="6"/>
        <v>办公集聚程度</v>
      </c>
      <c r="R15" s="774" t="s">
        <v>17</v>
      </c>
      <c r="S15" s="775">
        <f t="shared" si="0"/>
        <v>100</v>
      </c>
      <c r="T15" s="774" t="s">
        <v>17</v>
      </c>
      <c r="U15" s="775">
        <f t="shared" si="1"/>
        <v>100</v>
      </c>
      <c r="V15" s="774" t="s">
        <v>17</v>
      </c>
      <c r="W15" s="775">
        <f t="shared" si="2"/>
        <v>100</v>
      </c>
      <c r="X15" s="1813"/>
      <c r="Y15" s="3241" t="s">
        <v>2561</v>
      </c>
      <c r="Z15" s="1814" t="str">
        <f t="shared" si="7"/>
        <v>办公集聚程度</v>
      </c>
      <c r="AA15" s="1811">
        <f t="shared" si="3"/>
        <v>1</v>
      </c>
      <c r="AB15" s="1811">
        <f t="shared" si="4"/>
        <v>1</v>
      </c>
      <c r="AC15" s="2677">
        <f t="shared" si="5"/>
        <v>1</v>
      </c>
    </row>
    <row r="16" spans="1:29" ht="15">
      <c r="A16" s="428"/>
      <c r="B16" s="630"/>
      <c r="C16" s="3028" t="s">
        <v>3134</v>
      </c>
      <c r="D16" s="448"/>
      <c r="E16" s="3029" t="s">
        <v>3134</v>
      </c>
      <c r="F16" s="448"/>
      <c r="G16" s="3028" t="s">
        <v>3134</v>
      </c>
      <c r="H16" s="450"/>
      <c r="I16" s="3029" t="s">
        <v>3134</v>
      </c>
      <c r="J16" s="448"/>
      <c r="K16" s="615"/>
      <c r="L16" s="1140"/>
      <c r="M16" s="1131"/>
      <c r="N16" s="1131"/>
      <c r="O16" s="1131"/>
      <c r="P16" s="3240"/>
      <c r="Q16" s="1810"/>
      <c r="R16" s="774"/>
      <c r="S16" s="775"/>
      <c r="T16" s="774"/>
      <c r="U16" s="775"/>
      <c r="V16" s="774"/>
      <c r="W16" s="775"/>
      <c r="X16" s="1813"/>
      <c r="Y16" s="3242"/>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2677">
        <f t="shared" si="5"/>
        <v>1</v>
      </c>
    </row>
    <row r="18" spans="1:29" ht="15">
      <c r="A18" s="428"/>
      <c r="B18" s="632"/>
      <c r="C18" s="3030" t="s">
        <v>3134</v>
      </c>
      <c r="D18" s="450"/>
      <c r="E18" s="3031" t="s">
        <v>3134</v>
      </c>
      <c r="F18" s="450"/>
      <c r="G18" s="3032" t="s">
        <v>3134</v>
      </c>
      <c r="H18" s="448"/>
      <c r="I18" s="3032" t="s">
        <v>3134</v>
      </c>
      <c r="J18" s="448"/>
      <c r="K18" s="615"/>
      <c r="L18" s="1140"/>
      <c r="M18" s="1131"/>
      <c r="N18" s="1131"/>
      <c r="O18" s="1131"/>
      <c r="P18" s="3240"/>
      <c r="Q18" s="1810"/>
      <c r="R18" s="774"/>
      <c r="S18" s="775"/>
      <c r="T18" s="774"/>
      <c r="U18" s="775"/>
      <c r="V18" s="774"/>
      <c r="W18" s="775"/>
      <c r="X18" s="1813"/>
      <c r="Y18" s="3242"/>
      <c r="Z18" s="1814"/>
      <c r="AA18" s="1811">
        <v>1</v>
      </c>
      <c r="AB18" s="181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2677">
        <f t="shared" si="5"/>
        <v>1</v>
      </c>
    </row>
    <row r="20" spans="1:29" ht="15">
      <c r="A20" s="428"/>
      <c r="B20" s="632"/>
      <c r="C20" s="3028" t="s">
        <v>3134</v>
      </c>
      <c r="D20" s="448"/>
      <c r="E20" s="3033" t="s">
        <v>3134</v>
      </c>
      <c r="F20" s="448"/>
      <c r="G20" s="3034" t="s">
        <v>3134</v>
      </c>
      <c r="H20" s="448"/>
      <c r="I20" s="3034" t="s">
        <v>3134</v>
      </c>
      <c r="J20" s="448"/>
      <c r="K20" s="615"/>
      <c r="L20" s="1140"/>
      <c r="M20" s="1131"/>
      <c r="N20" s="1131"/>
      <c r="O20" s="1131"/>
      <c r="P20" s="3240"/>
      <c r="Q20" s="1810"/>
      <c r="R20" s="774"/>
      <c r="S20" s="775"/>
      <c r="T20" s="774"/>
      <c r="U20" s="775"/>
      <c r="V20" s="774"/>
      <c r="W20" s="775"/>
      <c r="X20" s="1813"/>
      <c r="Y20" s="3242"/>
      <c r="Z20" s="1814"/>
      <c r="AA20" s="1811">
        <v>1</v>
      </c>
      <c r="AB20" s="181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2677">
        <f t="shared" ref="AC21" si="10">D21/J21</f>
        <v>1</v>
      </c>
    </row>
    <row r="22" spans="1:29" ht="15">
      <c r="A22" s="428"/>
      <c r="B22" s="633"/>
      <c r="C22" s="3030" t="s">
        <v>3135</v>
      </c>
      <c r="D22" s="448"/>
      <c r="E22" s="3029" t="s">
        <v>3136</v>
      </c>
      <c r="F22" s="448"/>
      <c r="G22" s="3028" t="s">
        <v>3136</v>
      </c>
      <c r="H22" s="448"/>
      <c r="I22" s="3028" t="s">
        <v>3135</v>
      </c>
      <c r="J22" s="448"/>
      <c r="K22" s="1383"/>
      <c r="L22" s="1140"/>
      <c r="M22" s="1131"/>
      <c r="N22" s="1131"/>
      <c r="O22" s="1131"/>
      <c r="P22" s="3240"/>
      <c r="Q22" s="1810"/>
      <c r="R22" s="774"/>
      <c r="S22" s="775"/>
      <c r="T22" s="774"/>
      <c r="U22" s="775"/>
      <c r="V22" s="774"/>
      <c r="W22" s="775"/>
      <c r="X22" s="1813"/>
      <c r="Y22" s="3242"/>
      <c r="Z22" s="1814"/>
      <c r="AA22" s="1811">
        <v>1</v>
      </c>
      <c r="AB22" s="181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1810" t="str">
        <f>B23</f>
        <v>环境质量</v>
      </c>
      <c r="R23" s="774" t="s">
        <v>17</v>
      </c>
      <c r="S23" s="775">
        <f>F23</f>
        <v>100</v>
      </c>
      <c r="T23" s="774" t="s">
        <v>17</v>
      </c>
      <c r="U23" s="775">
        <f>H23</f>
        <v>100</v>
      </c>
      <c r="V23" s="774" t="s">
        <v>17</v>
      </c>
      <c r="W23" s="775">
        <f>J23</f>
        <v>100</v>
      </c>
      <c r="X23" s="1813"/>
      <c r="Y23" s="3242"/>
      <c r="Z23" s="1814" t="str">
        <f>Q23</f>
        <v>环境质量</v>
      </c>
      <c r="AA23" s="1811">
        <f t="shared" si="3"/>
        <v>1</v>
      </c>
      <c r="AB23" s="1811">
        <f t="shared" si="4"/>
        <v>1</v>
      </c>
      <c r="AC23" s="2677">
        <f t="shared" si="5"/>
        <v>1</v>
      </c>
    </row>
    <row r="24" spans="1:29" ht="15">
      <c r="A24" s="428"/>
      <c r="B24" s="633"/>
      <c r="C24" s="3028" t="s">
        <v>3134</v>
      </c>
      <c r="D24" s="448"/>
      <c r="E24" s="3033" t="s">
        <v>3134</v>
      </c>
      <c r="F24" s="448"/>
      <c r="G24" s="3034" t="s">
        <v>3137</v>
      </c>
      <c r="H24" s="448"/>
      <c r="I24" s="3034" t="s">
        <v>3134</v>
      </c>
      <c r="J24" s="448"/>
      <c r="K24" s="615"/>
      <c r="L24" s="1140"/>
      <c r="M24" s="1131"/>
      <c r="N24" s="1131"/>
      <c r="O24" s="1131"/>
      <c r="P24" s="3240"/>
      <c r="Q24" s="1810"/>
      <c r="R24" s="774"/>
      <c r="S24" s="775"/>
      <c r="T24" s="774"/>
      <c r="U24" s="775"/>
      <c r="V24" s="774"/>
      <c r="W24" s="775"/>
      <c r="X24" s="1813"/>
      <c r="Y24" s="3242"/>
      <c r="Z24" s="1814"/>
      <c r="AA24" s="1811">
        <v>1</v>
      </c>
      <c r="AB24" s="181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242"/>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40"/>
      <c r="Q26" s="1810"/>
      <c r="R26" s="774"/>
      <c r="S26" s="775"/>
      <c r="T26" s="774"/>
      <c r="U26" s="775"/>
      <c r="V26" s="774"/>
      <c r="W26" s="775"/>
      <c r="X26" s="1813"/>
      <c r="Y26" s="3242"/>
      <c r="Z26" s="1814"/>
      <c r="AA26" s="1811">
        <v>1</v>
      </c>
      <c r="AB26" s="1811">
        <v>1</v>
      </c>
      <c r="AC26" s="2677">
        <v>1</v>
      </c>
    </row>
    <row r="27" spans="1:29" ht="15">
      <c r="A27" s="428"/>
      <c r="B27" s="632" t="s">
        <v>2660</v>
      </c>
      <c r="C27" s="3035" t="s">
        <v>3116</v>
      </c>
      <c r="D27" s="435">
        <v>100</v>
      </c>
      <c r="E27" s="3036" t="s">
        <v>3118</v>
      </c>
      <c r="F27" s="435">
        <f>SUMIF(89:89,E27,90:90)-SUMIF(89:89,C27,90:90)+100</f>
        <v>92</v>
      </c>
      <c r="G27" s="3035" t="s">
        <v>3118</v>
      </c>
      <c r="H27" s="435">
        <f>SUMIF(89:89,G27,90:90)-SUMIF(89:89,C27,90:90)+100</f>
        <v>92</v>
      </c>
      <c r="I27" s="3036" t="s">
        <v>3138</v>
      </c>
      <c r="J27" s="435">
        <f>SUMIF(89:89,I27,90:90)-SUMIF(89:89,C27,90:90)+100</f>
        <v>96</v>
      </c>
      <c r="K27" s="612">
        <v>4</v>
      </c>
      <c r="L27" s="1140"/>
      <c r="M27" s="1131"/>
      <c r="N27" s="1131"/>
      <c r="O27" s="1131"/>
      <c r="P27" s="3240"/>
      <c r="Q27" s="1810" t="str">
        <f t="shared" ref="Q27:Q47" si="11">B27</f>
        <v>楼层</v>
      </c>
      <c r="R27" s="774" t="s">
        <v>17</v>
      </c>
      <c r="S27" s="775">
        <f>F27</f>
        <v>92</v>
      </c>
      <c r="T27" s="774" t="s">
        <v>17</v>
      </c>
      <c r="U27" s="775">
        <f>H27</f>
        <v>92</v>
      </c>
      <c r="V27" s="774" t="s">
        <v>17</v>
      </c>
      <c r="W27" s="775">
        <f>J27</f>
        <v>96</v>
      </c>
      <c r="X27" s="1813"/>
      <c r="Y27" s="3242"/>
      <c r="Z27" s="1814" t="str">
        <f>Q27</f>
        <v>楼层</v>
      </c>
      <c r="AA27" s="1811">
        <f t="shared" si="3"/>
        <v>1.0869565217391304</v>
      </c>
      <c r="AB27" s="1811">
        <f t="shared" si="4"/>
        <v>1.0869565217391304</v>
      </c>
      <c r="AC27" s="2677">
        <f t="shared" si="5"/>
        <v>1.0416666666666667</v>
      </c>
    </row>
    <row r="28" spans="1:29" s="117" customFormat="1" ht="15">
      <c r="A28" s="431"/>
      <c r="B28" s="631" t="s">
        <v>2693</v>
      </c>
      <c r="C28" s="2679"/>
      <c r="D28" s="462">
        <v>100</v>
      </c>
      <c r="E28" s="2668"/>
      <c r="F28" s="462">
        <f>SUMIF(91:91,E28,92:92)-SUMIF(91:91,C28,92:92)+100</f>
        <v>100</v>
      </c>
      <c r="G28" s="2679"/>
      <c r="H28" s="462">
        <f>SUMIF(91:91,G28,92:92)-SUMIF(91:91,C28,92:92)+100</f>
        <v>100</v>
      </c>
      <c r="I28" s="2668"/>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242"/>
      <c r="Z28" s="55" t="str">
        <f>Q28</f>
        <v>朝向</v>
      </c>
      <c r="AA28" s="1811">
        <f>D28/F28</f>
        <v>1</v>
      </c>
      <c r="AB28" s="1811">
        <f>D28/H28</f>
        <v>1</v>
      </c>
      <c r="AC28" s="2677">
        <f>D28/J28</f>
        <v>1</v>
      </c>
    </row>
    <row r="29" spans="1:29" ht="15">
      <c r="A29" s="428"/>
      <c r="B29" s="2680">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242"/>
      <c r="Z29" s="1814">
        <f t="shared" ref="Z29:Z47" si="15">Q29</f>
        <v>111</v>
      </c>
      <c r="AA29" s="1811">
        <f t="shared" si="3"/>
        <v>1</v>
      </c>
      <c r="AB29" s="1811">
        <f t="shared" si="4"/>
        <v>1</v>
      </c>
      <c r="AC29" s="2677">
        <f t="shared" si="5"/>
        <v>1</v>
      </c>
    </row>
    <row r="30" spans="1:29" ht="15">
      <c r="A30" s="428"/>
      <c r="B30" s="2680">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42"/>
      <c r="Z30" s="1814">
        <f t="shared" si="15"/>
        <v>111</v>
      </c>
      <c r="AA30" s="1811">
        <f t="shared" si="3"/>
        <v>1</v>
      </c>
      <c r="AB30" s="1811">
        <f t="shared" si="4"/>
        <v>1</v>
      </c>
      <c r="AC30" s="2677">
        <f t="shared" si="5"/>
        <v>1</v>
      </c>
    </row>
    <row r="31" spans="1:29" ht="15">
      <c r="A31" s="428"/>
      <c r="B31" s="2680">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42"/>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242"/>
      <c r="Z32" s="1814">
        <f t="shared" si="15"/>
        <v>111</v>
      </c>
      <c r="AA32" s="1811">
        <f t="shared" si="3"/>
        <v>1</v>
      </c>
      <c r="AB32" s="1811">
        <f t="shared" si="4"/>
        <v>1</v>
      </c>
      <c r="AC32" s="2677">
        <f t="shared" si="5"/>
        <v>1</v>
      </c>
    </row>
    <row r="33" spans="1:29" ht="15">
      <c r="A33" s="440" t="s">
        <v>2564</v>
      </c>
      <c r="B33" s="71" t="s">
        <v>2694</v>
      </c>
      <c r="C33" s="2681" t="s">
        <v>3103</v>
      </c>
      <c r="D33" s="467">
        <v>100</v>
      </c>
      <c r="E33" s="2681" t="s">
        <v>3103</v>
      </c>
      <c r="F33" s="461">
        <f>SUMIF(101:101,E33,102:102)-SUMIF(101:101,C33,102:102)+100</f>
        <v>100</v>
      </c>
      <c r="G33" s="2681" t="s">
        <v>3103</v>
      </c>
      <c r="H33" s="435">
        <f>SUMIF(101:101,G33,102:102)-SUMIF(101:101,C33,102:102)+100</f>
        <v>100</v>
      </c>
      <c r="I33" s="2681" t="s">
        <v>3103</v>
      </c>
      <c r="J33" s="467">
        <f>SUMIF(101:101,I33,102:102)-SUMIF(101:101,C33,102:102)+100</f>
        <v>100</v>
      </c>
      <c r="K33" s="612"/>
      <c r="L33" s="1140"/>
      <c r="M33" s="1131"/>
      <c r="N33" s="1131"/>
      <c r="O33" s="1131"/>
      <c r="P33" s="3243" t="s">
        <v>2566</v>
      </c>
      <c r="Q33" s="1810" t="str">
        <f t="shared" si="11"/>
        <v>建筑类型</v>
      </c>
      <c r="R33" s="774" t="s">
        <v>17</v>
      </c>
      <c r="S33" s="775">
        <f t="shared" si="12"/>
        <v>100</v>
      </c>
      <c r="T33" s="774" t="s">
        <v>17</v>
      </c>
      <c r="U33" s="775">
        <f t="shared" si="13"/>
        <v>100</v>
      </c>
      <c r="V33" s="774" t="s">
        <v>17</v>
      </c>
      <c r="W33" s="775">
        <f t="shared" si="14"/>
        <v>100</v>
      </c>
      <c r="X33" s="1813"/>
      <c r="Y33" s="3246" t="s">
        <v>2566</v>
      </c>
      <c r="Z33" s="1814" t="str">
        <f t="shared" si="15"/>
        <v>建筑类型</v>
      </c>
      <c r="AA33" s="1811">
        <f t="shared" si="3"/>
        <v>1</v>
      </c>
      <c r="AB33" s="1811">
        <f t="shared" si="4"/>
        <v>1</v>
      </c>
      <c r="AC33" s="2677">
        <f t="shared" si="5"/>
        <v>1</v>
      </c>
    </row>
    <row r="34" spans="1:29" s="471" customFormat="1" ht="15">
      <c r="A34" s="468"/>
      <c r="B34" s="422" t="s">
        <v>2567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4"/>
      <c r="Q34" s="776" t="str">
        <f t="shared" si="11"/>
        <v>项目建筑规模</v>
      </c>
      <c r="R34" s="777" t="s">
        <v>17</v>
      </c>
      <c r="S34" s="778">
        <f t="shared" si="12"/>
        <v>100</v>
      </c>
      <c r="T34" s="777" t="s">
        <v>17</v>
      </c>
      <c r="U34" s="778">
        <f t="shared" si="13"/>
        <v>100</v>
      </c>
      <c r="V34" s="777" t="s">
        <v>17</v>
      </c>
      <c r="W34" s="778">
        <f t="shared" si="14"/>
        <v>100</v>
      </c>
      <c r="X34" s="779"/>
      <c r="Y34" s="3246"/>
      <c r="Z34" s="780" t="str">
        <f t="shared" si="15"/>
        <v>项目建筑规模</v>
      </c>
      <c r="AA34" s="1811">
        <f t="shared" si="3"/>
        <v>1</v>
      </c>
      <c r="AB34" s="1811">
        <f t="shared" si="4"/>
        <v>1</v>
      </c>
      <c r="AC34" s="2677">
        <f t="shared" si="5"/>
        <v>1</v>
      </c>
    </row>
    <row r="35" spans="1:29" ht="15">
      <c r="A35" s="472"/>
      <c r="B35" s="422" t="s">
        <v>2568</v>
      </c>
      <c r="C35" s="3037" t="s">
        <v>3139</v>
      </c>
      <c r="D35" s="435">
        <v>100</v>
      </c>
      <c r="E35" s="3037" t="s">
        <v>3140</v>
      </c>
      <c r="F35" s="461">
        <f>SUMIF(106:106,E35,107:107)-SUMIF(106:106,C35,107:107)+100</f>
        <v>100</v>
      </c>
      <c r="G35" s="3037" t="s">
        <v>3139</v>
      </c>
      <c r="H35" s="435">
        <f>SUMIF(106:106,G35,107:107)-SUMIF(106:106,C35,107:107)+100</f>
        <v>100</v>
      </c>
      <c r="I35" s="3037" t="s">
        <v>3139</v>
      </c>
      <c r="J35" s="435">
        <f>SUMIF(106:106,I35,107:107)-SUMIF(106:106,C35,107:107)+100</f>
        <v>100</v>
      </c>
      <c r="K35" s="612"/>
      <c r="L35" s="1140"/>
      <c r="M35" s="1131"/>
      <c r="N35" s="1131"/>
      <c r="O35" s="1131"/>
      <c r="P35" s="3244"/>
      <c r="Q35" s="1810" t="str">
        <f t="shared" si="11"/>
        <v>建筑结构</v>
      </c>
      <c r="R35" s="774" t="s">
        <v>17</v>
      </c>
      <c r="S35" s="775">
        <f t="shared" si="12"/>
        <v>100</v>
      </c>
      <c r="T35" s="774" t="s">
        <v>17</v>
      </c>
      <c r="U35" s="775">
        <f t="shared" si="13"/>
        <v>100</v>
      </c>
      <c r="V35" s="774" t="s">
        <v>17</v>
      </c>
      <c r="W35" s="775">
        <f t="shared" si="14"/>
        <v>100</v>
      </c>
      <c r="X35" s="1813"/>
      <c r="Y35" s="3246"/>
      <c r="Z35" s="1814" t="str">
        <f t="shared" si="15"/>
        <v>建筑结构</v>
      </c>
      <c r="AA35" s="1811">
        <f t="shared" si="3"/>
        <v>1</v>
      </c>
      <c r="AB35" s="1811">
        <f t="shared" si="4"/>
        <v>1</v>
      </c>
      <c r="AC35" s="2677">
        <f t="shared" si="5"/>
        <v>1</v>
      </c>
    </row>
    <row r="36" spans="1:29" ht="15">
      <c r="A36" s="472"/>
      <c r="B36" s="422" t="s">
        <v>2662</v>
      </c>
      <c r="C36" s="3037" t="s">
        <v>3111</v>
      </c>
      <c r="D36" s="435">
        <v>100</v>
      </c>
      <c r="E36" s="3037" t="s">
        <v>3111</v>
      </c>
      <c r="F36" s="461">
        <f>SUMIF(108:108,E36,109:109)-SUMIF(108:108,C36,109:109)+100</f>
        <v>100</v>
      </c>
      <c r="G36" s="3037" t="s">
        <v>3111</v>
      </c>
      <c r="H36" s="435">
        <f>SUMIF(108:108,G36,109:109)-SUMIF(108:108,C36,109:109)+100</f>
        <v>100</v>
      </c>
      <c r="I36" s="3037" t="s">
        <v>3111</v>
      </c>
      <c r="J36" s="435">
        <f>SUMIF(108:108,I36,109:109)-SUMIF(108:108,C36,109:109)+100</f>
        <v>100</v>
      </c>
      <c r="K36" s="612"/>
      <c r="L36" s="1140"/>
      <c r="M36" s="1131"/>
      <c r="N36" s="1131"/>
      <c r="O36" s="1131"/>
      <c r="P36" s="3244"/>
      <c r="Q36" s="1810" t="str">
        <f t="shared" si="11"/>
        <v>公共部分装修</v>
      </c>
      <c r="R36" s="774" t="s">
        <v>17</v>
      </c>
      <c r="S36" s="775">
        <f t="shared" si="12"/>
        <v>100</v>
      </c>
      <c r="T36" s="774" t="s">
        <v>17</v>
      </c>
      <c r="U36" s="775">
        <f t="shared" si="13"/>
        <v>100</v>
      </c>
      <c r="V36" s="774" t="s">
        <v>17</v>
      </c>
      <c r="W36" s="775">
        <f t="shared" si="14"/>
        <v>100</v>
      </c>
      <c r="X36" s="1813"/>
      <c r="Y36" s="3246"/>
      <c r="Z36" s="1814" t="str">
        <f t="shared" si="15"/>
        <v>公共部分装修</v>
      </c>
      <c r="AA36" s="1811">
        <f t="shared" si="3"/>
        <v>1</v>
      </c>
      <c r="AB36" s="1811">
        <f t="shared" si="4"/>
        <v>1</v>
      </c>
      <c r="AC36" s="2677">
        <f t="shared" si="5"/>
        <v>1</v>
      </c>
    </row>
    <row r="37" spans="1:29" ht="15">
      <c r="A37" s="472"/>
      <c r="B37" s="422" t="s">
        <v>2663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0"/>
      <c r="M37" s="1131"/>
      <c r="N37" s="1131"/>
      <c r="O37" s="1131"/>
      <c r="P37" s="3244"/>
      <c r="Q37" s="1810" t="str">
        <f t="shared" si="11"/>
        <v>成新度</v>
      </c>
      <c r="R37" s="774" t="s">
        <v>17</v>
      </c>
      <c r="S37" s="775">
        <f t="shared" si="12"/>
        <v>100</v>
      </c>
      <c r="T37" s="774" t="s">
        <v>17</v>
      </c>
      <c r="U37" s="775">
        <f t="shared" si="13"/>
        <v>100</v>
      </c>
      <c r="V37" s="774" t="s">
        <v>17</v>
      </c>
      <c r="W37" s="775">
        <f t="shared" si="14"/>
        <v>100</v>
      </c>
      <c r="X37" s="1813"/>
      <c r="Y37" s="3246"/>
      <c r="Z37" s="1814" t="str">
        <f t="shared" si="15"/>
        <v>成新度</v>
      </c>
      <c r="AA37" s="1811">
        <f t="shared" si="3"/>
        <v>1</v>
      </c>
      <c r="AB37" s="1811">
        <f t="shared" si="4"/>
        <v>1</v>
      </c>
      <c r="AC37" s="2677">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4"/>
      <c r="Q38" s="1795"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74">
        <f t="shared" si="5"/>
        <v>1</v>
      </c>
    </row>
    <row r="39" spans="1:29" ht="15">
      <c r="A39" s="472"/>
      <c r="B39" s="422" t="s">
        <v>2696</v>
      </c>
      <c r="C39" s="3037" t="s">
        <v>3141</v>
      </c>
      <c r="D39" s="435">
        <v>100</v>
      </c>
      <c r="E39" s="3037" t="s">
        <v>3141</v>
      </c>
      <c r="F39" s="461">
        <f>SUMIF(115:115,E39,116:116)-SUMIF(115:115,C39,116:116)+100</f>
        <v>100</v>
      </c>
      <c r="G39" s="3037" t="s">
        <v>3141</v>
      </c>
      <c r="H39" s="435">
        <f>SUMIF(115:115,G39,116:116)-SUMIF(115:115,C39,116:116)+100</f>
        <v>100</v>
      </c>
      <c r="I39" s="3037" t="s">
        <v>3141</v>
      </c>
      <c r="J39" s="435">
        <f>SUMIF(115:115,I39,116:116)-SUMIF(115:115,C39,116:116)+100</f>
        <v>100</v>
      </c>
      <c r="K39" s="612"/>
      <c r="L39" s="1140"/>
      <c r="M39" s="1131"/>
      <c r="N39" s="1131"/>
      <c r="O39" s="1131"/>
      <c r="P39" s="3244" t="s">
        <v>2566</v>
      </c>
      <c r="Q39" s="1810" t="str">
        <f t="shared" si="11"/>
        <v>物业管理</v>
      </c>
      <c r="R39" s="774" t="s">
        <v>17</v>
      </c>
      <c r="S39" s="775">
        <f t="shared" si="12"/>
        <v>100</v>
      </c>
      <c r="T39" s="774" t="s">
        <v>17</v>
      </c>
      <c r="U39" s="775">
        <f t="shared" si="13"/>
        <v>100</v>
      </c>
      <c r="V39" s="774" t="s">
        <v>17</v>
      </c>
      <c r="W39" s="775">
        <f t="shared" si="14"/>
        <v>100</v>
      </c>
      <c r="X39" s="1813"/>
      <c r="Y39" s="3246" t="s">
        <v>2566</v>
      </c>
      <c r="Z39" s="1814" t="str">
        <f t="shared" si="15"/>
        <v>物业管理</v>
      </c>
      <c r="AA39" s="1811">
        <f t="shared" si="3"/>
        <v>1</v>
      </c>
      <c r="AB39" s="1811">
        <f t="shared" si="4"/>
        <v>1</v>
      </c>
      <c r="AC39" s="2677">
        <f t="shared" si="5"/>
        <v>1</v>
      </c>
    </row>
    <row r="40" spans="1:29" ht="15">
      <c r="A40" s="472"/>
      <c r="B40" s="422" t="s">
        <v>2664</v>
      </c>
      <c r="C40" s="3037" t="s">
        <v>3142</v>
      </c>
      <c r="D40" s="435">
        <v>100</v>
      </c>
      <c r="E40" s="3037" t="s">
        <v>3143</v>
      </c>
      <c r="F40" s="461">
        <f>SUMIF(117:117,E40,118:118)-SUMIF(117:117,C40,118:118)+100</f>
        <v>100</v>
      </c>
      <c r="G40" s="3037" t="s">
        <v>3144</v>
      </c>
      <c r="H40" s="435">
        <f>SUMIF(117:117,G40,118:118)-SUMIF(117:117,C40,118:118)+100</f>
        <v>100</v>
      </c>
      <c r="I40" s="3037" t="s">
        <v>3144</v>
      </c>
      <c r="J40" s="435">
        <f>SUMIF(117:117,I40,118:118)-SUMIF(117:117,C40,118:118)+100</f>
        <v>100</v>
      </c>
      <c r="K40" s="612"/>
      <c r="L40" s="1140"/>
      <c r="M40" s="1131"/>
      <c r="N40" s="1131"/>
      <c r="O40" s="1131"/>
      <c r="P40" s="3244"/>
      <c r="Q40" s="1810" t="str">
        <f t="shared" si="11"/>
        <v>市政基础设施</v>
      </c>
      <c r="R40" s="774" t="s">
        <v>17</v>
      </c>
      <c r="S40" s="775">
        <f t="shared" si="12"/>
        <v>100</v>
      </c>
      <c r="T40" s="774" t="s">
        <v>17</v>
      </c>
      <c r="U40" s="775">
        <f t="shared" si="13"/>
        <v>100</v>
      </c>
      <c r="V40" s="774" t="s">
        <v>17</v>
      </c>
      <c r="W40" s="775">
        <f t="shared" si="14"/>
        <v>100</v>
      </c>
      <c r="X40" s="1813"/>
      <c r="Y40" s="3246"/>
      <c r="Z40" s="1814" t="str">
        <f t="shared" si="15"/>
        <v>市政基础设施</v>
      </c>
      <c r="AA40" s="1811">
        <f t="shared" si="3"/>
        <v>1</v>
      </c>
      <c r="AB40" s="1811">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4"/>
      <c r="Q41" s="1810" t="str">
        <f t="shared" si="11"/>
        <v>层高</v>
      </c>
      <c r="R41" s="774" t="s">
        <v>17</v>
      </c>
      <c r="S41" s="775">
        <f t="shared" si="12"/>
        <v>100</v>
      </c>
      <c r="T41" s="774" t="s">
        <v>17</v>
      </c>
      <c r="U41" s="775">
        <f t="shared" si="13"/>
        <v>100</v>
      </c>
      <c r="V41" s="774" t="s">
        <v>17</v>
      </c>
      <c r="W41" s="775">
        <f t="shared" si="14"/>
        <v>100</v>
      </c>
      <c r="X41" s="1813"/>
      <c r="Y41" s="3246"/>
      <c r="Z41" s="1814" t="str">
        <f t="shared" si="15"/>
        <v>层高</v>
      </c>
      <c r="AA41" s="1811">
        <f t="shared" si="3"/>
        <v>1</v>
      </c>
      <c r="AB41" s="1811">
        <f t="shared" si="4"/>
        <v>1</v>
      </c>
      <c r="AC41" s="2677">
        <f t="shared" si="5"/>
        <v>1</v>
      </c>
    </row>
    <row r="42" spans="1:29" s="471" customFormat="1" ht="15">
      <c r="A42" s="468"/>
      <c r="B42" s="1812" t="s">
        <v>2697</v>
      </c>
      <c r="C42" s="434" t="s">
        <v>3145</v>
      </c>
      <c r="D42" s="435">
        <v>100</v>
      </c>
      <c r="E42" s="434" t="s">
        <v>3146</v>
      </c>
      <c r="F42" s="461">
        <f>SUMIF(121:121,E42,122:122)-SUMIF(121:121,C42,122:122)+100</f>
        <v>100</v>
      </c>
      <c r="G42" s="434" t="s">
        <v>3109</v>
      </c>
      <c r="H42" s="435">
        <f>SUMIF(121:121,G42,122:122)-SUMIF(121:121,C42,122:122)+100</f>
        <v>92</v>
      </c>
      <c r="I42" s="434" t="s">
        <v>3148</v>
      </c>
      <c r="J42" s="435">
        <f>SUMIF(121:121,I42,122:122)-SUMIF(121:121,C42,122:122)+100</f>
        <v>98</v>
      </c>
      <c r="K42" s="613"/>
      <c r="L42" s="1138"/>
      <c r="M42" s="1141"/>
      <c r="N42" s="1141"/>
      <c r="O42" s="1141"/>
      <c r="P42" s="3244"/>
      <c r="Q42" s="776" t="str">
        <f t="shared" si="11"/>
        <v>单套建筑面积</v>
      </c>
      <c r="R42" s="777" t="s">
        <v>17</v>
      </c>
      <c r="S42" s="778">
        <f t="shared" si="12"/>
        <v>100</v>
      </c>
      <c r="T42" s="777" t="s">
        <v>17</v>
      </c>
      <c r="U42" s="778">
        <f t="shared" si="13"/>
        <v>92</v>
      </c>
      <c r="V42" s="777" t="s">
        <v>17</v>
      </c>
      <c r="W42" s="778">
        <f t="shared" si="14"/>
        <v>98</v>
      </c>
      <c r="X42" s="779"/>
      <c r="Y42" s="3246"/>
      <c r="Z42" s="780" t="str">
        <f t="shared" si="15"/>
        <v>单套建筑面积</v>
      </c>
      <c r="AA42" s="1811">
        <f t="shared" si="3"/>
        <v>1</v>
      </c>
      <c r="AB42" s="1811">
        <f t="shared" si="4"/>
        <v>1.0869565217391304</v>
      </c>
      <c r="AC42" s="2677">
        <f t="shared" si="5"/>
        <v>1.0204081632653061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4"/>
      <c r="Q43" s="1810" t="str">
        <f t="shared" si="11"/>
        <v>内部装修</v>
      </c>
      <c r="R43" s="774" t="s">
        <v>17</v>
      </c>
      <c r="S43" s="775">
        <f t="shared" si="12"/>
        <v>100</v>
      </c>
      <c r="T43" s="774" t="s">
        <v>17</v>
      </c>
      <c r="U43" s="775">
        <f t="shared" si="13"/>
        <v>100</v>
      </c>
      <c r="V43" s="774" t="s">
        <v>17</v>
      </c>
      <c r="W43" s="775">
        <f t="shared" si="14"/>
        <v>100</v>
      </c>
      <c r="X43" s="1813"/>
      <c r="Y43" s="3246"/>
      <c r="Z43" s="1814" t="str">
        <f t="shared" si="15"/>
        <v>内部装修</v>
      </c>
      <c r="AA43" s="1811">
        <f t="shared" si="3"/>
        <v>1</v>
      </c>
      <c r="AB43" s="1811">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4"/>
      <c r="Q44" s="1810" t="str">
        <f t="shared" si="11"/>
        <v>内部装修维护情况</v>
      </c>
      <c r="R44" s="774" t="s">
        <v>17</v>
      </c>
      <c r="S44" s="775">
        <f t="shared" si="12"/>
        <v>100</v>
      </c>
      <c r="T44" s="774" t="s">
        <v>17</v>
      </c>
      <c r="U44" s="775">
        <f t="shared" si="13"/>
        <v>100</v>
      </c>
      <c r="V44" s="774" t="s">
        <v>17</v>
      </c>
      <c r="W44" s="775">
        <f t="shared" si="14"/>
        <v>100</v>
      </c>
      <c r="X44" s="1813"/>
      <c r="Y44" s="3246"/>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4"/>
      <c r="Q45" s="1795">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4"/>
      <c r="Q46" s="1810">
        <f t="shared" si="11"/>
        <v>111</v>
      </c>
      <c r="R46" s="774" t="s">
        <v>17</v>
      </c>
      <c r="S46" s="775">
        <f t="shared" si="12"/>
        <v>100</v>
      </c>
      <c r="T46" s="774" t="s">
        <v>17</v>
      </c>
      <c r="U46" s="775">
        <f t="shared" si="13"/>
        <v>100</v>
      </c>
      <c r="V46" s="774" t="s">
        <v>17</v>
      </c>
      <c r="W46" s="775">
        <f t="shared" si="14"/>
        <v>100</v>
      </c>
      <c r="X46" s="1813"/>
      <c r="Y46" s="3246"/>
      <c r="Z46" s="1814">
        <f t="shared" si="15"/>
        <v>111</v>
      </c>
      <c r="AA46" s="1811">
        <f t="shared" si="3"/>
        <v>1</v>
      </c>
      <c r="AB46" s="1811">
        <f t="shared" si="4"/>
        <v>1</v>
      </c>
      <c r="AC46" s="2677">
        <f t="shared" si="5"/>
        <v>1</v>
      </c>
    </row>
    <row r="47" spans="1:29" ht="15.75" thickBot="1">
      <c r="A47" s="478"/>
      <c r="B47" s="2605">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5"/>
      <c r="Q47" s="1810">
        <f t="shared" si="11"/>
        <v>0.97</v>
      </c>
      <c r="R47" s="774" t="s">
        <v>17</v>
      </c>
      <c r="S47" s="775">
        <f t="shared" si="12"/>
        <v>100</v>
      </c>
      <c r="T47" s="774" t="s">
        <v>17</v>
      </c>
      <c r="U47" s="775">
        <f t="shared" si="13"/>
        <v>100</v>
      </c>
      <c r="V47" s="774" t="s">
        <v>17</v>
      </c>
      <c r="W47" s="775">
        <f t="shared" si="14"/>
        <v>100</v>
      </c>
      <c r="X47" s="1813"/>
      <c r="Y47" s="3247"/>
      <c r="Z47" s="1814">
        <f t="shared" si="15"/>
        <v>0.97</v>
      </c>
      <c r="AA47" s="1811">
        <f t="shared" si="3"/>
        <v>1</v>
      </c>
      <c r="AB47" s="1811">
        <f t="shared" si="4"/>
        <v>1</v>
      </c>
      <c r="AC47" s="2677">
        <f t="shared" si="5"/>
        <v>1</v>
      </c>
    </row>
    <row r="48" spans="1:29" ht="15">
      <c r="A48" s="479" t="s">
        <v>2578</v>
      </c>
      <c r="B48" s="480"/>
      <c r="C48" s="1407" t="s">
        <v>1</v>
      </c>
      <c r="D48" s="1408"/>
      <c r="E48" s="1409">
        <v>60000</v>
      </c>
      <c r="F48" s="1410"/>
      <c r="G48" s="1411">
        <v>55080</v>
      </c>
      <c r="H48" s="1412"/>
      <c r="I48" s="1409">
        <v>59780</v>
      </c>
      <c r="J48" s="485"/>
      <c r="K48" s="783"/>
      <c r="L48" s="1143"/>
      <c r="M48" s="1131"/>
      <c r="N48" s="1131"/>
      <c r="O48" s="1131"/>
      <c r="P48" s="3233" t="str">
        <f>A48</f>
        <v>成交单价（元/平方米）</v>
      </c>
      <c r="Q48" s="3234"/>
      <c r="R48" s="3235">
        <f>E48</f>
        <v>60000</v>
      </c>
      <c r="S48" s="3235"/>
      <c r="T48" s="3235">
        <f>G48</f>
        <v>55080</v>
      </c>
      <c r="U48" s="3235"/>
      <c r="V48" s="3235">
        <f>I48</f>
        <v>59780</v>
      </c>
      <c r="W48" s="3235"/>
      <c r="X48" s="446"/>
      <c r="Y48" s="781"/>
      <c r="Z48" s="446"/>
      <c r="AA48" s="446"/>
      <c r="AB48" s="446"/>
      <c r="AC48" s="630"/>
    </row>
    <row r="49" spans="1:29" ht="15.75" thickBot="1">
      <c r="A49" s="486" t="s">
        <v>2670</v>
      </c>
      <c r="B49" s="487"/>
      <c r="C49" s="1413">
        <f>R50</f>
        <v>64612</v>
      </c>
      <c r="D49" s="1414"/>
      <c r="E49" s="1415">
        <f>R49</f>
        <v>65217</v>
      </c>
      <c r="F49" s="1415"/>
      <c r="G49" s="1413">
        <f>T49</f>
        <v>65076</v>
      </c>
      <c r="H49" s="1414"/>
      <c r="I49" s="1415">
        <f>V49</f>
        <v>63542</v>
      </c>
      <c r="J49" s="489"/>
      <c r="K49" s="784"/>
      <c r="L49" s="1143"/>
      <c r="M49" s="1131"/>
      <c r="N49" s="1131"/>
      <c r="O49" s="1131"/>
      <c r="P49" s="3233" t="str">
        <f>A49</f>
        <v>比较价值（元/平方米）</v>
      </c>
      <c r="Q49" s="3234"/>
      <c r="R49" s="3235">
        <f>IF(F1="售价",ROUND(PRODUCT(R48,AA7:AA47),0),ROUND(PRODUCT(R48,AA7:AA47),1))</f>
        <v>65217</v>
      </c>
      <c r="S49" s="3235"/>
      <c r="T49" s="3235">
        <f>IF(F1="售价",ROUND(PRODUCT(T48,AB7:AB47),0),ROUND(PRODUCT(T48,AB7:AB47),1))</f>
        <v>65076</v>
      </c>
      <c r="U49" s="3235"/>
      <c r="V49" s="3235">
        <f>IF(F1="售价",ROUND(PRODUCT(V48,AC7:AC47),0),ROUND(PRODUCT(V48,AC7:AC47),1))</f>
        <v>63542</v>
      </c>
      <c r="W49" s="3235"/>
      <c r="X49" s="446"/>
      <c r="Y49" s="446"/>
      <c r="Z49" s="446"/>
      <c r="AA49" s="446"/>
      <c r="AB49" s="446"/>
      <c r="AC49" s="630"/>
    </row>
    <row r="50" spans="1:29" ht="15.75" thickBot="1">
      <c r="A50" s="492" t="s">
        <v>2671</v>
      </c>
      <c r="B50" s="493"/>
      <c r="C50" s="1417">
        <f>R50</f>
        <v>64612</v>
      </c>
      <c r="D50" s="1417"/>
      <c r="E50" s="1417"/>
      <c r="F50" s="1417"/>
      <c r="G50" s="1417"/>
      <c r="H50" s="1417"/>
      <c r="I50" s="1417"/>
      <c r="J50" s="494"/>
      <c r="K50" s="785"/>
      <c r="L50" s="1143"/>
      <c r="M50" s="1131"/>
      <c r="N50" s="1131"/>
      <c r="O50" s="1131"/>
      <c r="P50" s="3236" t="str">
        <f>A50</f>
        <v>估价对象XX用房的比较价值（楼面单价，元/平方米）</v>
      </c>
      <c r="Q50" s="3237"/>
      <c r="R50" s="3238">
        <f>IF(F1="售价",ROUND(AVERAGE(R49:V49),0),ROUND(AVERAGE(R49:V49),1))</f>
        <v>64612</v>
      </c>
      <c r="S50" s="3238"/>
      <c r="T50" s="3238"/>
      <c r="U50" s="3238"/>
      <c r="V50" s="3238"/>
      <c r="W50" s="3238"/>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8.6950000000000083E-2</v>
      </c>
      <c r="F53" s="500" t="str">
        <f>IF(OR(E53&gt;=0.3,E53&lt;=-0.3),"超过30%","")</f>
        <v/>
      </c>
      <c r="G53" s="499">
        <f>IF(G48&lt;G49,G49/G48-1,G48/G49-1)</f>
        <v>0.18148148148148158</v>
      </c>
      <c r="H53" s="500" t="str">
        <f>IF(OR(G53&gt;=0.3,G53&lt;=-0.3),"超过30%","")</f>
        <v/>
      </c>
      <c r="I53" s="499">
        <f>IF(I48&lt;I49,I49/I48-1,I48/I49-1)</f>
        <v>6.2930746068919463E-2</v>
      </c>
      <c r="J53" s="500" t="str">
        <f>IF(OR(I53&gt;=0.3,I53&lt;=-0.3),"超过30%","")</f>
        <v/>
      </c>
      <c r="K53" s="1105"/>
      <c r="L53" s="1106"/>
      <c r="M53" s="1144"/>
      <c r="N53" s="1144"/>
      <c r="O53" s="1144"/>
    </row>
    <row r="54" spans="1:29" ht="13.5" customHeight="1">
      <c r="A54" s="1144"/>
      <c r="B54" s="1144"/>
      <c r="C54" s="497" t="s">
        <v>2673</v>
      </c>
      <c r="D54" s="501"/>
      <c r="E54" s="499">
        <f>IF(E49&lt;G49,G49/E49-1,E49/G49-1)</f>
        <v>2.1666973999632244E-3</v>
      </c>
      <c r="F54" s="500" t="str">
        <f>IF(OR(E54&gt;=0.2,E54&lt;=-0.2),"超过20%","")</f>
        <v/>
      </c>
      <c r="G54" s="499">
        <f>IF(G49&lt;I49,I49/G49-1,G49/I49-1)</f>
        <v>2.4141512700261325E-2</v>
      </c>
      <c r="H54" s="500" t="str">
        <f>IF(OR(G54&gt;=0.2,G54&lt;=-0.2),"超过20%","")</f>
        <v/>
      </c>
      <c r="I54" s="499">
        <f>IF(I49&lt;E49,E49/I49-1,I49/E49-1)</f>
        <v>2.6360517453023258E-2</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8.9324618736383421E-2</v>
      </c>
      <c r="F55" s="500" t="str">
        <f>IF(OR(E55&gt;=0.3,E55&lt;=-0.3),"超过30%","")</f>
        <v/>
      </c>
      <c r="G55" s="499">
        <f>IF(G48&lt;I48,I48/G48-1,G48/I48-1)</f>
        <v>8.5330428467683461E-2</v>
      </c>
      <c r="H55" s="500" t="str">
        <f>IF(OR(G55&gt;=0.3,G55&lt;=-0.3),"超过30%","")</f>
        <v/>
      </c>
      <c r="I55" s="499">
        <f>IF(I48&lt;E48,E48/I48-1,I48/E48-1)</f>
        <v>3.6801605888256983E-3</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t="str">
        <f>C9</f>
        <v>办公</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0</v>
      </c>
      <c r="D69" s="549">
        <v>1</v>
      </c>
      <c r="E69" s="549">
        <v>2</v>
      </c>
      <c r="F69" s="549">
        <v>3</v>
      </c>
      <c r="G69" s="549">
        <v>4</v>
      </c>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3016" t="s">
        <v>3116</v>
      </c>
      <c r="D89" s="3016" t="s">
        <v>3117</v>
      </c>
      <c r="E89" s="3016" t="s">
        <v>3118</v>
      </c>
      <c r="F89" s="2638"/>
      <c r="G89" s="554"/>
      <c r="H89" s="554"/>
      <c r="I89" s="554"/>
      <c r="J89" s="554"/>
      <c r="K89" s="554"/>
      <c r="L89" s="554"/>
      <c r="M89" s="581"/>
      <c r="N89" s="1151"/>
      <c r="O89" s="1151"/>
      <c r="P89" s="2686"/>
      <c r="Q89" s="504"/>
    </row>
    <row r="90" spans="1:17" s="117" customFormat="1" ht="15.75" thickBot="1">
      <c r="A90" s="579"/>
      <c r="B90" s="543"/>
      <c r="C90" s="582">
        <v>100</v>
      </c>
      <c r="D90" s="544">
        <f>C90-$K27</f>
        <v>96</v>
      </c>
      <c r="E90" s="544">
        <f t="shared" ref="E90:M90" si="20">D90-$K27</f>
        <v>92</v>
      </c>
      <c r="F90" s="544">
        <f t="shared" si="20"/>
        <v>88</v>
      </c>
      <c r="G90" s="544">
        <f t="shared" si="20"/>
        <v>84</v>
      </c>
      <c r="H90" s="544">
        <f t="shared" si="20"/>
        <v>80</v>
      </c>
      <c r="I90" s="544">
        <f t="shared" si="20"/>
        <v>76</v>
      </c>
      <c r="J90" s="544">
        <f t="shared" si="20"/>
        <v>72</v>
      </c>
      <c r="K90" s="544">
        <f t="shared" si="20"/>
        <v>68</v>
      </c>
      <c r="L90" s="544">
        <f t="shared" si="20"/>
        <v>64</v>
      </c>
      <c r="M90" s="544">
        <f t="shared" si="20"/>
        <v>60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9"/>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3015" t="s">
        <v>3104</v>
      </c>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0(含)-10000</v>
      </c>
      <c r="D103" s="578" t="str">
        <f t="shared" ref="D103:L103" si="23">D104&amp;"(含)"&amp;"-"&amp;E104</f>
        <v>10000(含)-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v>10000</v>
      </c>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t="s">
        <v>3105</v>
      </c>
      <c r="D121" s="554" t="s">
        <v>3106</v>
      </c>
      <c r="E121" s="554" t="s">
        <v>3107</v>
      </c>
      <c r="F121" s="583" t="s">
        <v>3108</v>
      </c>
      <c r="G121" s="555" t="s">
        <v>3109</v>
      </c>
      <c r="H121" s="555" t="s">
        <v>3147</v>
      </c>
      <c r="I121" s="555"/>
      <c r="J121" s="555"/>
      <c r="K121" s="555"/>
      <c r="L121" s="556"/>
      <c r="M121" s="557"/>
      <c r="N121" s="1154"/>
      <c r="O121" s="1154"/>
      <c r="P121" s="2687"/>
      <c r="Q121" s="559"/>
    </row>
    <row r="122" spans="1:17" s="471" customFormat="1" ht="15.75" thickBot="1">
      <c r="A122" s="553"/>
      <c r="B122" s="535"/>
      <c r="C122" s="560">
        <v>97</v>
      </c>
      <c r="D122" s="560">
        <v>99</v>
      </c>
      <c r="E122" s="560">
        <v>97</v>
      </c>
      <c r="F122" s="560">
        <v>94</v>
      </c>
      <c r="G122" s="560">
        <v>91</v>
      </c>
      <c r="H122" s="560">
        <v>88</v>
      </c>
      <c r="I122" s="560"/>
      <c r="J122" s="560"/>
      <c r="K122" s="560"/>
      <c r="L122" s="560"/>
      <c r="M122" s="560"/>
      <c r="N122" s="1154"/>
      <c r="O122" s="1154"/>
      <c r="P122" s="2687"/>
      <c r="Q122" s="559"/>
    </row>
    <row r="123" spans="1:17" ht="15" thickTop="1">
      <c r="A123" s="599"/>
      <c r="B123" s="538" t="s">
        <v>2621</v>
      </c>
      <c r="C123" s="3016" t="s">
        <v>3111</v>
      </c>
      <c r="D123" s="3016" t="s">
        <v>3112</v>
      </c>
      <c r="E123" s="3016" t="s">
        <v>3113</v>
      </c>
      <c r="F123" s="3017" t="s">
        <v>3114</v>
      </c>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0.97</v>
      </c>
      <c r="C131" s="523"/>
      <c r="D131" s="523"/>
      <c r="E131" s="523"/>
      <c r="F131" s="523"/>
      <c r="G131" s="587"/>
      <c r="H131" s="587"/>
      <c r="I131" s="587"/>
      <c r="J131" s="587"/>
      <c r="K131" s="523"/>
      <c r="L131" s="524"/>
      <c r="M131" s="590"/>
      <c r="N131" s="1152"/>
      <c r="O131" s="1152"/>
      <c r="P131" s="2686"/>
      <c r="Q131" s="504"/>
    </row>
    <row r="132" spans="1:17" ht="15.75" thickBot="1">
      <c r="A132" s="2639"/>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5" sqref="J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35.020000000000003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1683</v>
      </c>
      <c r="C2" s="1845" t="s">
        <v>1586</v>
      </c>
      <c r="D2" s="1937">
        <f ca="1">C40+J29+L46</f>
        <v>16827869</v>
      </c>
      <c r="E2" s="1846" t="s">
        <v>1587</v>
      </c>
      <c r="F2" s="1847"/>
      <c r="G2" s="1848"/>
      <c r="H2" s="1840"/>
      <c r="I2" s="1840"/>
      <c r="J2" s="1840"/>
      <c r="K2" s="1841"/>
      <c r="L2" s="1840"/>
      <c r="M2" s="1840"/>
    </row>
    <row r="3" spans="1:37" ht="18" customHeight="1" thickBot="1">
      <c r="A3" s="1849" t="s">
        <v>1588</v>
      </c>
      <c r="B3" s="1850">
        <f ca="1">IF(ISERROR(D2/F43),0,ROUND(D2/F43,0))</f>
        <v>52949</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940780</v>
      </c>
      <c r="D5" s="1822" t="s">
        <v>1596</v>
      </c>
      <c r="E5" s="1293"/>
      <c r="F5" s="1294"/>
      <c r="G5" s="1851"/>
      <c r="H5" s="344">
        <v>1</v>
      </c>
      <c r="I5" s="345" t="s">
        <v>1595</v>
      </c>
      <c r="J5" s="1292">
        <f ca="1">J6+J10+J12</f>
        <v>0</v>
      </c>
      <c r="K5" s="1822" t="s">
        <v>1596</v>
      </c>
      <c r="L5" s="1293"/>
      <c r="M5" s="1294"/>
    </row>
    <row r="6" spans="1:37" ht="18" customHeight="1">
      <c r="A6" s="1291" t="s">
        <v>1032</v>
      </c>
      <c r="B6" s="3230" t="s">
        <v>1398</v>
      </c>
      <c r="C6" s="1296">
        <f ca="1">ROUND(F6*F8*F7*(1-F9),0)</f>
        <v>939605</v>
      </c>
      <c r="D6" s="164" t="s">
        <v>3028</v>
      </c>
      <c r="E6" s="347" t="s">
        <v>1400</v>
      </c>
      <c r="F6" s="348">
        <f ca="1">INDIRECT("'数据-取费表'!u"&amp;$G$1)</f>
        <v>9</v>
      </c>
      <c r="G6" s="1851"/>
      <c r="H6" s="1291" t="s">
        <v>1032</v>
      </c>
      <c r="I6" s="3230" t="s">
        <v>1398</v>
      </c>
      <c r="J6" s="346">
        <f ca="1">ROUND(M6*M8*M7*(1-M9),0)</f>
        <v>0</v>
      </c>
      <c r="K6" s="1834" t="s">
        <v>3029</v>
      </c>
      <c r="L6" s="347" t="s">
        <v>1400</v>
      </c>
      <c r="M6" s="348">
        <f ca="1">INDIRECT("'数据-取费表'!z"&amp;$G$1)</f>
        <v>0</v>
      </c>
    </row>
    <row r="7" spans="1:37" ht="18" customHeight="1">
      <c r="A7" s="1295"/>
      <c r="B7" s="3231"/>
      <c r="C7" s="1297"/>
      <c r="D7" s="352"/>
      <c r="E7" s="1298" t="s">
        <v>1401</v>
      </c>
      <c r="F7" s="348">
        <f ca="1">IF(INDIRECT("'数据-取费表'!ah"&amp;$G$1)="",INDIRECT("'数据-取费表'!k"&amp;$G$1),INDIRECT("'数据-取费表'!ah"&amp;$G$1))</f>
        <v>317.81</v>
      </c>
      <c r="G7" s="1851"/>
      <c r="H7" s="349"/>
      <c r="I7" s="3231"/>
      <c r="J7" s="351"/>
      <c r="K7" s="352"/>
      <c r="L7" s="347" t="s">
        <v>1401</v>
      </c>
      <c r="M7" s="348">
        <f ca="1">F7</f>
        <v>317.81</v>
      </c>
    </row>
    <row r="8" spans="1:37" ht="18" customHeight="1">
      <c r="A8" s="349"/>
      <c r="B8" s="3231"/>
      <c r="C8" s="351"/>
      <c r="D8" s="352"/>
      <c r="E8" s="347" t="s">
        <v>1402</v>
      </c>
      <c r="F8" s="348">
        <f ca="1">INDIRECT("'数据-取费表'!ai"&amp;$G$1)</f>
        <v>365</v>
      </c>
      <c r="G8" s="1851"/>
      <c r="H8" s="349"/>
      <c r="I8" s="3231"/>
      <c r="J8" s="351"/>
      <c r="K8" s="352"/>
      <c r="L8" s="347" t="s">
        <v>1402</v>
      </c>
      <c r="M8" s="348">
        <f ca="1">INDIRECT("'数据-取费表'!ai"&amp;$G$1)</f>
        <v>365</v>
      </c>
    </row>
    <row r="9" spans="1:37" ht="18" customHeight="1">
      <c r="A9" s="349"/>
      <c r="B9" s="3232"/>
      <c r="C9" s="351"/>
      <c r="D9" s="352"/>
      <c r="E9" s="347" t="s">
        <v>1403</v>
      </c>
      <c r="F9" s="357">
        <f ca="1">INDIRECT("'数据-取费表'!w"&amp;$G$1)</f>
        <v>0.1</v>
      </c>
      <c r="G9" s="1851"/>
      <c r="H9" s="349"/>
      <c r="I9" s="3232"/>
      <c r="J9" s="351"/>
      <c r="K9" s="352"/>
      <c r="L9" s="358" t="s">
        <v>1403</v>
      </c>
      <c r="M9" s="359">
        <f ca="1">INDIRECT("'数据-取费表'!ab"&amp;$G$1)</f>
        <v>0</v>
      </c>
    </row>
    <row r="10" spans="1:37" ht="18" customHeight="1">
      <c r="A10" s="1291" t="s">
        <v>1036</v>
      </c>
      <c r="B10" s="1823" t="s">
        <v>1404</v>
      </c>
      <c r="C10" s="361">
        <f ca="1">ROUND(IF(F10="押一",C6/12*F11,IF(F10="押二",C6/12*2*F11,IF(F10="押三",C6/12*3*F11,C11*F11))),0)</f>
        <v>1175</v>
      </c>
      <c r="D10" s="1824" t="s">
        <v>3039</v>
      </c>
      <c r="E10" s="358" t="s">
        <v>1405</v>
      </c>
      <c r="F10" s="1366" t="s">
        <v>3101</v>
      </c>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1401653</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953430</v>
      </c>
      <c r="D14" s="1800" t="s">
        <v>1413</v>
      </c>
      <c r="E14" s="1794"/>
      <c r="F14" s="364"/>
      <c r="G14" s="1851"/>
      <c r="H14" s="1201" t="s">
        <v>1032</v>
      </c>
      <c r="I14" s="347" t="s">
        <v>1414</v>
      </c>
      <c r="J14" s="24">
        <f ca="1">C29</f>
        <v>1523536</v>
      </c>
      <c r="K14" s="15"/>
      <c r="L14" s="979"/>
      <c r="M14" s="980"/>
    </row>
    <row r="15" spans="1:37" s="1858" customFormat="1" ht="18" customHeight="1" thickBot="1">
      <c r="A15" s="1201" t="s">
        <v>1033</v>
      </c>
      <c r="B15" s="347" t="s">
        <v>1415</v>
      </c>
      <c r="C15" s="24">
        <f ca="1">ROUND(C14*F15,0)</f>
        <v>28603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36334</v>
      </c>
      <c r="K16" s="1337" t="s">
        <v>1420</v>
      </c>
      <c r="L16" s="1338"/>
      <c r="M16" s="1294"/>
    </row>
    <row r="17" spans="1:37" s="1858" customFormat="1" ht="18" customHeight="1">
      <c r="A17" s="1201" t="s">
        <v>1385</v>
      </c>
      <c r="B17" s="347" t="s">
        <v>1421</v>
      </c>
      <c r="C17" s="24">
        <f ca="1">ROUND(F17*(F43+INDIRECT("'数据-取费表'!S"&amp;$G$1)),0)</f>
        <v>63562</v>
      </c>
      <c r="D17" s="347" t="s">
        <v>1422</v>
      </c>
      <c r="E17" s="347" t="s">
        <v>1423</v>
      </c>
      <c r="F17" s="26">
        <f>'数据-取费表'!B35</f>
        <v>200</v>
      </c>
      <c r="G17" s="1854"/>
      <c r="H17" s="1201" t="s">
        <v>1032</v>
      </c>
      <c r="I17" s="347" t="s">
        <v>1424</v>
      </c>
      <c r="J17" s="24">
        <f ca="1">ROUND(IF(项目基本情况!B11="自然人",J6*M17/(1+'数据-取费表'!C42),J18+J19+J20),0)</f>
        <v>13481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14301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1059896</v>
      </c>
      <c r="D19" s="140" t="s">
        <v>1431</v>
      </c>
      <c r="E19" s="1818"/>
      <c r="F19" s="26"/>
      <c r="G19" s="1851"/>
      <c r="H19" s="1201" t="s">
        <v>1033</v>
      </c>
      <c r="I19" s="347" t="s">
        <v>1432</v>
      </c>
      <c r="J19" s="24">
        <f ca="1">IF(K19="按租金收入计税",ROUND(J6*M19/(1+'数据-取费表'!C42),0),ROUND(C29*M19*0.7,0))</f>
        <v>12798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21198</v>
      </c>
      <c r="D20" s="369" t="s">
        <v>1435</v>
      </c>
      <c r="E20" s="347" t="s">
        <v>1417</v>
      </c>
      <c r="F20" s="367">
        <f>'数据-取费表'!B37</f>
        <v>0.02</v>
      </c>
      <c r="G20" s="1854"/>
      <c r="H20" s="1201" t="s">
        <v>1384</v>
      </c>
      <c r="I20" s="164" t="s">
        <v>1436</v>
      </c>
      <c r="J20" s="25">
        <f ca="1">ROUND(M20*M21,0)</f>
        <v>683</v>
      </c>
      <c r="K20" s="370" t="s">
        <v>1437</v>
      </c>
      <c r="L20" s="347" t="s">
        <v>1438</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22853</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51352</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-36334</v>
      </c>
      <c r="K25" s="1345" t="s">
        <v>1459</v>
      </c>
      <c r="L25" s="1346"/>
      <c r="M25" s="1347"/>
    </row>
    <row r="26" spans="1:37" ht="18" customHeight="1">
      <c r="A26" s="1201" t="s">
        <v>1031</v>
      </c>
      <c r="B26" s="347" t="s">
        <v>1460</v>
      </c>
      <c r="C26" s="24">
        <f ca="1">ROUND((C19+C20)*F26,0)</f>
        <v>270274</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1523536</v>
      </c>
      <c r="D29" s="1342"/>
      <c r="E29" s="1340"/>
      <c r="F29" s="1343"/>
      <c r="G29" s="1854"/>
      <c r="H29" s="380" t="s">
        <v>1030</v>
      </c>
      <c r="I29" s="381" t="s">
        <v>1474</v>
      </c>
      <c r="J29" s="382">
        <f ca="1">ROUND(J26/(1+F40)^F41,0)</f>
        <v>0</v>
      </c>
      <c r="K29" s="383" t="s">
        <v>1475</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201949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158178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50112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107383</v>
      </c>
      <c r="D33" s="1828" t="s">
        <v>3102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683</v>
      </c>
      <c r="D34" s="370" t="s">
        <v>1437</v>
      </c>
      <c r="E34" s="347" t="s">
        <v>1438</v>
      </c>
      <c r="F34" s="371">
        <f>'数据-取费表'!B52</f>
        <v>12</v>
      </c>
      <c r="G34" s="1851"/>
      <c r="H34" s="745"/>
      <c r="I34" s="1860"/>
      <c r="J34" s="1861"/>
      <c r="K34" s="1863"/>
      <c r="L34" s="1864"/>
      <c r="M34" s="1864"/>
    </row>
    <row r="35" spans="1:18" ht="18" customHeight="1">
      <c r="A35" s="1353"/>
      <c r="B35" s="1351"/>
      <c r="C35" s="29"/>
      <c r="D35" s="373"/>
      <c r="E35" s="347" t="s">
        <v>1442</v>
      </c>
      <c r="F35" s="348">
        <f ca="1">INDIRECT("'数据-取费表'!r"&amp;$G$1)</f>
        <v>56.93</v>
      </c>
      <c r="G35" s="1851"/>
      <c r="H35" s="745"/>
      <c r="I35" s="1860"/>
      <c r="J35" s="1861"/>
      <c r="K35" s="1862"/>
      <c r="L35" s="1859"/>
      <c r="M35" s="1859"/>
    </row>
    <row r="36" spans="1:18" ht="18" customHeight="1">
      <c r="A36" s="1352" t="s">
        <v>1036</v>
      </c>
      <c r="B36" s="347" t="s">
        <v>1444</v>
      </c>
      <c r="C36" s="24">
        <f ca="1">ROUND(C29*F36,0)</f>
        <v>22853</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2102</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18815.599999999999</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738831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16792861</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35.020000000000003</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ROUND(C40/F43,0)</f>
        <v>52839</v>
      </c>
      <c r="D43" s="383" t="s">
        <v>1483</v>
      </c>
      <c r="E43" s="384" t="s">
        <v>1484</v>
      </c>
      <c r="F43" s="385">
        <f ca="1">INDIRECT("'数据-取费表'!k"&amp;$G$1)</f>
        <v>317.81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-20284370</v>
      </c>
      <c r="D45" s="1939" t="s">
        <v>1599</v>
      </c>
      <c r="E45" s="1866"/>
      <c r="F45" s="1866"/>
      <c r="O45" s="1869" t="s">
        <v>1514</v>
      </c>
      <c r="P45" s="1839"/>
      <c r="Q45" s="1839"/>
      <c r="R45" s="1839"/>
    </row>
    <row r="46" spans="1:18" s="1842" customFormat="1" ht="13.5" thickBot="1">
      <c r="A46" s="1870" t="s">
        <v>1515</v>
      </c>
      <c r="C46" s="1871">
        <f ca="1">ROUND(C45/10000,0)</f>
        <v>-2028</v>
      </c>
      <c r="D46" s="1872" t="str">
        <f>C2</f>
        <v>万元</v>
      </c>
      <c r="I46" s="1873" t="s">
        <v>1516</v>
      </c>
      <c r="J46" s="1874"/>
      <c r="K46" s="1875"/>
      <c r="L46" s="1876">
        <f ca="1">IF(M47="住宅",0,IF(L48&gt;J51,L60,J60))</f>
        <v>35008</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3098</v>
      </c>
      <c r="K47" s="1882" t="s">
        <v>1522</v>
      </c>
      <c r="L47" s="1883">
        <f ca="1">INDIRECT("'数据-取费表'!d"&amp;$G$1)</f>
        <v>50</v>
      </c>
      <c r="M47" s="1838" t="str">
        <f>IF(ISNUMBER(FIND("住宅",C1)),"住宅","非住宅")</f>
        <v>非住宅</v>
      </c>
      <c r="O47" s="1884" t="s">
        <v>1037</v>
      </c>
      <c r="P47" s="1885" t="s">
        <v>1523</v>
      </c>
      <c r="Q47" s="1886">
        <f ca="1">C40+J29</f>
        <v>16792861</v>
      </c>
      <c r="R47" s="1886" t="s">
        <v>1524</v>
      </c>
    </row>
    <row r="48" spans="1:18" s="1842" customFormat="1" ht="28.5" thickBot="1">
      <c r="A48" s="1360" t="s">
        <v>1132</v>
      </c>
      <c r="B48" s="345" t="s">
        <v>1396</v>
      </c>
      <c r="C48" s="1817">
        <f ca="1">C49+C53+C55</f>
        <v>0</v>
      </c>
      <c r="D48" s="1362"/>
      <c r="E48" s="1363"/>
      <c r="F48" s="1181"/>
      <c r="G48" s="792"/>
      <c r="H48" s="793"/>
      <c r="I48" s="1887" t="s">
        <v>1525</v>
      </c>
      <c r="J48" s="1888" t="s">
        <v>3099</v>
      </c>
      <c r="K48" s="1889" t="s">
        <v>1526</v>
      </c>
      <c r="L48" s="1890">
        <f ca="1">INDIRECT("'数据-取费表'!f"&amp;$G$1)</f>
        <v>35.020000000000003</v>
      </c>
      <c r="O48" s="1884" t="s">
        <v>1038</v>
      </c>
      <c r="P48" s="1885" t="s">
        <v>1527</v>
      </c>
      <c r="Q48" s="1886">
        <f ca="1">J60</f>
        <v>35008</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2014</v>
      </c>
      <c r="K49" s="1889" t="s">
        <v>1530</v>
      </c>
      <c r="L49" s="1893"/>
      <c r="O49" s="1894" t="s">
        <v>1039</v>
      </c>
      <c r="P49" s="1885" t="s">
        <v>1531</v>
      </c>
      <c r="Q49" s="1886">
        <f ca="1">C29</f>
        <v>1523536</v>
      </c>
      <c r="R49" s="1886" t="s">
        <v>1524</v>
      </c>
    </row>
    <row r="50" spans="1:18" s="1842" customFormat="1" ht="13.5" thickBot="1">
      <c r="A50" s="1195"/>
      <c r="B50" s="1198"/>
      <c r="C50" s="1199"/>
      <c r="D50" s="1172"/>
      <c r="E50" s="1277" t="s">
        <v>1401</v>
      </c>
      <c r="F50" s="1278">
        <f ca="1">F7</f>
        <v>317.81</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10263903</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35.020000000000003</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75">
        <f ca="1">IF(M47="住宅",IF(D1="——",MAX(J51,L48),MAX(J51,L48-'数据-取费表'!B24)),IF(D1="——",MIN(J51,L48),MIN(J51,L48-'数据-取费表'!B24)))</f>
        <v>35.020000000000003</v>
      </c>
      <c r="K53" s="3228" t="s">
        <v>1543</v>
      </c>
      <c r="L53" s="3229"/>
      <c r="O53" s="1884" t="s">
        <v>1043</v>
      </c>
      <c r="P53" s="1885" t="s">
        <v>1544</v>
      </c>
      <c r="Q53" s="1886">
        <f ca="1">Q47+Q48</f>
        <v>16827869</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0.33300000000000002</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1401653</v>
      </c>
      <c r="D56" s="1913"/>
      <c r="E56" s="1914"/>
      <c r="F56" s="1906"/>
      <c r="I56" s="1915" t="s">
        <v>1549</v>
      </c>
      <c r="J56" s="1916" t="s">
        <v>3100</v>
      </c>
      <c r="K56" s="1887" t="s">
        <v>1550</v>
      </c>
      <c r="L56" s="1890" t="str">
        <f ca="1">IF(L48&lt;J51,"——",L48-J51)</f>
        <v>——</v>
      </c>
      <c r="O56" s="1884" t="s">
        <v>1037</v>
      </c>
      <c r="P56" s="1885" t="s">
        <v>1523</v>
      </c>
      <c r="Q56" s="1886">
        <f ca="1">C40+J29</f>
        <v>16792861</v>
      </c>
      <c r="R56" s="1886" t="s">
        <v>1524</v>
      </c>
    </row>
    <row r="57" spans="1:18" s="1842" customFormat="1" ht="24.75" thickBot="1">
      <c r="A57" s="1917"/>
      <c r="B57" s="1169" t="s">
        <v>1473</v>
      </c>
      <c r="C57" s="282">
        <f ca="1">C29</f>
        <v>1523536</v>
      </c>
      <c r="D57" s="1918"/>
      <c r="E57" s="1919"/>
      <c r="F57" s="1920"/>
      <c r="I57" s="1921" t="s">
        <v>1551</v>
      </c>
      <c r="J57" s="1922">
        <f ca="1">IF(OR(M47="住宅",J51&lt;L48,J56="是"),"——",J51-L48)</f>
        <v>19.979999999999997</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153615</v>
      </c>
      <c r="D58" s="1179" t="s">
        <v>1420</v>
      </c>
      <c r="E58" s="1180"/>
      <c r="F58" s="1181"/>
      <c r="I58" s="1921" t="s">
        <v>1555</v>
      </c>
      <c r="J58" s="1923">
        <f ca="1">IF(J55&lt;0.4,0.4,J55)</f>
        <v>0.4</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128660</v>
      </c>
      <c r="D59" s="1182" t="s">
        <v>1425</v>
      </c>
      <c r="E59" s="1183" t="s">
        <v>1426</v>
      </c>
      <c r="F59" s="368" t="str">
        <f ca="1">IF(项目基本情况!B11="企业","",IF(INDIRECT("'数据-取费表'!c"&amp;$G$1)="住宅",5%,IF(F49*F50*F51/12/(1+'数据-取费表'!C42)&gt;20000,12%,7%)))</f>
        <v/>
      </c>
      <c r="I59" s="1921" t="s">
        <v>1558</v>
      </c>
      <c r="J59" s="1922">
        <f ca="1">IF(OR(M47="住宅",J51&lt;L48,J56="是"),"——",ROUND(C29*J58,0))</f>
        <v>609414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f ca="1">IF(OR(M47="住宅",J51&lt;L48,J56="是"),"0",ROUND(J59/(1+J52)^J53,0))</f>
        <v>35008</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127977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IF(项目基本情况!B11="自然人","——",ROUND(F62*F63,0))</f>
        <v>683</v>
      </c>
      <c r="D62" s="1184" t="s">
        <v>1492</v>
      </c>
      <c r="E62" s="1169" t="s">
        <v>1493</v>
      </c>
      <c r="F62" s="371">
        <f t="shared" si="0"/>
        <v>12</v>
      </c>
      <c r="I62" s="1928" t="s">
        <v>1565</v>
      </c>
      <c r="J62" s="1929" t="s">
        <v>1566</v>
      </c>
      <c r="K62" s="1929" t="s">
        <v>1567</v>
      </c>
      <c r="L62" s="1929" t="s">
        <v>1568</v>
      </c>
      <c r="M62" s="1930" t="s">
        <v>1569</v>
      </c>
      <c r="O62" s="1884" t="s">
        <v>1043</v>
      </c>
      <c r="P62" s="1885" t="s">
        <v>1570</v>
      </c>
      <c r="Q62" s="1886">
        <f ca="1">Q56+Q57</f>
        <v>16792861</v>
      </c>
      <c r="R62" s="1886" t="s">
        <v>1044</v>
      </c>
    </row>
    <row r="63" spans="1:18" s="1842" customFormat="1" ht="13.5" thickBot="1">
      <c r="A63" s="372"/>
      <c r="B63" s="1175"/>
      <c r="C63" s="29"/>
      <c r="D63" s="1185"/>
      <c r="E63" s="1169" t="s">
        <v>1494</v>
      </c>
      <c r="F63" s="348">
        <f t="shared" ca="1" si="0"/>
        <v>56.93</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22853</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2102</v>
      </c>
      <c r="D65" s="1183" t="s">
        <v>1449</v>
      </c>
      <c r="E65" s="1169" t="s">
        <v>1450</v>
      </c>
      <c r="F65" s="376">
        <f t="shared" ca="1" si="0"/>
        <v>1.5E-3</v>
      </c>
      <c r="I65" s="1928" t="s">
        <v>1574</v>
      </c>
      <c r="J65" s="1929">
        <v>40</v>
      </c>
      <c r="K65" s="1929">
        <v>30</v>
      </c>
      <c r="L65" s="1929">
        <v>50</v>
      </c>
      <c r="M65" s="1931">
        <v>0.02</v>
      </c>
      <c r="O65" s="1884" t="s">
        <v>1037</v>
      </c>
      <c r="P65" s="1885" t="s">
        <v>1575</v>
      </c>
      <c r="Q65" s="1886">
        <f ca="1">C40+J29</f>
        <v>16792861</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-153615</v>
      </c>
      <c r="D67" s="1182" t="s">
        <v>1459</v>
      </c>
      <c r="E67" s="1187"/>
      <c r="F67" s="1188"/>
      <c r="O67" s="1894" t="s">
        <v>1039</v>
      </c>
      <c r="P67" s="1885" t="s">
        <v>1557</v>
      </c>
      <c r="Q67" s="1932">
        <f ca="1">L51</f>
        <v>10263903</v>
      </c>
      <c r="R67" s="1886" t="s">
        <v>1577</v>
      </c>
    </row>
    <row r="68" spans="1:18" s="1842" customFormat="1" ht="16.5" thickBot="1">
      <c r="A68" s="1166" t="s">
        <v>1029</v>
      </c>
      <c r="B68" s="1167" t="s">
        <v>1480</v>
      </c>
      <c r="C68" s="346">
        <f ca="1">ROUND(C67*(1-((1+F70)/(1+F68))^F69)/(F68-F70),0)</f>
        <v>-3491509</v>
      </c>
      <c r="D68" s="1184" t="s">
        <v>1464</v>
      </c>
      <c r="E68" s="1169" t="s">
        <v>1465</v>
      </c>
      <c r="F68" s="357">
        <f ca="1">F40</f>
        <v>5.5E-2</v>
      </c>
      <c r="O68" s="1894" t="s">
        <v>1040</v>
      </c>
      <c r="P68" s="1933" t="s">
        <v>1578</v>
      </c>
      <c r="Q68" s="1886">
        <f ca="1">ROUND(Q69-Q70*Q71,0)</f>
        <v>626699</v>
      </c>
      <c r="R68" s="1886" t="s">
        <v>1048</v>
      </c>
    </row>
    <row r="69" spans="1:18" s="1842" customFormat="1" ht="13.5" thickBot="1">
      <c r="A69" s="1170"/>
      <c r="B69" s="1171"/>
      <c r="C69" s="351"/>
      <c r="D69" s="1189" t="s">
        <v>1468</v>
      </c>
      <c r="E69" s="1169" t="s">
        <v>1469</v>
      </c>
      <c r="F69" s="379">
        <f ca="1">F41</f>
        <v>35.020000000000003</v>
      </c>
      <c r="O69" s="1894" t="s">
        <v>1045</v>
      </c>
      <c r="P69" s="1933" t="s">
        <v>1579</v>
      </c>
      <c r="Q69" s="1886">
        <f ca="1">C39</f>
        <v>738831</v>
      </c>
      <c r="R69" s="1886" t="s">
        <v>1524</v>
      </c>
    </row>
    <row r="70" spans="1:18" s="1842" customFormat="1" ht="13.5" thickBot="1">
      <c r="A70" s="1173"/>
      <c r="B70" s="1174"/>
      <c r="C70" s="355"/>
      <c r="D70" s="1185"/>
      <c r="E70" s="1169" t="s">
        <v>1472</v>
      </c>
      <c r="F70" s="1275">
        <f ca="1">F42</f>
        <v>0.03</v>
      </c>
      <c r="O70" s="1894" t="s">
        <v>1046</v>
      </c>
      <c r="P70" s="1933" t="s">
        <v>1580</v>
      </c>
      <c r="Q70" s="1886">
        <f ca="1">C13</f>
        <v>1401653</v>
      </c>
      <c r="R70" s="1886" t="s">
        <v>1524</v>
      </c>
    </row>
    <row r="71" spans="1:18" s="1842" customFormat="1" ht="13.5" thickBot="1">
      <c r="A71" s="1190" t="s">
        <v>1030</v>
      </c>
      <c r="B71" s="1191" t="s">
        <v>1482</v>
      </c>
      <c r="C71" s="382">
        <f ca="1">ROUND(C68/F71,0)</f>
        <v>-10986</v>
      </c>
      <c r="D71" s="1192" t="s">
        <v>1483</v>
      </c>
      <c r="E71" s="1193" t="s">
        <v>1484</v>
      </c>
      <c r="F71" s="385">
        <f ca="1">F43</f>
        <v>317.81</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112132</v>
      </c>
      <c r="D75" s="1842"/>
      <c r="E75" s="1842"/>
      <c r="F75" s="1842"/>
      <c r="K75" s="1868"/>
      <c r="L75" s="1842"/>
      <c r="O75" s="1884" t="s">
        <v>1043</v>
      </c>
      <c r="P75" s="1885" t="s">
        <v>1544</v>
      </c>
      <c r="Q75" s="1886">
        <f ca="1">Q65+Q66</f>
        <v>16792861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0.84799999999999998</v>
      </c>
    </row>
    <row r="80" spans="1:18">
      <c r="B80" s="386" t="s">
        <v>1506</v>
      </c>
      <c r="C80" s="318">
        <f ca="1">ROUND(C75/C39,3)</f>
        <v>0.152</v>
      </c>
    </row>
    <row r="81" spans="2:3">
      <c r="B81" s="314" t="s">
        <v>1507</v>
      </c>
      <c r="C81" s="282"/>
    </row>
    <row r="82" spans="2:3">
      <c r="B82" s="317" t="s">
        <v>1508</v>
      </c>
      <c r="C82" s="319">
        <f ca="1">1-C83</f>
        <v>0.91700000000000004</v>
      </c>
    </row>
    <row r="83" spans="2:3">
      <c r="B83" s="317" t="s">
        <v>1509</v>
      </c>
      <c r="C83" s="318">
        <f ca="1">ROUND(C13/C40,3)</f>
        <v>8.3000000000000004E-2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2" sqref="U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20.125" style="27" customWidth="1"/>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86" t="s">
        <v>3007</v>
      </c>
      <c r="D1" s="3287"/>
      <c r="E1" s="3287"/>
      <c r="F1" s="3287"/>
      <c r="G1" s="3287"/>
      <c r="H1" s="3287"/>
      <c r="I1" s="3287"/>
      <c r="J1" s="3287"/>
      <c r="K1" s="3287"/>
      <c r="L1" s="3287"/>
      <c r="M1" s="3287"/>
      <c r="N1" s="3287"/>
      <c r="O1" s="3287"/>
      <c r="P1" s="3287"/>
      <c r="Q1" s="3287"/>
      <c r="R1" s="3287"/>
      <c r="S1" s="3288"/>
      <c r="T1" s="1204" t="s">
        <v>3008</v>
      </c>
    </row>
    <row r="2" spans="1:45" s="707" customFormat="1" ht="38.25">
      <c r="A2" s="1205"/>
      <c r="B2" s="703" t="s">
        <v>3009</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500</v>
      </c>
      <c r="F3" s="1704">
        <v>1000</v>
      </c>
      <c r="G3" s="1704">
        <v>1500</v>
      </c>
      <c r="H3" s="1704">
        <v>2000</v>
      </c>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97</v>
      </c>
      <c r="D4" s="1211">
        <v>100</v>
      </c>
      <c r="E4" s="1211">
        <v>97</v>
      </c>
      <c r="F4" s="1708">
        <v>94</v>
      </c>
      <c r="G4" s="1708">
        <v>91</v>
      </c>
      <c r="H4" s="1708">
        <v>88</v>
      </c>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37.5">
      <c r="A17" s="2910" t="s">
        <v>3016</v>
      </c>
      <c r="B17" s="2911" t="s">
        <v>3017</v>
      </c>
      <c r="C17" s="1231" t="s">
        <v>3092</v>
      </c>
      <c r="D17" s="1232" t="s">
        <v>3093</v>
      </c>
      <c r="E17" s="1232" t="s">
        <v>3094</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96</v>
      </c>
      <c r="E18" s="1244">
        <v>92</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3018</v>
      </c>
      <c r="E19" s="1792"/>
      <c r="F19" s="1792"/>
      <c r="G19" s="1792"/>
      <c r="H19" s="1280"/>
      <c r="I19" s="168"/>
      <c r="J19" s="168"/>
      <c r="K19" s="168"/>
      <c r="L19" s="168"/>
      <c r="M19" s="168"/>
      <c r="N19" s="168"/>
      <c r="O19" s="168"/>
      <c r="P19" s="168"/>
      <c r="Q19" s="168"/>
      <c r="R19" s="788"/>
      <c r="S19" s="138"/>
    </row>
    <row r="20" spans="1:45" ht="16.5" thickBot="1">
      <c r="A20" s="715" t="s">
        <v>3019</v>
      </c>
      <c r="B20" s="338">
        <f ca="1">IF(D20="——",S22,S22-F20)</f>
        <v>50084</v>
      </c>
      <c r="C20" s="168"/>
      <c r="D20" s="2913" t="s">
        <v>70</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 ca="1">R22</f>
        <v>56495</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8865.2300000000032</v>
      </c>
      <c r="C22" s="3220" t="s">
        <v>33</v>
      </c>
      <c r="D22" s="3221"/>
      <c r="E22" s="3221"/>
      <c r="F22" s="3221"/>
      <c r="G22" s="3221"/>
      <c r="H22" s="3221"/>
      <c r="I22" s="3221"/>
      <c r="J22" s="3221"/>
      <c r="K22" s="3221"/>
      <c r="L22" s="3221"/>
      <c r="M22" s="3221"/>
      <c r="N22" s="3221"/>
      <c r="O22" s="3221"/>
      <c r="P22" s="3221"/>
      <c r="Q22" s="3285"/>
      <c r="R22" s="716">
        <f ca="1">ROUND(S22*10000/B22,0)</f>
        <v>56495</v>
      </c>
      <c r="S22" s="24">
        <f ca="1">SUM(S24:S10000)</f>
        <v>50084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Sheet1!C7</f>
        <v>12202</v>
      </c>
      <c r="B24" s="718">
        <f>Sheet1!E7</f>
        <v>317.81</v>
      </c>
      <c r="C24" s="719">
        <v>1</v>
      </c>
      <c r="D24" s="720"/>
      <c r="E24" s="719">
        <v>1</v>
      </c>
      <c r="F24" s="720"/>
      <c r="G24" s="719">
        <v>1</v>
      </c>
      <c r="H24" s="720"/>
      <c r="I24" s="719">
        <v>1</v>
      </c>
      <c r="J24" s="720"/>
      <c r="K24" s="719">
        <v>1</v>
      </c>
      <c r="L24" s="720"/>
      <c r="M24" s="719">
        <v>1</v>
      </c>
      <c r="N24" s="720"/>
      <c r="O24" s="719">
        <v>1</v>
      </c>
      <c r="P24" s="720" t="s">
        <v>3095</v>
      </c>
      <c r="Q24" s="719">
        <v>1</v>
      </c>
      <c r="R24" s="721">
        <f ca="1">结果表!G20</f>
        <v>58781</v>
      </c>
      <c r="S24" s="719">
        <f t="shared" ref="S24:S54" ca="1" si="11">ROUND(R24*B24/10000,0)</f>
        <v>1868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Sheet1!C4</f>
        <v>1021</v>
      </c>
      <c r="B25" s="59">
        <f>Sheet1!E4</f>
        <v>724.71</v>
      </c>
      <c r="C25" s="24">
        <f>IF(B25="",1,(LOOKUP(B25,$3:$3,$4:$4)-LOOKUP($B$24,$3:$3,$4:$4)+100)/100)</f>
        <v>0.97</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3152</v>
      </c>
      <c r="Q25" s="24">
        <f>(SUMIF($17:$17,P25,$18:$18)-SUMIF($17:$17,$P$24,$18:$18)+100)/100</f>
        <v>0.92</v>
      </c>
      <c r="R25" s="716">
        <f ca="1">IF(B25="",0,ROUND($R$24*C25*E25*G25*I25*K25*M25*O25*Q25,0))</f>
        <v>52456</v>
      </c>
      <c r="S25" s="361">
        <f t="shared" ca="1" si="11"/>
        <v>3802</v>
      </c>
    </row>
    <row r="26" spans="1:45">
      <c r="A26" s="159">
        <f>Sheet1!C5</f>
        <v>1023</v>
      </c>
      <c r="B26" s="59">
        <f>Sheet1!E5</f>
        <v>815.04</v>
      </c>
      <c r="C26" s="24">
        <f t="shared" ref="C26:C89" si="12">IF(B26="",1,(LOOKUP(B26,$3:$3,$4:$4)-LOOKUP($B$24,$3:$3,$4:$4)+100)/100)</f>
        <v>0.97</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3152</v>
      </c>
      <c r="Q26" s="24">
        <f t="shared" ref="Q26:Q89" si="19">(SUMIF($17:$17,P26,$18:$18)-SUMIF($17:$17,$P$24,$18:$18)+100)/100</f>
        <v>0.92</v>
      </c>
      <c r="R26" s="716">
        <f t="shared" ref="R26:R89" ca="1" si="20">IF(B26="",0,ROUND($R$24*C26*E26*G26*I26*K26*M26*O26*Q26,0))</f>
        <v>52456</v>
      </c>
      <c r="S26" s="361">
        <f t="shared" ca="1" si="11"/>
        <v>4275</v>
      </c>
    </row>
    <row r="27" spans="1:45">
      <c r="A27" s="159">
        <f>Sheet1!C6</f>
        <v>12201</v>
      </c>
      <c r="B27" s="59">
        <f>Sheet1!E6</f>
        <v>105.91</v>
      </c>
      <c r="C27" s="24">
        <f t="shared" si="12"/>
        <v>0.97</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3095</v>
      </c>
      <c r="Q27" s="24">
        <f t="shared" si="19"/>
        <v>1</v>
      </c>
      <c r="R27" s="716">
        <f t="shared" ca="1" si="20"/>
        <v>57018</v>
      </c>
      <c r="S27" s="361">
        <f t="shared" ca="1" si="11"/>
        <v>604</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f>Sheet1!C8</f>
        <v>12203</v>
      </c>
      <c r="B29" s="59">
        <f>Sheet1!E8</f>
        <v>160.43</v>
      </c>
      <c r="C29" s="24">
        <f t="shared" si="12"/>
        <v>0.97</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3095</v>
      </c>
      <c r="Q29" s="24">
        <f t="shared" si="19"/>
        <v>1</v>
      </c>
      <c r="R29" s="716">
        <f t="shared" ca="1" si="20"/>
        <v>57018</v>
      </c>
      <c r="S29" s="361">
        <f t="shared" ca="1" si="11"/>
        <v>915</v>
      </c>
    </row>
    <row r="30" spans="1:45">
      <c r="A30" s="159">
        <f>Sheet1!C9</f>
        <v>12206</v>
      </c>
      <c r="B30" s="59">
        <f>Sheet1!E9</f>
        <v>160.43</v>
      </c>
      <c r="C30" s="24">
        <f t="shared" si="12"/>
        <v>0.97</v>
      </c>
      <c r="D30" s="720"/>
      <c r="E30" s="24">
        <f t="shared" si="13"/>
        <v>1</v>
      </c>
      <c r="F30" s="720"/>
      <c r="G30" s="24">
        <f t="shared" si="14"/>
        <v>1</v>
      </c>
      <c r="H30" s="720"/>
      <c r="I30" s="24">
        <f t="shared" si="15"/>
        <v>1</v>
      </c>
      <c r="J30" s="720"/>
      <c r="K30" s="24">
        <f t="shared" si="16"/>
        <v>1</v>
      </c>
      <c r="L30" s="720"/>
      <c r="M30" s="24">
        <f t="shared" si="17"/>
        <v>1</v>
      </c>
      <c r="N30" s="720"/>
      <c r="O30" s="24">
        <f t="shared" si="18"/>
        <v>1</v>
      </c>
      <c r="P30" s="3038" t="s">
        <v>3095</v>
      </c>
      <c r="Q30" s="24">
        <f t="shared" si="19"/>
        <v>1</v>
      </c>
      <c r="R30" s="716">
        <f t="shared" ca="1" si="20"/>
        <v>57018</v>
      </c>
      <c r="S30" s="361">
        <f t="shared" ca="1" si="11"/>
        <v>915</v>
      </c>
    </row>
    <row r="31" spans="1:45">
      <c r="A31" s="159">
        <f>Sheet1!C10</f>
        <v>12207</v>
      </c>
      <c r="B31" s="59">
        <f>Sheet1!E10</f>
        <v>160.43</v>
      </c>
      <c r="C31" s="24">
        <f t="shared" si="12"/>
        <v>0.97</v>
      </c>
      <c r="D31" s="720"/>
      <c r="E31" s="24">
        <f t="shared" si="13"/>
        <v>1</v>
      </c>
      <c r="F31" s="720"/>
      <c r="G31" s="24">
        <f t="shared" si="14"/>
        <v>1</v>
      </c>
      <c r="H31" s="720"/>
      <c r="I31" s="24">
        <f t="shared" si="15"/>
        <v>1</v>
      </c>
      <c r="J31" s="720"/>
      <c r="K31" s="24">
        <f t="shared" si="16"/>
        <v>1</v>
      </c>
      <c r="L31" s="720"/>
      <c r="M31" s="24">
        <f t="shared" si="17"/>
        <v>1</v>
      </c>
      <c r="N31" s="720"/>
      <c r="O31" s="24">
        <f t="shared" si="18"/>
        <v>1</v>
      </c>
      <c r="P31" s="3038" t="s">
        <v>3095</v>
      </c>
      <c r="Q31" s="24">
        <f t="shared" si="19"/>
        <v>1</v>
      </c>
      <c r="R31" s="716">
        <f t="shared" ca="1" si="20"/>
        <v>57018</v>
      </c>
      <c r="S31" s="361">
        <f t="shared" ca="1" si="11"/>
        <v>915</v>
      </c>
    </row>
    <row r="32" spans="1:45">
      <c r="A32" s="159">
        <f>Sheet1!C11</f>
        <v>12208</v>
      </c>
      <c r="B32" s="59">
        <f>Sheet1!E11</f>
        <v>160.43</v>
      </c>
      <c r="C32" s="24">
        <f t="shared" si="12"/>
        <v>0.97</v>
      </c>
      <c r="D32" s="720"/>
      <c r="E32" s="24">
        <f t="shared" si="13"/>
        <v>1</v>
      </c>
      <c r="F32" s="720"/>
      <c r="G32" s="24">
        <f t="shared" si="14"/>
        <v>1</v>
      </c>
      <c r="H32" s="720"/>
      <c r="I32" s="24">
        <f t="shared" si="15"/>
        <v>1</v>
      </c>
      <c r="J32" s="720"/>
      <c r="K32" s="24">
        <f t="shared" si="16"/>
        <v>1</v>
      </c>
      <c r="L32" s="720"/>
      <c r="M32" s="24">
        <f t="shared" si="17"/>
        <v>1</v>
      </c>
      <c r="N32" s="720"/>
      <c r="O32" s="24">
        <f t="shared" si="18"/>
        <v>1</v>
      </c>
      <c r="P32" s="3038" t="s">
        <v>3095</v>
      </c>
      <c r="Q32" s="24">
        <f t="shared" si="19"/>
        <v>1</v>
      </c>
      <c r="R32" s="716">
        <f t="shared" ca="1" si="20"/>
        <v>57018</v>
      </c>
      <c r="S32" s="361">
        <f t="shared" ca="1" si="11"/>
        <v>915</v>
      </c>
    </row>
    <row r="33" spans="1:19">
      <c r="A33" s="159">
        <f>Sheet1!C12</f>
        <v>12209</v>
      </c>
      <c r="B33" s="59">
        <f>Sheet1!E12</f>
        <v>160.43</v>
      </c>
      <c r="C33" s="24">
        <f t="shared" si="12"/>
        <v>0.97</v>
      </c>
      <c r="D33" s="720"/>
      <c r="E33" s="24">
        <f t="shared" si="13"/>
        <v>1</v>
      </c>
      <c r="F33" s="720"/>
      <c r="G33" s="24">
        <f t="shared" si="14"/>
        <v>1</v>
      </c>
      <c r="H33" s="720"/>
      <c r="I33" s="24">
        <f t="shared" si="15"/>
        <v>1</v>
      </c>
      <c r="J33" s="720"/>
      <c r="K33" s="24">
        <f t="shared" si="16"/>
        <v>1</v>
      </c>
      <c r="L33" s="720"/>
      <c r="M33" s="24">
        <f t="shared" si="17"/>
        <v>1</v>
      </c>
      <c r="N33" s="720"/>
      <c r="O33" s="24">
        <f t="shared" si="18"/>
        <v>1</v>
      </c>
      <c r="P33" s="3038" t="s">
        <v>3095</v>
      </c>
      <c r="Q33" s="24">
        <f t="shared" si="19"/>
        <v>1</v>
      </c>
      <c r="R33" s="716">
        <f t="shared" ca="1" si="20"/>
        <v>57018</v>
      </c>
      <c r="S33" s="361">
        <f t="shared" ca="1" si="11"/>
        <v>915</v>
      </c>
    </row>
    <row r="34" spans="1:19">
      <c r="A34" s="159">
        <f>Sheet1!C13</f>
        <v>12210</v>
      </c>
      <c r="B34" s="59">
        <f>Sheet1!E13</f>
        <v>160.43</v>
      </c>
      <c r="C34" s="24">
        <f t="shared" si="12"/>
        <v>0.97</v>
      </c>
      <c r="D34" s="720"/>
      <c r="E34" s="24">
        <f t="shared" si="13"/>
        <v>1</v>
      </c>
      <c r="F34" s="720"/>
      <c r="G34" s="24">
        <f t="shared" si="14"/>
        <v>1</v>
      </c>
      <c r="H34" s="720"/>
      <c r="I34" s="24">
        <f t="shared" si="15"/>
        <v>1</v>
      </c>
      <c r="J34" s="720"/>
      <c r="K34" s="24">
        <f t="shared" si="16"/>
        <v>1</v>
      </c>
      <c r="L34" s="720"/>
      <c r="M34" s="24">
        <f t="shared" si="17"/>
        <v>1</v>
      </c>
      <c r="N34" s="720"/>
      <c r="O34" s="24">
        <f t="shared" si="18"/>
        <v>1</v>
      </c>
      <c r="P34" s="3038" t="s">
        <v>3095</v>
      </c>
      <c r="Q34" s="24">
        <f t="shared" si="19"/>
        <v>1</v>
      </c>
      <c r="R34" s="716">
        <f t="shared" ca="1" si="20"/>
        <v>57018</v>
      </c>
      <c r="S34" s="361">
        <f t="shared" ca="1" si="11"/>
        <v>915</v>
      </c>
    </row>
    <row r="35" spans="1:19">
      <c r="A35" s="159">
        <f>Sheet1!C14</f>
        <v>12211</v>
      </c>
      <c r="B35" s="59">
        <f>Sheet1!E14</f>
        <v>171.18</v>
      </c>
      <c r="C35" s="24">
        <f t="shared" si="12"/>
        <v>0.97</v>
      </c>
      <c r="D35" s="720"/>
      <c r="E35" s="24">
        <f t="shared" si="13"/>
        <v>1</v>
      </c>
      <c r="F35" s="720"/>
      <c r="G35" s="24">
        <f t="shared" si="14"/>
        <v>1</v>
      </c>
      <c r="H35" s="720"/>
      <c r="I35" s="24">
        <f t="shared" si="15"/>
        <v>1</v>
      </c>
      <c r="J35" s="720"/>
      <c r="K35" s="24">
        <f t="shared" si="16"/>
        <v>1</v>
      </c>
      <c r="L35" s="720"/>
      <c r="M35" s="24">
        <f t="shared" si="17"/>
        <v>1</v>
      </c>
      <c r="N35" s="720"/>
      <c r="O35" s="24">
        <f t="shared" si="18"/>
        <v>1</v>
      </c>
      <c r="P35" s="3038" t="s">
        <v>3095</v>
      </c>
      <c r="Q35" s="24">
        <f t="shared" si="19"/>
        <v>1</v>
      </c>
      <c r="R35" s="716">
        <f t="shared" ca="1" si="20"/>
        <v>57018</v>
      </c>
      <c r="S35" s="361">
        <f t="shared" ca="1" si="11"/>
        <v>976</v>
      </c>
    </row>
    <row r="36" spans="1:19">
      <c r="A36" s="159">
        <f>Sheet1!C15</f>
        <v>1225</v>
      </c>
      <c r="B36" s="59">
        <f>Sheet1!E15</f>
        <v>94.14</v>
      </c>
      <c r="C36" s="24">
        <f t="shared" si="12"/>
        <v>0.97</v>
      </c>
      <c r="D36" s="720"/>
      <c r="E36" s="24">
        <f t="shared" si="13"/>
        <v>1</v>
      </c>
      <c r="F36" s="720"/>
      <c r="G36" s="24">
        <f t="shared" si="14"/>
        <v>1</v>
      </c>
      <c r="H36" s="720"/>
      <c r="I36" s="24">
        <f t="shared" si="15"/>
        <v>1</v>
      </c>
      <c r="J36" s="720"/>
      <c r="K36" s="24">
        <f t="shared" si="16"/>
        <v>1</v>
      </c>
      <c r="L36" s="720"/>
      <c r="M36" s="24">
        <f t="shared" si="17"/>
        <v>1</v>
      </c>
      <c r="N36" s="720"/>
      <c r="O36" s="24">
        <f t="shared" si="18"/>
        <v>1</v>
      </c>
      <c r="P36" s="3038" t="s">
        <v>3095</v>
      </c>
      <c r="Q36" s="24">
        <f t="shared" si="19"/>
        <v>1</v>
      </c>
      <c r="R36" s="716">
        <f t="shared" ca="1" si="20"/>
        <v>57018</v>
      </c>
      <c r="S36" s="361">
        <f t="shared" ca="1" si="11"/>
        <v>537</v>
      </c>
    </row>
    <row r="37" spans="1:19">
      <c r="A37" s="159">
        <f>Sheet1!C16</f>
        <v>12301</v>
      </c>
      <c r="B37" s="59">
        <f>Sheet1!E16</f>
        <v>105.91</v>
      </c>
      <c r="C37" s="24">
        <f t="shared" si="12"/>
        <v>0.97</v>
      </c>
      <c r="D37" s="720"/>
      <c r="E37" s="24">
        <f t="shared" si="13"/>
        <v>1</v>
      </c>
      <c r="F37" s="720"/>
      <c r="G37" s="24">
        <f t="shared" si="14"/>
        <v>1</v>
      </c>
      <c r="H37" s="720"/>
      <c r="I37" s="24">
        <f t="shared" si="15"/>
        <v>1</v>
      </c>
      <c r="J37" s="720"/>
      <c r="K37" s="24">
        <f t="shared" si="16"/>
        <v>1</v>
      </c>
      <c r="L37" s="720"/>
      <c r="M37" s="24">
        <f t="shared" si="17"/>
        <v>1</v>
      </c>
      <c r="N37" s="720"/>
      <c r="O37" s="24">
        <f t="shared" si="18"/>
        <v>1</v>
      </c>
      <c r="P37" s="3038" t="s">
        <v>3095</v>
      </c>
      <c r="Q37" s="24">
        <f t="shared" si="19"/>
        <v>1</v>
      </c>
      <c r="R37" s="716">
        <f t="shared" ca="1" si="20"/>
        <v>57018</v>
      </c>
      <c r="S37" s="361">
        <f t="shared" ca="1" si="11"/>
        <v>604</v>
      </c>
    </row>
    <row r="38" spans="1:19">
      <c r="A38" s="159">
        <f>Sheet1!C17</f>
        <v>12302</v>
      </c>
      <c r="B38" s="59">
        <f>Sheet1!E17</f>
        <v>317.81</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3038" t="s">
        <v>3095</v>
      </c>
      <c r="Q38" s="24">
        <f t="shared" si="19"/>
        <v>1</v>
      </c>
      <c r="R38" s="716">
        <f t="shared" ca="1" si="20"/>
        <v>58781</v>
      </c>
      <c r="S38" s="361">
        <f t="shared" ca="1" si="11"/>
        <v>1868</v>
      </c>
    </row>
    <row r="39" spans="1:19">
      <c r="A39" s="159">
        <f>Sheet1!C18</f>
        <v>12303</v>
      </c>
      <c r="B39" s="59">
        <f>Sheet1!E18</f>
        <v>160.43</v>
      </c>
      <c r="C39" s="24">
        <f t="shared" si="12"/>
        <v>0.97</v>
      </c>
      <c r="D39" s="720"/>
      <c r="E39" s="24">
        <f t="shared" si="13"/>
        <v>1</v>
      </c>
      <c r="F39" s="720"/>
      <c r="G39" s="24">
        <f t="shared" si="14"/>
        <v>1</v>
      </c>
      <c r="H39" s="720"/>
      <c r="I39" s="24">
        <f t="shared" si="15"/>
        <v>1</v>
      </c>
      <c r="J39" s="720"/>
      <c r="K39" s="24">
        <f t="shared" si="16"/>
        <v>1</v>
      </c>
      <c r="L39" s="720"/>
      <c r="M39" s="24">
        <f t="shared" si="17"/>
        <v>1</v>
      </c>
      <c r="N39" s="720"/>
      <c r="O39" s="24">
        <f t="shared" si="18"/>
        <v>1</v>
      </c>
      <c r="P39" s="3038" t="s">
        <v>3095</v>
      </c>
      <c r="Q39" s="24">
        <f t="shared" si="19"/>
        <v>1</v>
      </c>
      <c r="R39" s="716">
        <f t="shared" ca="1" si="20"/>
        <v>57018</v>
      </c>
      <c r="S39" s="361">
        <f t="shared" ca="1" si="11"/>
        <v>915</v>
      </c>
    </row>
    <row r="40" spans="1:19">
      <c r="A40" s="159">
        <f>Sheet1!C19</f>
        <v>12306</v>
      </c>
      <c r="B40" s="59">
        <f>Sheet1!E19</f>
        <v>160.43</v>
      </c>
      <c r="C40" s="24">
        <f t="shared" si="12"/>
        <v>0.97</v>
      </c>
      <c r="D40" s="720"/>
      <c r="E40" s="24">
        <f t="shared" si="13"/>
        <v>1</v>
      </c>
      <c r="F40" s="720"/>
      <c r="G40" s="24">
        <f t="shared" si="14"/>
        <v>1</v>
      </c>
      <c r="H40" s="720"/>
      <c r="I40" s="24">
        <f t="shared" si="15"/>
        <v>1</v>
      </c>
      <c r="J40" s="720"/>
      <c r="K40" s="24">
        <f t="shared" si="16"/>
        <v>1</v>
      </c>
      <c r="L40" s="720"/>
      <c r="M40" s="24">
        <f t="shared" si="17"/>
        <v>1</v>
      </c>
      <c r="N40" s="720"/>
      <c r="O40" s="24">
        <f t="shared" si="18"/>
        <v>1</v>
      </c>
      <c r="P40" s="3038" t="s">
        <v>3095</v>
      </c>
      <c r="Q40" s="24">
        <f t="shared" si="19"/>
        <v>1</v>
      </c>
      <c r="R40" s="716">
        <f t="shared" ca="1" si="20"/>
        <v>57018</v>
      </c>
      <c r="S40" s="361">
        <f t="shared" ca="1" si="11"/>
        <v>915</v>
      </c>
    </row>
    <row r="41" spans="1:19">
      <c r="A41" s="159">
        <f>Sheet1!C20</f>
        <v>12307</v>
      </c>
      <c r="B41" s="59">
        <f>Sheet1!E20</f>
        <v>160.43</v>
      </c>
      <c r="C41" s="24">
        <f t="shared" si="12"/>
        <v>0.97</v>
      </c>
      <c r="D41" s="720"/>
      <c r="E41" s="24">
        <f t="shared" si="13"/>
        <v>1</v>
      </c>
      <c r="F41" s="720"/>
      <c r="G41" s="24">
        <f t="shared" si="14"/>
        <v>1</v>
      </c>
      <c r="H41" s="720"/>
      <c r="I41" s="24">
        <f t="shared" si="15"/>
        <v>1</v>
      </c>
      <c r="J41" s="720"/>
      <c r="K41" s="24">
        <f t="shared" si="16"/>
        <v>1</v>
      </c>
      <c r="L41" s="720"/>
      <c r="M41" s="24">
        <f t="shared" si="17"/>
        <v>1</v>
      </c>
      <c r="N41" s="720"/>
      <c r="O41" s="24">
        <f t="shared" si="18"/>
        <v>1</v>
      </c>
      <c r="P41" s="3038" t="s">
        <v>3095</v>
      </c>
      <c r="Q41" s="24">
        <f t="shared" si="19"/>
        <v>1</v>
      </c>
      <c r="R41" s="716">
        <f t="shared" ca="1" si="20"/>
        <v>57018</v>
      </c>
      <c r="S41" s="361">
        <f t="shared" ca="1" si="11"/>
        <v>915</v>
      </c>
    </row>
    <row r="42" spans="1:19">
      <c r="A42" s="159">
        <f>Sheet1!C21</f>
        <v>12308</v>
      </c>
      <c r="B42" s="59">
        <f>Sheet1!E21</f>
        <v>160.43</v>
      </c>
      <c r="C42" s="24">
        <f t="shared" si="12"/>
        <v>0.97</v>
      </c>
      <c r="D42" s="720"/>
      <c r="E42" s="24">
        <f t="shared" si="13"/>
        <v>1</v>
      </c>
      <c r="F42" s="720"/>
      <c r="G42" s="24">
        <f t="shared" si="14"/>
        <v>1</v>
      </c>
      <c r="H42" s="720"/>
      <c r="I42" s="24">
        <f t="shared" si="15"/>
        <v>1</v>
      </c>
      <c r="J42" s="720"/>
      <c r="K42" s="24">
        <f t="shared" si="16"/>
        <v>1</v>
      </c>
      <c r="L42" s="720"/>
      <c r="M42" s="24">
        <f t="shared" si="17"/>
        <v>1</v>
      </c>
      <c r="N42" s="720"/>
      <c r="O42" s="24">
        <f t="shared" si="18"/>
        <v>1</v>
      </c>
      <c r="P42" s="3038" t="s">
        <v>3095</v>
      </c>
      <c r="Q42" s="24">
        <f t="shared" si="19"/>
        <v>1</v>
      </c>
      <c r="R42" s="716">
        <f t="shared" ca="1" si="20"/>
        <v>57018</v>
      </c>
      <c r="S42" s="361">
        <f t="shared" ca="1" si="11"/>
        <v>915</v>
      </c>
    </row>
    <row r="43" spans="1:19">
      <c r="A43" s="159">
        <f>Sheet1!C22</f>
        <v>12309</v>
      </c>
      <c r="B43" s="59">
        <f>Sheet1!E22</f>
        <v>160.43</v>
      </c>
      <c r="C43" s="24">
        <f t="shared" si="12"/>
        <v>0.97</v>
      </c>
      <c r="D43" s="720"/>
      <c r="E43" s="24">
        <f t="shared" si="13"/>
        <v>1</v>
      </c>
      <c r="F43" s="720"/>
      <c r="G43" s="24">
        <f t="shared" si="14"/>
        <v>1</v>
      </c>
      <c r="H43" s="720"/>
      <c r="I43" s="24">
        <f t="shared" si="15"/>
        <v>1</v>
      </c>
      <c r="J43" s="720"/>
      <c r="K43" s="24">
        <f t="shared" si="16"/>
        <v>1</v>
      </c>
      <c r="L43" s="720"/>
      <c r="M43" s="24">
        <f t="shared" si="17"/>
        <v>1</v>
      </c>
      <c r="N43" s="720"/>
      <c r="O43" s="24">
        <f t="shared" si="18"/>
        <v>1</v>
      </c>
      <c r="P43" s="3038" t="s">
        <v>3095</v>
      </c>
      <c r="Q43" s="24">
        <f t="shared" si="19"/>
        <v>1</v>
      </c>
      <c r="R43" s="716">
        <f t="shared" ca="1" si="20"/>
        <v>57018</v>
      </c>
      <c r="S43" s="361">
        <f t="shared" ca="1" si="11"/>
        <v>915</v>
      </c>
    </row>
    <row r="44" spans="1:19">
      <c r="A44" s="159">
        <f>Sheet1!C23</f>
        <v>12310</v>
      </c>
      <c r="B44" s="59">
        <f>Sheet1!E23</f>
        <v>160.43</v>
      </c>
      <c r="C44" s="24">
        <f t="shared" si="12"/>
        <v>0.97</v>
      </c>
      <c r="D44" s="720"/>
      <c r="E44" s="24">
        <f t="shared" si="13"/>
        <v>1</v>
      </c>
      <c r="F44" s="720"/>
      <c r="G44" s="24">
        <f t="shared" si="14"/>
        <v>1</v>
      </c>
      <c r="H44" s="720"/>
      <c r="I44" s="24">
        <f t="shared" si="15"/>
        <v>1</v>
      </c>
      <c r="J44" s="720"/>
      <c r="K44" s="24">
        <f t="shared" si="16"/>
        <v>1</v>
      </c>
      <c r="L44" s="720"/>
      <c r="M44" s="24">
        <f t="shared" si="17"/>
        <v>1</v>
      </c>
      <c r="N44" s="720"/>
      <c r="O44" s="24">
        <f t="shared" si="18"/>
        <v>1</v>
      </c>
      <c r="P44" s="3038" t="s">
        <v>3095</v>
      </c>
      <c r="Q44" s="24">
        <f t="shared" si="19"/>
        <v>1</v>
      </c>
      <c r="R44" s="716">
        <f t="shared" ca="1" si="20"/>
        <v>57018</v>
      </c>
      <c r="S44" s="361">
        <f t="shared" ca="1" si="11"/>
        <v>915</v>
      </c>
    </row>
    <row r="45" spans="1:19">
      <c r="A45" s="159">
        <f>Sheet1!C24</f>
        <v>12311</v>
      </c>
      <c r="B45" s="59">
        <f>Sheet1!E24</f>
        <v>171.18</v>
      </c>
      <c r="C45" s="24">
        <f t="shared" si="12"/>
        <v>0.97</v>
      </c>
      <c r="D45" s="720"/>
      <c r="E45" s="24">
        <f t="shared" si="13"/>
        <v>1</v>
      </c>
      <c r="F45" s="720"/>
      <c r="G45" s="24">
        <f t="shared" si="14"/>
        <v>1</v>
      </c>
      <c r="H45" s="720"/>
      <c r="I45" s="24">
        <f t="shared" si="15"/>
        <v>1</v>
      </c>
      <c r="J45" s="720"/>
      <c r="K45" s="24">
        <f t="shared" si="16"/>
        <v>1</v>
      </c>
      <c r="L45" s="720"/>
      <c r="M45" s="24">
        <f t="shared" si="17"/>
        <v>1</v>
      </c>
      <c r="N45" s="720"/>
      <c r="O45" s="24">
        <f t="shared" si="18"/>
        <v>1</v>
      </c>
      <c r="P45" s="3038" t="s">
        <v>3095</v>
      </c>
      <c r="Q45" s="24">
        <f t="shared" si="19"/>
        <v>1</v>
      </c>
      <c r="R45" s="716">
        <f t="shared" ca="1" si="20"/>
        <v>57018</v>
      </c>
      <c r="S45" s="361">
        <f t="shared" ca="1" si="11"/>
        <v>976</v>
      </c>
    </row>
    <row r="46" spans="1:19">
      <c r="A46" s="159">
        <f>Sheet1!C25</f>
        <v>1235</v>
      </c>
      <c r="B46" s="59">
        <f>Sheet1!E25</f>
        <v>94.14</v>
      </c>
      <c r="C46" s="24">
        <f t="shared" si="12"/>
        <v>0.97</v>
      </c>
      <c r="D46" s="720"/>
      <c r="E46" s="24">
        <f t="shared" si="13"/>
        <v>1</v>
      </c>
      <c r="F46" s="720"/>
      <c r="G46" s="24">
        <f t="shared" si="14"/>
        <v>1</v>
      </c>
      <c r="H46" s="720"/>
      <c r="I46" s="24">
        <f t="shared" si="15"/>
        <v>1</v>
      </c>
      <c r="J46" s="720"/>
      <c r="K46" s="24">
        <f t="shared" si="16"/>
        <v>1</v>
      </c>
      <c r="L46" s="720"/>
      <c r="M46" s="24">
        <f t="shared" si="17"/>
        <v>1</v>
      </c>
      <c r="N46" s="720"/>
      <c r="O46" s="24">
        <f t="shared" si="18"/>
        <v>1</v>
      </c>
      <c r="P46" s="3038" t="s">
        <v>3095</v>
      </c>
      <c r="Q46" s="24">
        <f t="shared" si="19"/>
        <v>1</v>
      </c>
      <c r="R46" s="716">
        <f t="shared" ca="1" si="20"/>
        <v>57018</v>
      </c>
      <c r="S46" s="361">
        <f t="shared" ca="1" si="11"/>
        <v>537</v>
      </c>
    </row>
    <row r="47" spans="1:19">
      <c r="A47" s="159">
        <f>Sheet1!C26</f>
        <v>12501</v>
      </c>
      <c r="B47" s="59">
        <f>Sheet1!E26</f>
        <v>105.91</v>
      </c>
      <c r="C47" s="24">
        <f t="shared" si="12"/>
        <v>0.97</v>
      </c>
      <c r="D47" s="720"/>
      <c r="E47" s="24">
        <f t="shared" si="13"/>
        <v>1</v>
      </c>
      <c r="F47" s="720"/>
      <c r="G47" s="24">
        <f t="shared" si="14"/>
        <v>1</v>
      </c>
      <c r="H47" s="720"/>
      <c r="I47" s="24">
        <f t="shared" si="15"/>
        <v>1</v>
      </c>
      <c r="J47" s="720"/>
      <c r="K47" s="24">
        <f t="shared" si="16"/>
        <v>1</v>
      </c>
      <c r="L47" s="720"/>
      <c r="M47" s="24">
        <f t="shared" si="17"/>
        <v>1</v>
      </c>
      <c r="N47" s="720"/>
      <c r="O47" s="24">
        <f t="shared" si="18"/>
        <v>1</v>
      </c>
      <c r="P47" s="3038" t="s">
        <v>3095</v>
      </c>
      <c r="Q47" s="24">
        <f t="shared" si="19"/>
        <v>1</v>
      </c>
      <c r="R47" s="716">
        <f t="shared" ca="1" si="20"/>
        <v>57018</v>
      </c>
      <c r="S47" s="361">
        <f t="shared" ca="1" si="11"/>
        <v>604</v>
      </c>
    </row>
    <row r="48" spans="1:19">
      <c r="A48" s="159">
        <f>Sheet1!C27</f>
        <v>12502</v>
      </c>
      <c r="B48" s="59">
        <f>Sheet1!E27</f>
        <v>317.81</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3038" t="s">
        <v>3095</v>
      </c>
      <c r="Q48" s="24">
        <f t="shared" si="19"/>
        <v>1</v>
      </c>
      <c r="R48" s="716">
        <f t="shared" ca="1" si="20"/>
        <v>58781</v>
      </c>
      <c r="S48" s="361">
        <f t="shared" ca="1" si="11"/>
        <v>1868</v>
      </c>
    </row>
    <row r="49" spans="1:19">
      <c r="A49" s="159">
        <f>Sheet1!C28</f>
        <v>12503</v>
      </c>
      <c r="B49" s="59">
        <f>Sheet1!E28</f>
        <v>160.43</v>
      </c>
      <c r="C49" s="24">
        <f t="shared" si="12"/>
        <v>0.97</v>
      </c>
      <c r="D49" s="720"/>
      <c r="E49" s="24">
        <f t="shared" si="13"/>
        <v>1</v>
      </c>
      <c r="F49" s="720"/>
      <c r="G49" s="24">
        <f t="shared" si="14"/>
        <v>1</v>
      </c>
      <c r="H49" s="720"/>
      <c r="I49" s="24">
        <f t="shared" si="15"/>
        <v>1</v>
      </c>
      <c r="J49" s="720"/>
      <c r="K49" s="24">
        <f t="shared" si="16"/>
        <v>1</v>
      </c>
      <c r="L49" s="720"/>
      <c r="M49" s="24">
        <f t="shared" si="17"/>
        <v>1</v>
      </c>
      <c r="N49" s="720"/>
      <c r="O49" s="24">
        <f t="shared" si="18"/>
        <v>1</v>
      </c>
      <c r="P49" s="3038" t="s">
        <v>3095</v>
      </c>
      <c r="Q49" s="24">
        <f t="shared" si="19"/>
        <v>1</v>
      </c>
      <c r="R49" s="716">
        <f t="shared" ca="1" si="20"/>
        <v>57018</v>
      </c>
      <c r="S49" s="361">
        <f t="shared" ca="1" si="11"/>
        <v>915</v>
      </c>
    </row>
    <row r="50" spans="1:19">
      <c r="A50" s="159">
        <f>Sheet1!C29</f>
        <v>12506</v>
      </c>
      <c r="B50" s="59">
        <f>Sheet1!E29</f>
        <v>160.43</v>
      </c>
      <c r="C50" s="24">
        <f t="shared" si="12"/>
        <v>0.97</v>
      </c>
      <c r="D50" s="720"/>
      <c r="E50" s="24">
        <f t="shared" si="13"/>
        <v>1</v>
      </c>
      <c r="F50" s="720"/>
      <c r="G50" s="24">
        <f t="shared" si="14"/>
        <v>1</v>
      </c>
      <c r="H50" s="720"/>
      <c r="I50" s="24">
        <f t="shared" si="15"/>
        <v>1</v>
      </c>
      <c r="J50" s="720"/>
      <c r="K50" s="24">
        <f t="shared" si="16"/>
        <v>1</v>
      </c>
      <c r="L50" s="720"/>
      <c r="M50" s="24">
        <f t="shared" si="17"/>
        <v>1</v>
      </c>
      <c r="N50" s="720"/>
      <c r="O50" s="24">
        <f t="shared" si="18"/>
        <v>1</v>
      </c>
      <c r="P50" s="3038" t="s">
        <v>3095</v>
      </c>
      <c r="Q50" s="24">
        <f t="shared" si="19"/>
        <v>1</v>
      </c>
      <c r="R50" s="716">
        <f t="shared" ca="1" si="20"/>
        <v>57018</v>
      </c>
      <c r="S50" s="361">
        <f t="shared" ca="1" si="11"/>
        <v>915</v>
      </c>
    </row>
    <row r="51" spans="1:19">
      <c r="A51" s="159">
        <f>Sheet1!C30</f>
        <v>12507</v>
      </c>
      <c r="B51" s="59">
        <f>Sheet1!E30</f>
        <v>160.43</v>
      </c>
      <c r="C51" s="24">
        <f t="shared" si="12"/>
        <v>0.97</v>
      </c>
      <c r="D51" s="720"/>
      <c r="E51" s="24">
        <f t="shared" si="13"/>
        <v>1</v>
      </c>
      <c r="F51" s="720"/>
      <c r="G51" s="24">
        <f t="shared" si="14"/>
        <v>1</v>
      </c>
      <c r="H51" s="720"/>
      <c r="I51" s="24">
        <f t="shared" si="15"/>
        <v>1</v>
      </c>
      <c r="J51" s="720"/>
      <c r="K51" s="24">
        <f t="shared" si="16"/>
        <v>1</v>
      </c>
      <c r="L51" s="720"/>
      <c r="M51" s="24">
        <f t="shared" si="17"/>
        <v>1</v>
      </c>
      <c r="N51" s="720"/>
      <c r="O51" s="24">
        <f t="shared" si="18"/>
        <v>1</v>
      </c>
      <c r="P51" s="3038" t="s">
        <v>3095</v>
      </c>
      <c r="Q51" s="24">
        <f t="shared" si="19"/>
        <v>1</v>
      </c>
      <c r="R51" s="716">
        <f t="shared" ca="1" si="20"/>
        <v>57018</v>
      </c>
      <c r="S51" s="361">
        <f t="shared" ca="1" si="11"/>
        <v>915</v>
      </c>
    </row>
    <row r="52" spans="1:19">
      <c r="A52" s="159">
        <f>Sheet1!C31</f>
        <v>12508</v>
      </c>
      <c r="B52" s="59">
        <f>Sheet1!E31</f>
        <v>160.43</v>
      </c>
      <c r="C52" s="24">
        <f t="shared" si="12"/>
        <v>0.97</v>
      </c>
      <c r="D52" s="720"/>
      <c r="E52" s="24">
        <f t="shared" si="13"/>
        <v>1</v>
      </c>
      <c r="F52" s="720"/>
      <c r="G52" s="24">
        <f t="shared" si="14"/>
        <v>1</v>
      </c>
      <c r="H52" s="720"/>
      <c r="I52" s="24">
        <f t="shared" si="15"/>
        <v>1</v>
      </c>
      <c r="J52" s="720"/>
      <c r="K52" s="24">
        <f t="shared" si="16"/>
        <v>1</v>
      </c>
      <c r="L52" s="720"/>
      <c r="M52" s="24">
        <f t="shared" si="17"/>
        <v>1</v>
      </c>
      <c r="N52" s="720"/>
      <c r="O52" s="24">
        <f t="shared" si="18"/>
        <v>1</v>
      </c>
      <c r="P52" s="3038" t="s">
        <v>3095</v>
      </c>
      <c r="Q52" s="24">
        <f t="shared" si="19"/>
        <v>1</v>
      </c>
      <c r="R52" s="716">
        <f t="shared" ca="1" si="20"/>
        <v>57018</v>
      </c>
      <c r="S52" s="361">
        <f t="shared" ca="1" si="11"/>
        <v>915</v>
      </c>
    </row>
    <row r="53" spans="1:19">
      <c r="A53" s="159">
        <f>Sheet1!C32</f>
        <v>12509</v>
      </c>
      <c r="B53" s="59">
        <f>Sheet1!E32</f>
        <v>160.43</v>
      </c>
      <c r="C53" s="24">
        <f t="shared" si="12"/>
        <v>0.97</v>
      </c>
      <c r="D53" s="720"/>
      <c r="E53" s="24">
        <f t="shared" si="13"/>
        <v>1</v>
      </c>
      <c r="F53" s="720"/>
      <c r="G53" s="24">
        <f t="shared" si="14"/>
        <v>1</v>
      </c>
      <c r="H53" s="720"/>
      <c r="I53" s="24">
        <f t="shared" si="15"/>
        <v>1</v>
      </c>
      <c r="J53" s="720"/>
      <c r="K53" s="24">
        <f t="shared" si="16"/>
        <v>1</v>
      </c>
      <c r="L53" s="720"/>
      <c r="M53" s="24">
        <f t="shared" si="17"/>
        <v>1</v>
      </c>
      <c r="N53" s="720"/>
      <c r="O53" s="24">
        <f t="shared" si="18"/>
        <v>1</v>
      </c>
      <c r="P53" s="3038" t="s">
        <v>3095</v>
      </c>
      <c r="Q53" s="24">
        <f t="shared" si="19"/>
        <v>1</v>
      </c>
      <c r="R53" s="716">
        <f t="shared" ca="1" si="20"/>
        <v>57018</v>
      </c>
      <c r="S53" s="361">
        <f t="shared" ca="1" si="11"/>
        <v>915</v>
      </c>
    </row>
    <row r="54" spans="1:19">
      <c r="A54" s="159">
        <f>Sheet1!C33</f>
        <v>12510</v>
      </c>
      <c r="B54" s="59">
        <f>Sheet1!E33</f>
        <v>160.43</v>
      </c>
      <c r="C54" s="24">
        <f t="shared" si="12"/>
        <v>0.97</v>
      </c>
      <c r="D54" s="720"/>
      <c r="E54" s="24">
        <f t="shared" si="13"/>
        <v>1</v>
      </c>
      <c r="F54" s="720"/>
      <c r="G54" s="24">
        <f t="shared" si="14"/>
        <v>1</v>
      </c>
      <c r="H54" s="720"/>
      <c r="I54" s="24">
        <f t="shared" si="15"/>
        <v>1</v>
      </c>
      <c r="J54" s="720"/>
      <c r="K54" s="24">
        <f t="shared" si="16"/>
        <v>1</v>
      </c>
      <c r="L54" s="720"/>
      <c r="M54" s="24">
        <f t="shared" si="17"/>
        <v>1</v>
      </c>
      <c r="N54" s="720"/>
      <c r="O54" s="24">
        <f t="shared" si="18"/>
        <v>1</v>
      </c>
      <c r="P54" s="3038" t="s">
        <v>3095</v>
      </c>
      <c r="Q54" s="24">
        <f t="shared" si="19"/>
        <v>1</v>
      </c>
      <c r="R54" s="716">
        <f t="shared" ca="1" si="20"/>
        <v>57018</v>
      </c>
      <c r="S54" s="361">
        <f t="shared" ca="1" si="11"/>
        <v>915</v>
      </c>
    </row>
    <row r="55" spans="1:19">
      <c r="A55" s="159">
        <f>Sheet1!C34</f>
        <v>12511</v>
      </c>
      <c r="B55" s="59">
        <f>Sheet1!E34</f>
        <v>171.18</v>
      </c>
      <c r="C55" s="24">
        <f t="shared" si="12"/>
        <v>0.97</v>
      </c>
      <c r="D55" s="720"/>
      <c r="E55" s="24">
        <f t="shared" si="13"/>
        <v>1</v>
      </c>
      <c r="F55" s="720"/>
      <c r="G55" s="24">
        <f t="shared" si="14"/>
        <v>1</v>
      </c>
      <c r="H55" s="720"/>
      <c r="I55" s="24">
        <f t="shared" si="15"/>
        <v>1</v>
      </c>
      <c r="J55" s="720"/>
      <c r="K55" s="24">
        <f t="shared" si="16"/>
        <v>1</v>
      </c>
      <c r="L55" s="720"/>
      <c r="M55" s="24">
        <f t="shared" si="17"/>
        <v>1</v>
      </c>
      <c r="N55" s="720"/>
      <c r="O55" s="24">
        <f t="shared" si="18"/>
        <v>1</v>
      </c>
      <c r="P55" s="3038" t="s">
        <v>3095</v>
      </c>
      <c r="Q55" s="24">
        <f t="shared" si="19"/>
        <v>1</v>
      </c>
      <c r="R55" s="716">
        <f t="shared" ca="1" si="20"/>
        <v>57018</v>
      </c>
      <c r="S55" s="361">
        <f t="shared" ref="S55:S77" ca="1" si="21">ROUND(R55*B55/10000,0)</f>
        <v>976</v>
      </c>
    </row>
    <row r="56" spans="1:19">
      <c r="A56" s="159">
        <f>Sheet1!C35</f>
        <v>1255</v>
      </c>
      <c r="B56" s="59">
        <f>Sheet1!E35</f>
        <v>94.14</v>
      </c>
      <c r="C56" s="24">
        <f t="shared" si="12"/>
        <v>0.97</v>
      </c>
      <c r="D56" s="720"/>
      <c r="E56" s="24">
        <f t="shared" si="13"/>
        <v>1</v>
      </c>
      <c r="F56" s="720"/>
      <c r="G56" s="24">
        <f t="shared" si="14"/>
        <v>1</v>
      </c>
      <c r="H56" s="720"/>
      <c r="I56" s="24">
        <f t="shared" si="15"/>
        <v>1</v>
      </c>
      <c r="J56" s="720"/>
      <c r="K56" s="24">
        <f t="shared" si="16"/>
        <v>1</v>
      </c>
      <c r="L56" s="720"/>
      <c r="M56" s="24">
        <f t="shared" si="17"/>
        <v>1</v>
      </c>
      <c r="N56" s="720"/>
      <c r="O56" s="24">
        <f t="shared" si="18"/>
        <v>1</v>
      </c>
      <c r="P56" s="3038" t="s">
        <v>3095</v>
      </c>
      <c r="Q56" s="24">
        <f t="shared" si="19"/>
        <v>1</v>
      </c>
      <c r="R56" s="716">
        <f t="shared" ca="1" si="20"/>
        <v>57018</v>
      </c>
      <c r="S56" s="361">
        <f t="shared" ca="1" si="21"/>
        <v>537</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3038" t="s">
        <v>3153</v>
      </c>
      <c r="Q57" s="24">
        <f t="shared" si="19"/>
        <v>1</v>
      </c>
      <c r="R57" s="716">
        <f t="shared" si="20"/>
        <v>0</v>
      </c>
      <c r="S57" s="361">
        <f t="shared" si="21"/>
        <v>0</v>
      </c>
    </row>
    <row r="58" spans="1:19">
      <c r="A58" s="159">
        <f>Sheet1!C37</f>
        <v>2253</v>
      </c>
      <c r="B58" s="59">
        <f>Sheet1!E37</f>
        <v>808.97</v>
      </c>
      <c r="C58" s="24">
        <f t="shared" si="12"/>
        <v>0.97</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3095</v>
      </c>
      <c r="Q58" s="24">
        <f t="shared" si="19"/>
        <v>1</v>
      </c>
      <c r="R58" s="716">
        <f t="shared" ca="1" si="20"/>
        <v>57018</v>
      </c>
      <c r="S58" s="361">
        <f t="shared" ca="1" si="21"/>
        <v>4613</v>
      </c>
    </row>
    <row r="59" spans="1:19">
      <c r="A59" s="159">
        <f>Sheet1!C38</f>
        <v>2261</v>
      </c>
      <c r="B59" s="59">
        <f>Sheet1!E38</f>
        <v>368.33</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3095</v>
      </c>
      <c r="Q59" s="24">
        <f t="shared" si="19"/>
        <v>1</v>
      </c>
      <c r="R59" s="716">
        <f t="shared" ca="1" si="20"/>
        <v>58781</v>
      </c>
      <c r="S59" s="361">
        <f t="shared" ca="1" si="21"/>
        <v>2165</v>
      </c>
    </row>
    <row r="60" spans="1:19">
      <c r="A60" s="159">
        <f>Sheet1!C39</f>
        <v>2262</v>
      </c>
      <c r="B60" s="59">
        <f>Sheet1!E39</f>
        <v>292.74</v>
      </c>
      <c r="C60" s="24">
        <f t="shared" si="12"/>
        <v>0.97</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3095</v>
      </c>
      <c r="Q60" s="24">
        <f t="shared" si="19"/>
        <v>1</v>
      </c>
      <c r="R60" s="716">
        <f t="shared" ca="1" si="20"/>
        <v>57018</v>
      </c>
      <c r="S60" s="361">
        <f t="shared" ca="1" si="21"/>
        <v>1669</v>
      </c>
    </row>
    <row r="61" spans="1:19">
      <c r="A61" s="159">
        <f>Sheet1!C40</f>
        <v>2263</v>
      </c>
      <c r="B61" s="59">
        <f>Sheet1!E40</f>
        <v>812.05</v>
      </c>
      <c r="C61" s="24">
        <f t="shared" si="12"/>
        <v>0.97</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3095</v>
      </c>
      <c r="Q61" s="24">
        <f t="shared" si="19"/>
        <v>1</v>
      </c>
      <c r="R61" s="716">
        <f t="shared" ca="1" si="20"/>
        <v>57018</v>
      </c>
      <c r="S61" s="361">
        <f t="shared" ca="1" si="21"/>
        <v>4630</v>
      </c>
    </row>
    <row r="62" spans="1:19">
      <c r="A62" s="159">
        <f>Sheet1!C41</f>
        <v>2265</v>
      </c>
      <c r="B62" s="59">
        <f>Sheet1!E41</f>
        <v>88.53</v>
      </c>
      <c r="C62" s="24">
        <f t="shared" si="12"/>
        <v>0.97</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3095</v>
      </c>
      <c r="Q62" s="24">
        <f t="shared" si="19"/>
        <v>1</v>
      </c>
      <c r="R62" s="716">
        <f t="shared" ca="1" si="20"/>
        <v>57018</v>
      </c>
      <c r="S62" s="361">
        <f t="shared" ca="1" si="21"/>
        <v>505</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3097</v>
      </c>
      <c r="H1" s="2422" t="str">
        <f>IF(G1="现房","——","估价对象范围")</f>
        <v>——</v>
      </c>
      <c r="I1" s="2423"/>
    </row>
    <row r="2" spans="1:12" ht="21.75" customHeight="1" thickBot="1">
      <c r="A2" s="3165" t="str">
        <f>项目基本情况!S2</f>
        <v>北京市房地产</v>
      </c>
      <c r="B2" s="3166"/>
      <c r="C2" s="3166"/>
      <c r="D2" s="3166"/>
      <c r="E2" s="3166"/>
      <c r="F2" s="3166"/>
      <c r="G2" s="3166"/>
      <c r="H2" s="3166"/>
      <c r="I2" s="3167"/>
    </row>
    <row r="3" spans="1:12" ht="12.75">
      <c r="A3" s="3169" t="s">
        <v>2120</v>
      </c>
      <c r="B3" s="3170"/>
      <c r="C3" s="3170"/>
      <c r="D3" s="3170"/>
      <c r="E3" s="3170"/>
      <c r="F3" s="3170"/>
      <c r="G3" s="3170"/>
      <c r="H3" s="3170"/>
      <c r="I3" s="3170"/>
    </row>
    <row r="4" spans="1:12" ht="14.25">
      <c r="A4" s="2426" t="s">
        <v>2121</v>
      </c>
      <c r="B4" s="2427" t="s">
        <v>2122</v>
      </c>
      <c r="C4" s="2428" t="s">
        <v>3150</v>
      </c>
      <c r="D4" s="2428" t="s">
        <v>3071</v>
      </c>
      <c r="E4" s="3162" t="s">
        <v>2123</v>
      </c>
      <c r="F4" s="3163"/>
      <c r="G4" s="3163"/>
      <c r="H4" s="3163"/>
      <c r="I4" s="3171"/>
      <c r="K4" s="2429" t="str">
        <f>IF(ISNUMBER(FIND("比较法",'结果表 (2)'!C4)),"比较法",IF(ISNUMBER(FIND("成本法",'结果表 (2)'!C4)),"成本法",IF(ISNUMBER(FIND("假设开发法",'结果表 (2)'!C4)),"假设开发法",IF(ISNUMBER(FIND("收益法",'结果表 (2)'!C4)),"收益法","基准地价系数修正法"))))</f>
        <v>比较法</v>
      </c>
      <c r="L4" s="2429" t="str">
        <f>IF(ISNUMBER(FIND("比较法",'结果表 (2)'!D4)),"比较法",IF(ISNUMBER(FIND("成本法",'结果表 (2)'!D4)),"成本法",IF(ISNUMBER(FIND("假设开发法",'结果表 (2)'!D4)),"假设开发法",IF(ISNUMBER(FIND("收益法",'结果表 (2)'!D4)),"收益法","基准地价系数修正法"))))</f>
        <v>收益法</v>
      </c>
    </row>
    <row r="5" spans="1:12" ht="12.75">
      <c r="A5" s="3145" t="s">
        <v>2124</v>
      </c>
      <c r="B5" s="3083">
        <v>25</v>
      </c>
      <c r="C5" s="3148"/>
      <c r="D5" s="3168"/>
      <c r="E5" s="140" t="s">
        <v>2125</v>
      </c>
      <c r="F5" s="2430"/>
      <c r="G5" s="2430"/>
      <c r="H5" s="2430"/>
      <c r="I5" s="1831"/>
    </row>
    <row r="6" spans="1:12" ht="12.75">
      <c r="A6" s="3145"/>
      <c r="B6" s="3083"/>
      <c r="C6" s="3149"/>
      <c r="D6" s="3168"/>
      <c r="E6" s="140" t="s">
        <v>2126</v>
      </c>
      <c r="F6" s="2430"/>
      <c r="G6" s="2430"/>
      <c r="H6" s="2430"/>
      <c r="I6" s="1831"/>
    </row>
    <row r="7" spans="1:12" ht="12.75">
      <c r="A7" s="3145"/>
      <c r="B7" s="3083"/>
      <c r="C7" s="3150"/>
      <c r="D7" s="3168"/>
      <c r="E7" s="140" t="s">
        <v>2127</v>
      </c>
      <c r="F7" s="2430"/>
      <c r="G7" s="2430"/>
      <c r="H7" s="2430"/>
      <c r="I7" s="1831"/>
    </row>
    <row r="8" spans="1:12" ht="12.75">
      <c r="A8" s="3145" t="s">
        <v>2128</v>
      </c>
      <c r="B8" s="3083">
        <v>15</v>
      </c>
      <c r="C8" s="3148"/>
      <c r="D8" s="3168"/>
      <c r="E8" s="140" t="s">
        <v>2129</v>
      </c>
      <c r="F8" s="2430"/>
      <c r="G8" s="2430"/>
      <c r="H8" s="2430"/>
      <c r="I8" s="1831"/>
    </row>
    <row r="9" spans="1:12" ht="12.75">
      <c r="A9" s="3145"/>
      <c r="B9" s="3083"/>
      <c r="C9" s="3150"/>
      <c r="D9" s="3168"/>
      <c r="E9" s="140" t="s">
        <v>2130</v>
      </c>
      <c r="F9" s="2430"/>
      <c r="G9" s="2430"/>
      <c r="H9" s="2430"/>
      <c r="I9" s="1831"/>
    </row>
    <row r="10" spans="1:12" ht="12.75">
      <c r="A10" s="3145" t="s">
        <v>2131</v>
      </c>
      <c r="B10" s="3083">
        <v>15</v>
      </c>
      <c r="C10" s="3148"/>
      <c r="D10" s="3168"/>
      <c r="E10" s="140" t="s">
        <v>2132</v>
      </c>
      <c r="F10" s="2430"/>
      <c r="G10" s="2430"/>
      <c r="H10" s="2430"/>
      <c r="I10" s="1831"/>
    </row>
    <row r="11" spans="1:12" ht="12.75">
      <c r="A11" s="3145"/>
      <c r="B11" s="3083"/>
      <c r="C11" s="3150"/>
      <c r="D11" s="3168"/>
      <c r="E11" s="140" t="s">
        <v>2133</v>
      </c>
      <c r="F11" s="2430"/>
      <c r="G11" s="2430"/>
      <c r="H11" s="2430"/>
      <c r="I11" s="1831"/>
    </row>
    <row r="12" spans="1:12" ht="12.75">
      <c r="A12" s="3145" t="s">
        <v>2134</v>
      </c>
      <c r="B12" s="3083">
        <v>15</v>
      </c>
      <c r="C12" s="3148"/>
      <c r="D12" s="3168"/>
      <c r="E12" s="140" t="s">
        <v>2135</v>
      </c>
      <c r="F12" s="2430"/>
      <c r="G12" s="2430"/>
      <c r="H12" s="2430"/>
      <c r="I12" s="1831"/>
    </row>
    <row r="13" spans="1:12" ht="12.75">
      <c r="A13" s="3145"/>
      <c r="B13" s="3083"/>
      <c r="C13" s="3150"/>
      <c r="D13" s="3168"/>
      <c r="E13" s="140" t="s">
        <v>2136</v>
      </c>
      <c r="F13" s="2430"/>
      <c r="G13" s="2430"/>
      <c r="H13" s="2430"/>
      <c r="I13" s="1831"/>
    </row>
    <row r="14" spans="1:12" ht="12.75">
      <c r="A14" s="3145" t="s">
        <v>2137</v>
      </c>
      <c r="B14" s="3083">
        <v>30</v>
      </c>
      <c r="C14" s="3148">
        <v>5</v>
      </c>
      <c r="D14" s="3168">
        <v>5</v>
      </c>
      <c r="E14" s="140" t="s">
        <v>2138</v>
      </c>
      <c r="F14" s="2430"/>
      <c r="G14" s="2430"/>
      <c r="H14" s="2430"/>
      <c r="I14" s="1831"/>
    </row>
    <row r="15" spans="1:12" ht="12.75">
      <c r="A15" s="3145"/>
      <c r="B15" s="3083"/>
      <c r="C15" s="3149"/>
      <c r="D15" s="3168"/>
      <c r="E15" s="140" t="s">
        <v>2139</v>
      </c>
      <c r="F15" s="2430"/>
      <c r="G15" s="2430"/>
      <c r="H15" s="2430"/>
      <c r="I15" s="1831"/>
    </row>
    <row r="16" spans="1:12" ht="12.75">
      <c r="A16" s="3145"/>
      <c r="B16" s="3083"/>
      <c r="C16" s="3150"/>
      <c r="D16" s="3168"/>
      <c r="E16" s="140" t="s">
        <v>2140</v>
      </c>
      <c r="F16" s="2430"/>
      <c r="G16" s="2430"/>
      <c r="H16" s="2430"/>
      <c r="I16" s="1831"/>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317.81</v>
      </c>
      <c r="M18" s="2429">
        <f>IF(C1="",'数据-汇总表'!E3,SUMIF(项目类型,C1,'数据-汇总表'!E17:E26))</f>
        <v>317.81</v>
      </c>
    </row>
    <row r="19" spans="1:35" ht="15">
      <c r="A19" s="2435" t="s">
        <v>2146</v>
      </c>
      <c r="B19" s="2436" t="s">
        <v>2147</v>
      </c>
      <c r="C19" s="143">
        <f ca="1">SUMIF(INDIRECT("'"&amp;C4&amp;"'"&amp;"!A:A"),'结果表 (2)'!B19,INDIRECT("'"&amp;C4&amp;"'"&amp;"!B:B"))</f>
        <v>1457</v>
      </c>
      <c r="D19" s="144">
        <f ca="1">SUMIF(INDIRECT("'"&amp;D4&amp;"'"&amp;"!A:A"),'结果表 (2)'!B19,INDIRECT("'"&amp;D4&amp;"'"&amp;"!B:B"))</f>
        <v>1683</v>
      </c>
      <c r="E19" s="2435" t="s">
        <v>2148</v>
      </c>
      <c r="F19" s="2436" t="s">
        <v>2147</v>
      </c>
      <c r="G19" s="145">
        <f ca="1">ROUND(C19*$C$18+D19*$D$18,0)</f>
        <v>1570</v>
      </c>
      <c r="H19" s="2437" t="s">
        <v>2149</v>
      </c>
      <c r="I19" s="138"/>
      <c r="K19" s="2429" t="s">
        <v>2150</v>
      </c>
      <c r="L19" s="2429">
        <f>IF(C1="",'数据-汇总表'!D3,SUMIF(项目类型,C1,'数据-汇总表'!D17:D26)+SUMIF(项目类型,C1,'数据-汇总表'!H17:H27))</f>
        <v>56.93</v>
      </c>
      <c r="M19" s="2429">
        <f>IF(C1="",'数据-汇总表'!D3,SUMIF(项目类型,C1,'数据-汇总表'!D17:D26))</f>
        <v>56.93</v>
      </c>
    </row>
    <row r="20" spans="1:35" ht="15">
      <c r="A20" s="2438"/>
      <c r="B20" s="1247" t="s">
        <v>2151</v>
      </c>
      <c r="C20" s="146">
        <f ca="1">SUMIF(INDIRECT("'"&amp;C4&amp;"'"&amp;"!A:A"),'结果表 (2)'!B20,INDIRECT("'"&amp;C4&amp;"'"&amp;"!B:B"))</f>
        <v>45832</v>
      </c>
      <c r="D20" s="147">
        <f ca="1">SUMIF(INDIRECT("'"&amp;D4&amp;"'"&amp;"!A:A"),'结果表 (2)'!B20,INDIRECT("'"&amp;D4&amp;"'"&amp;"!B:B"))</f>
        <v>52949</v>
      </c>
      <c r="E20" s="2438"/>
      <c r="F20" s="1247" t="s">
        <v>2151</v>
      </c>
      <c r="G20" s="148">
        <f ca="1">ROUND(C20*$C$18+D20*$D$18,0)</f>
        <v>49391</v>
      </c>
      <c r="H20" s="980" t="s">
        <v>2152</v>
      </c>
      <c r="I20" s="138"/>
    </row>
    <row r="21" spans="1:35" ht="15" customHeight="1" thickBot="1">
      <c r="A21" s="1000"/>
      <c r="B21" s="2439" t="s">
        <v>2153</v>
      </c>
      <c r="C21" s="789">
        <f ca="1">ROUND(C19*10000/L19,0)</f>
        <v>255928</v>
      </c>
      <c r="D21" s="790">
        <f ca="1">ROUND(D19*10000/L19,0)</f>
        <v>295626</v>
      </c>
      <c r="E21" s="1000"/>
      <c r="F21" s="2439" t="s">
        <v>2153</v>
      </c>
      <c r="G21" s="149">
        <f ca="1">ROUND(G19*10000/L19,0)</f>
        <v>275777</v>
      </c>
      <c r="H21" s="2440" t="s">
        <v>2152</v>
      </c>
      <c r="I21" s="138"/>
    </row>
    <row r="22" spans="1:35" ht="15" thickBot="1">
      <c r="A22" s="2281" t="s">
        <v>2154</v>
      </c>
      <c r="B22" s="2441"/>
      <c r="C22" s="2442"/>
      <c r="D22" s="791">
        <f ca="1">IF(C19&lt;D19,D19/C19-1,C19/D19-1)</f>
        <v>0.15511324639670554</v>
      </c>
      <c r="E22" s="138"/>
      <c r="F22" s="138"/>
      <c r="G22" s="138"/>
      <c r="H22" s="138"/>
      <c r="I22" s="138"/>
    </row>
    <row r="23" spans="1:35" ht="13.5" thickBot="1">
      <c r="A23" s="2419"/>
      <c r="B23" s="2419"/>
      <c r="C23" s="2419"/>
      <c r="D23" s="2419"/>
      <c r="E23" s="138"/>
      <c r="F23" s="138"/>
      <c r="G23" s="138"/>
      <c r="H23" s="138"/>
      <c r="I23" s="138"/>
    </row>
    <row r="24" spans="1:35" ht="14.25">
      <c r="A24" s="3139" t="s">
        <v>2155</v>
      </c>
      <c r="B24" s="2436" t="s">
        <v>2147</v>
      </c>
      <c r="C24" s="145">
        <f>IF(B30=0,0,D30)</f>
        <v>0</v>
      </c>
      <c r="D24" s="2443"/>
      <c r="E24" s="138"/>
      <c r="F24" s="138"/>
      <c r="G24" s="138"/>
      <c r="H24" s="138"/>
      <c r="I24" s="138"/>
    </row>
    <row r="25" spans="1:35" ht="14.25">
      <c r="A25" s="3140"/>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7"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1570</v>
      </c>
      <c r="D32" s="2450" t="s">
        <v>2162</v>
      </c>
      <c r="E32" s="138"/>
      <c r="F32" s="138"/>
      <c r="G32" s="138"/>
      <c r="H32" s="138"/>
      <c r="I32" s="138"/>
    </row>
    <row r="33" spans="1:15" ht="15">
      <c r="A33" s="957" t="s">
        <v>2163</v>
      </c>
      <c r="B33" s="2451"/>
      <c r="C33" s="2452"/>
      <c r="D33" s="2453"/>
      <c r="E33" s="2454" t="s">
        <v>2164</v>
      </c>
      <c r="F33" s="2953"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57" t="s">
        <v>2169</v>
      </c>
      <c r="B36" s="2462" t="s">
        <v>2170</v>
      </c>
      <c r="C36" s="154"/>
      <c r="D36" s="2463"/>
      <c r="E36" s="2464"/>
      <c r="F36" s="2465"/>
      <c r="G36" s="138"/>
      <c r="H36" s="138"/>
      <c r="I36" s="138"/>
    </row>
    <row r="37" spans="1:15" ht="15.75" thickBot="1">
      <c r="A37" s="3158"/>
      <c r="B37" s="2267" t="s">
        <v>2171</v>
      </c>
      <c r="C37" s="156"/>
      <c r="D37" s="1392"/>
      <c r="E37" s="1392"/>
      <c r="F37" s="2465"/>
      <c r="G37" s="138"/>
      <c r="H37" s="138"/>
      <c r="I37" s="138"/>
    </row>
    <row r="38" spans="1:15" ht="15.75" thickBot="1">
      <c r="A38" s="3159"/>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6" t="s">
        <v>2183</v>
      </c>
      <c r="B45" s="3137"/>
      <c r="C45" s="3138"/>
      <c r="D45" s="164">
        <f ca="1">ROUND(H101*F45,0)</f>
        <v>1570</v>
      </c>
      <c r="E45" s="165" t="s">
        <v>2184</v>
      </c>
      <c r="F45" s="166">
        <v>1</v>
      </c>
      <c r="G45" s="167" t="s">
        <v>2185</v>
      </c>
      <c r="H45" s="138"/>
      <c r="I45" s="138"/>
      <c r="J45" s="3196" t="s">
        <v>2186</v>
      </c>
      <c r="K45" s="3196"/>
      <c r="L45" s="3196"/>
      <c r="M45" s="3196"/>
      <c r="N45" s="3196"/>
      <c r="O45" s="3196"/>
    </row>
    <row r="46" spans="1:15" ht="14.25" customHeight="1">
      <c r="A46" s="3133" t="s">
        <v>2187</v>
      </c>
      <c r="B46" s="3134"/>
      <c r="C46" s="3134"/>
      <c r="D46" s="3134"/>
      <c r="E46" s="3134"/>
      <c r="F46" s="3134"/>
      <c r="G46" s="3135"/>
      <c r="H46" s="2481"/>
      <c r="I46" s="168"/>
      <c r="J46" s="2965">
        <v>1</v>
      </c>
      <c r="K46" s="3196" t="s">
        <v>2188</v>
      </c>
      <c r="L46" s="3196"/>
      <c r="M46" s="3216"/>
      <c r="N46" s="3216"/>
      <c r="O46" s="3216"/>
    </row>
    <row r="47" spans="1:15" ht="12" customHeight="1">
      <c r="A47" s="169" t="s">
        <v>2189</v>
      </c>
      <c r="B47" s="170"/>
      <c r="C47" s="171"/>
      <c r="D47" s="172" t="s">
        <v>2190</v>
      </c>
      <c r="E47" s="24" t="s">
        <v>2191</v>
      </c>
      <c r="F47" s="173" t="s">
        <v>2192</v>
      </c>
      <c r="G47" s="174" t="s">
        <v>2193</v>
      </c>
      <c r="H47" s="2481"/>
      <c r="I47" s="168"/>
      <c r="J47" s="2965">
        <v>2</v>
      </c>
      <c r="K47" s="3196" t="s">
        <v>2194</v>
      </c>
      <c r="L47" s="3196"/>
      <c r="M47" s="3217">
        <f>'数据-取费表'!B2</f>
        <v>43707</v>
      </c>
      <c r="N47" s="3217"/>
      <c r="O47" s="3217"/>
    </row>
    <row r="48" spans="1:15" ht="25.5">
      <c r="A48" s="3164" t="s">
        <v>2195</v>
      </c>
      <c r="B48" s="3147"/>
      <c r="C48" s="3147"/>
      <c r="D48" s="140">
        <f>IF(H48="情况1",0,IF(H48="情况2",D52,IF(H48="情况3",D53,IF(H48="情况4",D54))))</f>
        <v>0</v>
      </c>
      <c r="E48" s="2958" t="str">
        <f>IF(H48="情况4","(销售额-原购置价)×税（费）率","销售额×税（费）率")</f>
        <v>销售额×税（费）率</v>
      </c>
      <c r="F48" s="175" t="str">
        <f>IF(H48="情况1","免征",'数据-取费表'!B41)</f>
        <v>免征</v>
      </c>
      <c r="G48" s="2482" t="s">
        <v>2196</v>
      </c>
      <c r="H48" s="2483" t="s">
        <v>2197</v>
      </c>
      <c r="I48" s="2481"/>
      <c r="J48" s="2965">
        <v>3</v>
      </c>
      <c r="K48" s="3196" t="s">
        <v>2198</v>
      </c>
      <c r="L48" s="3196"/>
      <c r="M48" s="3218">
        <f ca="1">H101</f>
        <v>1570</v>
      </c>
      <c r="N48" s="3218"/>
      <c r="O48" s="3218"/>
    </row>
    <row r="49" spans="1:35" ht="25.5" customHeight="1">
      <c r="A49" s="176" t="s">
        <v>2199</v>
      </c>
      <c r="B49" s="3132" t="s">
        <v>2200</v>
      </c>
      <c r="C49" s="3132"/>
      <c r="D49" s="177">
        <v>0</v>
      </c>
      <c r="E49" s="23" t="s">
        <v>2201</v>
      </c>
      <c r="F49" s="28" t="s">
        <v>34</v>
      </c>
      <c r="G49" s="3202"/>
      <c r="H49" s="138"/>
      <c r="I49" s="2484"/>
      <c r="J49" s="2965">
        <v>4</v>
      </c>
      <c r="K49" s="3196" t="str">
        <f>IF(项目基本情况!E8="房地产抵押价值","房地产抵押价值","抵押担保权已注销时的房地产抵押价值")</f>
        <v>房地产抵押价值</v>
      </c>
      <c r="L49" s="3196"/>
      <c r="M49" s="3218">
        <f ca="1">IF(项目基本情况!E8="房地产抵押价值",H107,H109)</f>
        <v>1570</v>
      </c>
      <c r="N49" s="3218"/>
      <c r="O49" s="3218"/>
    </row>
    <row r="50" spans="1:35" ht="25.5" customHeight="1">
      <c r="A50" s="178"/>
      <c r="B50" s="3132" t="s">
        <v>2202</v>
      </c>
      <c r="C50" s="3132"/>
      <c r="D50" s="179"/>
      <c r="E50" s="31"/>
      <c r="F50" s="180"/>
      <c r="G50" s="3203"/>
      <c r="H50" s="138"/>
      <c r="I50" s="2484"/>
      <c r="J50" s="3196" t="s">
        <v>2203</v>
      </c>
      <c r="K50" s="3196"/>
      <c r="L50" s="3196"/>
      <c r="M50" s="3196"/>
      <c r="N50" s="3196"/>
      <c r="O50" s="3196"/>
    </row>
    <row r="51" spans="1:35" ht="12" customHeight="1">
      <c r="A51" s="181"/>
      <c r="B51" s="3132" t="s">
        <v>2204</v>
      </c>
      <c r="C51" s="3132"/>
      <c r="D51" s="182"/>
      <c r="E51" s="30"/>
      <c r="F51" s="180"/>
      <c r="G51" s="3204"/>
      <c r="H51" s="138"/>
      <c r="I51" s="2484"/>
      <c r="J51" s="2964" t="s">
        <v>2205</v>
      </c>
      <c r="K51" s="3196" t="s">
        <v>2206</v>
      </c>
      <c r="L51" s="3196"/>
      <c r="M51" s="2964" t="s">
        <v>2207</v>
      </c>
      <c r="N51" s="2964" t="s">
        <v>2208</v>
      </c>
      <c r="O51" s="2964" t="s">
        <v>2209</v>
      </c>
    </row>
    <row r="52" spans="1:35" ht="24" customHeight="1">
      <c r="A52" s="183" t="s">
        <v>2210</v>
      </c>
      <c r="B52" s="3132" t="s">
        <v>2211</v>
      </c>
      <c r="C52" s="3132"/>
      <c r="D52" s="182">
        <f ca="1">ROUND(D45*'数据-取费表'!B41/(1+'数据-取费表'!C42),0)</f>
        <v>84</v>
      </c>
      <c r="E52" s="11" t="s">
        <v>2212</v>
      </c>
      <c r="F52" s="184">
        <f>'数据-取费表'!B41</f>
        <v>5.6000000000000001E-2</v>
      </c>
      <c r="G52" s="2486"/>
      <c r="H52" s="138"/>
      <c r="I52" s="2484"/>
      <c r="J52" s="2965">
        <v>1</v>
      </c>
      <c r="K52" s="3197" t="s">
        <v>2213</v>
      </c>
      <c r="L52" s="3197"/>
      <c r="M52" s="1751">
        <f>D48</f>
        <v>0</v>
      </c>
      <c r="N52" s="2965" t="str">
        <f>E48</f>
        <v>销售额×税（费）率</v>
      </c>
      <c r="O52" s="1752" t="str">
        <f>F48</f>
        <v>免征</v>
      </c>
    </row>
    <row r="53" spans="1:35" ht="12" customHeight="1">
      <c r="A53" s="183" t="s">
        <v>2214</v>
      </c>
      <c r="B53" s="3155" t="s">
        <v>2215</v>
      </c>
      <c r="C53" s="3156"/>
      <c r="D53" s="182">
        <f ca="1">ROUND(D45*'数据-取费表'!B41/(1+'数据-取费表'!C42),0)</f>
        <v>84</v>
      </c>
      <c r="E53" s="11" t="s">
        <v>2212</v>
      </c>
      <c r="F53" s="184">
        <f>'数据-取费表'!B41</f>
        <v>5.6000000000000001E-2</v>
      </c>
      <c r="G53" s="2486"/>
      <c r="H53" s="138"/>
      <c r="I53" s="2484"/>
      <c r="J53" s="2965">
        <v>2</v>
      </c>
      <c r="K53" s="3197" t="s">
        <v>2216</v>
      </c>
      <c r="L53" s="3197"/>
      <c r="M53" s="1751">
        <f t="shared" ref="M53:O54" ca="1" si="0">D55</f>
        <v>1</v>
      </c>
      <c r="N53" s="2965" t="str">
        <f t="shared" si="0"/>
        <v>销售额×税（费）率</v>
      </c>
      <c r="O53" s="1752">
        <f t="shared" si="0"/>
        <v>5.0000000000000001E-4</v>
      </c>
    </row>
    <row r="54" spans="1:35" ht="12" customHeight="1">
      <c r="A54" s="183" t="s">
        <v>2217</v>
      </c>
      <c r="B54" s="3155" t="s">
        <v>2218</v>
      </c>
      <c r="C54" s="3156"/>
      <c r="D54" s="182">
        <f ca="1">C68</f>
        <v>84</v>
      </c>
      <c r="E54" s="30" t="s">
        <v>2219</v>
      </c>
      <c r="F54" s="184">
        <f>'数据-取费表'!B41</f>
        <v>5.6000000000000001E-2</v>
      </c>
      <c r="G54" s="2486"/>
      <c r="H54" s="2487"/>
      <c r="I54" s="2484"/>
      <c r="J54" s="2965">
        <v>3</v>
      </c>
      <c r="K54" s="3197" t="s">
        <v>2220</v>
      </c>
      <c r="L54" s="3197"/>
      <c r="M54" s="1751">
        <f t="shared" ca="1" si="0"/>
        <v>888</v>
      </c>
      <c r="N54" s="2965" t="str">
        <f t="shared" si="0"/>
        <v>增值额×税（费）率</v>
      </c>
      <c r="O54" s="1753" t="str">
        <f t="shared" si="0"/>
        <v>——</v>
      </c>
    </row>
    <row r="55" spans="1:35" ht="24" customHeight="1">
      <c r="A55" s="3146" t="s">
        <v>2221</v>
      </c>
      <c r="B55" s="3147"/>
      <c r="C55" s="3147"/>
      <c r="D55" s="185">
        <f ca="1">IF(H55="个人住宅",0,ROUND(D45*I55,0))</f>
        <v>1</v>
      </c>
      <c r="E55" s="11" t="s">
        <v>2222</v>
      </c>
      <c r="F55" s="184">
        <f>IF(H55="正常",I55,"免征")</f>
        <v>5.0000000000000001E-4</v>
      </c>
      <c r="G55" s="2486"/>
      <c r="H55" s="2483" t="s">
        <v>2223</v>
      </c>
      <c r="I55" s="186">
        <f>'数据-取费表'!B49</f>
        <v>5.0000000000000001E-4</v>
      </c>
      <c r="J55" s="2965" t="str">
        <f>IF(H59="非个人房产","",4)</f>
        <v/>
      </c>
      <c r="K55" s="3197" t="str">
        <f>IF(H59="非个人房产","——","个人所得税")</f>
        <v>——</v>
      </c>
      <c r="L55" s="3197"/>
      <c r="M55" s="1754" t="str">
        <f>D59</f>
        <v>——</v>
      </c>
      <c r="N55" s="2966" t="str">
        <f>E59</f>
        <v>——</v>
      </c>
      <c r="O55" s="1755" t="str">
        <f>F59</f>
        <v>——</v>
      </c>
    </row>
    <row r="56" spans="1:35" ht="24.75">
      <c r="A56" s="3146" t="s">
        <v>2224</v>
      </c>
      <c r="B56" s="3147"/>
      <c r="C56" s="3147"/>
      <c r="D56" s="185">
        <f ca="1">IF(H56="个人住宅",D57,D58)</f>
        <v>888</v>
      </c>
      <c r="E56" s="11" t="s">
        <v>2225</v>
      </c>
      <c r="F56" s="184" t="str">
        <f>IF(H56="正常",F58,"免征")</f>
        <v>——</v>
      </c>
      <c r="G56" s="2488" t="s">
        <v>2226</v>
      </c>
      <c r="H56" s="2489" t="s">
        <v>2223</v>
      </c>
      <c r="I56" s="2490"/>
      <c r="J56" s="2965" t="str">
        <f>IF(项目基本情况!K6="上海银行",IF(J55="",4,J55+1),"")</f>
        <v/>
      </c>
      <c r="K56" s="3220" t="str">
        <f>IF(项目基本情况!K6="上海银行","其他处置费用","")</f>
        <v/>
      </c>
      <c r="L56" s="3221"/>
      <c r="M56" s="1751" t="str">
        <f>IF(项目基本情况!K6="上海银行",M69,"")</f>
        <v/>
      </c>
      <c r="N56" s="3223" t="str">
        <f>IF(项目基本情况!K6="上海银行","包含处置中涉及的律师、诉讼、拍卖、评估等费用","")</f>
        <v/>
      </c>
      <c r="O56" s="3224"/>
    </row>
    <row r="57" spans="1:35" ht="12.75">
      <c r="A57" s="183" t="s">
        <v>2199</v>
      </c>
      <c r="B57" s="3162" t="s">
        <v>2227</v>
      </c>
      <c r="C57" s="3171"/>
      <c r="D57" s="187">
        <v>0</v>
      </c>
      <c r="E57" s="23" t="s">
        <v>2201</v>
      </c>
      <c r="F57" s="155"/>
      <c r="G57" s="2486"/>
      <c r="H57" s="2490"/>
      <c r="I57" s="2490"/>
      <c r="J57" s="3197">
        <f>IF(AND(J55="",J56=""),4,IF(项目基本情况!K6="上海银行",'结果表 (2)'!J56+1,'结果表 (2)'!J55+1))</f>
        <v>4</v>
      </c>
      <c r="K57" s="3197" t="s">
        <v>2228</v>
      </c>
      <c r="L57" s="2491" t="s">
        <v>2229</v>
      </c>
      <c r="M57" s="1756"/>
      <c r="N57" s="1757">
        <f ca="1">SUMIF(M52:M56,"&lt;9e307")</f>
        <v>889</v>
      </c>
      <c r="O57" s="2492"/>
      <c r="P57" s="1750">
        <f ca="1">N57/M49</f>
        <v>0.56624203821656049</v>
      </c>
    </row>
    <row r="58" spans="1:35" ht="24.75">
      <c r="A58" s="183" t="s">
        <v>2210</v>
      </c>
      <c r="B58" s="3162" t="s">
        <v>2230</v>
      </c>
      <c r="C58" s="3163"/>
      <c r="D58" s="185">
        <f ca="1">IF(H58="转让取得",C81,C97)</f>
        <v>888</v>
      </c>
      <c r="E58" s="11" t="s">
        <v>2225</v>
      </c>
      <c r="F58" s="24" t="s">
        <v>34</v>
      </c>
      <c r="G58" s="2486"/>
      <c r="H58" s="2489" t="s">
        <v>2231</v>
      </c>
      <c r="I58" s="2490"/>
      <c r="J58" s="3197"/>
      <c r="K58" s="3197"/>
      <c r="L58" s="2491" t="s">
        <v>2232</v>
      </c>
      <c r="M58" s="1758"/>
      <c r="N58" s="2493" t="str">
        <f ca="1">NUMBERSTRING(INT(N57*10000),2)&amp;"元整"</f>
        <v>捌佰捌拾玖万元整</v>
      </c>
      <c r="O58" s="2494"/>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198">
        <f>J57+1</f>
        <v>5</v>
      </c>
      <c r="K59" s="3197" t="s">
        <v>2235</v>
      </c>
      <c r="L59" s="2965" t="s">
        <v>2229</v>
      </c>
      <c r="M59" s="1759"/>
      <c r="N59" s="1760">
        <f ca="1">M49-N57</f>
        <v>681</v>
      </c>
      <c r="O59" s="2496"/>
    </row>
    <row r="60" spans="1:35" ht="12" customHeight="1">
      <c r="A60" s="2497"/>
      <c r="B60" s="2419"/>
      <c r="C60" s="2419"/>
      <c r="D60" s="2419"/>
      <c r="E60" s="2166"/>
      <c r="F60" s="2490"/>
      <c r="G60" s="2490"/>
      <c r="H60" s="2498"/>
      <c r="I60" s="138"/>
      <c r="J60" s="3199"/>
      <c r="K60" s="3197"/>
      <c r="L60" s="2491" t="s">
        <v>2232</v>
      </c>
      <c r="M60" s="1758"/>
      <c r="N60" s="2493" t="str">
        <f ca="1">NUMBERSTRING(INT(N59*10000),2)&amp;"元整"</f>
        <v>陆佰捌拾壹万元整</v>
      </c>
      <c r="O60" s="2494"/>
    </row>
    <row r="61" spans="1:35" ht="13.5" thickBot="1">
      <c r="A61" s="3144" t="s">
        <v>2236</v>
      </c>
      <c r="B61" s="3144"/>
      <c r="C61" s="3144"/>
      <c r="D61" s="3144"/>
      <c r="E61" s="3144"/>
      <c r="F61" s="2490"/>
      <c r="G61" s="2490"/>
      <c r="H61" s="2498"/>
      <c r="I61" s="138"/>
      <c r="J61" s="2965">
        <f>J59+1</f>
        <v>6</v>
      </c>
      <c r="K61" s="3197" t="s">
        <v>2237</v>
      </c>
      <c r="L61" s="3197"/>
      <c r="M61" s="1761"/>
      <c r="N61" s="1762">
        <f ca="1">ROUND(N59*10000/'数据-汇总表'!E3,0)</f>
        <v>21428</v>
      </c>
      <c r="O61" s="2499"/>
    </row>
    <row r="62" spans="1:35" ht="12.75">
      <c r="A62" s="3160" t="s">
        <v>2238</v>
      </c>
      <c r="B62" s="3161"/>
      <c r="C62" s="2961"/>
      <c r="D62" s="2961" t="s">
        <v>2239</v>
      </c>
      <c r="E62" s="192" t="s">
        <v>2240</v>
      </c>
      <c r="F62" s="2490"/>
      <c r="G62" s="2490"/>
      <c r="H62" s="2498"/>
      <c r="I62" s="138"/>
    </row>
    <row r="63" spans="1:35" ht="12.75">
      <c r="A63" s="203" t="s">
        <v>775</v>
      </c>
      <c r="B63" s="193" t="s">
        <v>2241</v>
      </c>
      <c r="C63" s="194">
        <f ca="1">ROUND((C64+C65)/(1+'数据-取费表'!C42),0)</f>
        <v>1495</v>
      </c>
      <c r="D63" s="195"/>
      <c r="E63" s="196"/>
      <c r="F63" s="2490"/>
      <c r="G63" s="2490"/>
      <c r="H63" s="2498"/>
      <c r="I63" s="138"/>
      <c r="J63" s="3222" t="s">
        <v>2242</v>
      </c>
      <c r="K63" s="2967" t="s">
        <v>2243</v>
      </c>
      <c r="L63" s="1749">
        <f ca="1">IF(M49&gt;10000,M49*0.5%,IF(AND(M49&gt;1000,M49&lt;=10000),M49*1%,IF(AND(M49&gt;100,M49&lt;=1000),M49*3%,IF(AND(M49&gt;10,M49&lt;=100),M49*5%,M49*8%))))</f>
        <v>15.700000000000001</v>
      </c>
      <c r="M63" s="24">
        <f ca="1">ROUND(L63,1)</f>
        <v>15.7</v>
      </c>
      <c r="Z63" s="2424"/>
      <c r="AI63" s="2425"/>
    </row>
    <row r="64" spans="1:35" ht="14.25" customHeight="1">
      <c r="A64" s="197" t="s">
        <v>770</v>
      </c>
      <c r="B64" s="198" t="s">
        <v>2244</v>
      </c>
      <c r="C64" s="199">
        <f ca="1">D45</f>
        <v>1570</v>
      </c>
      <c r="D64" s="200" t="s">
        <v>32</v>
      </c>
      <c r="E64" s="201"/>
      <c r="F64" s="2490"/>
      <c r="G64" s="2490"/>
      <c r="H64" s="2498"/>
      <c r="I64" s="138"/>
      <c r="J64" s="3222"/>
      <c r="K64" s="2967" t="s">
        <v>2245</v>
      </c>
      <c r="L64" s="1749">
        <f ca="1">IF(M49&gt;2000,M49*0.5%,IF(AND(M49&gt;1000,M49&lt;=2000),M49*0.6%,IF(AND(M49&gt;500,M49&lt;=1000),M49*0.7%,IF(AND(M49&gt;200,M49&lt;=500),M49*0.8%,IF(AND(M49&gt;100,M49&lt;=200),M49*0.9%,IF(AND(M49&gt;50,M49&lt;=100),M49*1%,IF(AND(M49&gt;20,M49&lt;=50),M49*1.5%,IF(AND(M49&gt;10,M49&lt;=20),M49*2%,IF(AND(M49&gt;1,M49&lt;=10),M49*2.5%)))))))))</f>
        <v>9.42</v>
      </c>
      <c r="M64" s="24">
        <f t="shared" ref="M64:M65" ca="1" si="1">ROUND(L64,1)</f>
        <v>9.4</v>
      </c>
      <c r="N64" s="138" t="s">
        <v>2246</v>
      </c>
      <c r="Z64" s="2424"/>
      <c r="AI64" s="2425"/>
    </row>
    <row r="65" spans="1:35" ht="14.25" customHeight="1">
      <c r="A65" s="197" t="s">
        <v>771</v>
      </c>
      <c r="B65" s="198" t="s">
        <v>2247</v>
      </c>
      <c r="C65" s="202"/>
      <c r="D65" s="200"/>
      <c r="E65" s="201"/>
      <c r="F65" s="2490"/>
      <c r="G65" s="2490"/>
      <c r="H65" s="2498"/>
      <c r="I65" s="138"/>
      <c r="J65" s="3222"/>
      <c r="K65" s="2967" t="s">
        <v>2248</v>
      </c>
      <c r="L65" s="1749">
        <f ca="1">IF(M49&gt;1000,M49*0.1%,IF(AND(M49&gt;500,M49&lt;=1000),M49*0.5%,IF(AND(M49&gt;50,M49&lt;=500),M49*1%,IF(AND(M49&gt;1,M49&lt;=50),M49*1.5%))))</f>
        <v>1.57</v>
      </c>
      <c r="M65" s="24">
        <f t="shared" ca="1" si="1"/>
        <v>1.6</v>
      </c>
      <c r="N65" s="138" t="s">
        <v>2246</v>
      </c>
      <c r="Z65" s="2424"/>
      <c r="AI65" s="2425"/>
    </row>
    <row r="66" spans="1:35" ht="14.25" customHeight="1">
      <c r="A66" s="203" t="s">
        <v>772</v>
      </c>
      <c r="B66" s="204" t="s">
        <v>2249</v>
      </c>
      <c r="C66" s="205"/>
      <c r="D66" s="206" t="s">
        <v>32</v>
      </c>
      <c r="E66" s="1773" t="s">
        <v>1367</v>
      </c>
      <c r="F66" s="2490"/>
      <c r="G66" s="2490"/>
      <c r="H66" s="2498"/>
      <c r="I66" s="138"/>
      <c r="J66" s="3222"/>
      <c r="K66" s="2967" t="s">
        <v>2250</v>
      </c>
      <c r="L66" s="1749">
        <f ca="1">M49*0.5%</f>
        <v>7.8500000000000005</v>
      </c>
      <c r="M66" s="24">
        <f ca="1">IF(L66&gt;0.5,0.5,ROUND(L66,0))</f>
        <v>0.5</v>
      </c>
      <c r="N66" s="138" t="s">
        <v>2251</v>
      </c>
      <c r="Z66" s="2424"/>
      <c r="AI66" s="2425"/>
    </row>
    <row r="67" spans="1:35" ht="14.25" customHeight="1">
      <c r="A67" s="203" t="s">
        <v>773</v>
      </c>
      <c r="B67" s="204" t="s">
        <v>2252</v>
      </c>
      <c r="C67" s="207">
        <f ca="1">C63-C66</f>
        <v>1495</v>
      </c>
      <c r="D67" s="200" t="s">
        <v>32</v>
      </c>
      <c r="E67" s="201"/>
      <c r="F67" s="2490"/>
      <c r="G67" s="2490"/>
      <c r="H67" s="2498"/>
      <c r="I67" s="138"/>
      <c r="J67" s="3222"/>
      <c r="K67" s="2967" t="s">
        <v>2253</v>
      </c>
      <c r="L67" s="1749">
        <f ca="1">IF(M49&gt;=10000,(8.25+(M49-10000)*0.01%),IF(AND(M49&gt;=8000,M49&lt;10000),(7.85+(M49-8000)*0.02%),IF(AND(M49&gt;=5000,M49&lt;8000),(6.65+(M49-5000)*0.04%),IF(AND(M49&gt;=2000,M49&lt;5000),(4.25+(PM49-2000)*0.08%),IF(AND(M49&gt;=1000,M49&lt;2000),(2.75+(M49-1000)*0.15%),IF(AND(M49&gt;=100,M49&lt;1000),(0.5+(M49-100)*0.25%),IF(AND(M49&gt;0,M49&lt;100),M49*0.5%)))))))</f>
        <v>3.605</v>
      </c>
      <c r="M67" s="24">
        <f ca="1">ROUND(L67*0.9,1)</f>
        <v>3.2</v>
      </c>
      <c r="Z67" s="2424"/>
      <c r="AI67" s="2425"/>
    </row>
    <row r="68" spans="1:35" ht="14.25" customHeight="1" thickBot="1">
      <c r="A68" s="208" t="s">
        <v>774</v>
      </c>
      <c r="B68" s="209" t="s">
        <v>2254</v>
      </c>
      <c r="C68" s="210">
        <f ca="1">IF(C67&lt;=0,0,ROUND(C67*D68,0))</f>
        <v>84</v>
      </c>
      <c r="D68" s="211">
        <f>'数据-取费表'!B41</f>
        <v>5.6000000000000001E-2</v>
      </c>
      <c r="E68" s="212"/>
      <c r="F68" s="2490"/>
      <c r="G68" s="2490"/>
      <c r="H68" s="2498"/>
      <c r="I68" s="138"/>
      <c r="J68" s="3222"/>
      <c r="K68" s="2967" t="s">
        <v>2255</v>
      </c>
      <c r="L68" s="1749">
        <f ca="1">IF(M49&gt;10000,M49*0.5%,IF(AND(M49&gt;5000,M49&lt;=10000),M49*1%,IF(AND(M49&gt;1000,M49&lt;=5000),M49*2%,IF(AND(M49&gt;200,M49&lt;=1000),M49*3%,M49*5%))))</f>
        <v>31.400000000000002</v>
      </c>
      <c r="M68" s="24">
        <f ca="1">ROUND(L68,1)</f>
        <v>31.4</v>
      </c>
      <c r="Z68" s="2424"/>
      <c r="AI68" s="2425"/>
    </row>
    <row r="69" spans="1:35" s="2447" customFormat="1" ht="16.5" customHeight="1">
      <c r="A69" s="2501"/>
      <c r="B69" s="2502"/>
      <c r="C69" s="2503"/>
      <c r="D69" s="2504"/>
      <c r="E69" s="2505"/>
      <c r="F69" s="2166"/>
      <c r="G69" s="2166"/>
      <c r="H69" s="2165"/>
      <c r="I69" s="2419"/>
      <c r="J69" s="3222"/>
      <c r="K69" s="2967" t="s">
        <v>2256</v>
      </c>
      <c r="L69" s="2506"/>
      <c r="M69" s="24">
        <f ca="1">ROUND(SUM(M63:M68),0)</f>
        <v>62</v>
      </c>
      <c r="N69" s="1750">
        <f ca="1">M69/M49</f>
        <v>3.949044585987261E-2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1" t="s">
        <v>2257</v>
      </c>
      <c r="B70" s="3182"/>
      <c r="C70" s="3182"/>
      <c r="D70" s="3182"/>
      <c r="E70" s="3182"/>
      <c r="F70" s="3182"/>
      <c r="G70" s="3182"/>
      <c r="H70" s="318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0" t="s">
        <v>2238</v>
      </c>
      <c r="B71" s="3161"/>
      <c r="C71" s="2961"/>
      <c r="D71" s="296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1495</v>
      </c>
      <c r="D72" s="200" t="s">
        <v>32</v>
      </c>
      <c r="E72" s="2960"/>
      <c r="F72" s="2955"/>
      <c r="G72" s="295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9</v>
      </c>
      <c r="D73" s="200" t="s">
        <v>32</v>
      </c>
      <c r="E73" s="2960"/>
      <c r="F73" s="2955"/>
      <c r="G73" s="295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2960"/>
      <c r="F74" s="2955"/>
      <c r="G74" s="295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55" t="s">
        <v>2266</v>
      </c>
      <c r="F76" s="3132"/>
      <c r="G76" s="3132"/>
      <c r="H76" s="318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4" t="s">
        <v>2269</v>
      </c>
      <c r="H77" s="2962"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9</v>
      </c>
      <c r="D78" s="226">
        <f>'数据-取费表'!B43</f>
        <v>6.000000000000001E-3</v>
      </c>
      <c r="E78" s="3141" t="s">
        <v>2271</v>
      </c>
      <c r="F78" s="3142"/>
      <c r="G78" s="3142"/>
      <c r="H78" s="315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1486</v>
      </c>
      <c r="D79" s="200" t="s">
        <v>32</v>
      </c>
      <c r="E79" s="2960"/>
      <c r="F79" s="2955"/>
      <c r="G79" s="295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165.11111111111111</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888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1" t="s">
        <v>2275</v>
      </c>
      <c r="B83" s="3182"/>
      <c r="C83" s="3182"/>
      <c r="D83" s="3182"/>
      <c r="E83" s="3182"/>
      <c r="F83" s="3182"/>
      <c r="G83" s="3182"/>
      <c r="H83" s="318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0" t="s">
        <v>2238</v>
      </c>
      <c r="B84" s="3161"/>
      <c r="C84" s="2961"/>
      <c r="D84" s="296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1495</v>
      </c>
      <c r="D85" s="200" t="s">
        <v>32</v>
      </c>
      <c r="E85" s="2960"/>
      <c r="F85" s="2955"/>
      <c r="G85" s="295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9</v>
      </c>
      <c r="D86" s="235"/>
      <c r="E86" s="2960"/>
      <c r="F86" s="2955"/>
      <c r="G86" s="295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2956"/>
      <c r="F87" s="2957"/>
      <c r="G87" s="2957"/>
      <c r="H87" s="295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295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2957"/>
      <c r="G89" s="2957"/>
      <c r="H89" s="295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2957"/>
      <c r="G90" s="2957"/>
      <c r="H90" s="295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41" t="s">
        <v>2284</v>
      </c>
      <c r="F91" s="3142"/>
      <c r="G91" s="314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41" t="s">
        <v>2288</v>
      </c>
      <c r="F92" s="3142"/>
      <c r="G92" s="3142"/>
      <c r="H92" s="315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9</v>
      </c>
      <c r="D93" s="226">
        <f>'数据-取费表'!B43</f>
        <v>6.000000000000001E-3</v>
      </c>
      <c r="E93" s="3141" t="s">
        <v>2271</v>
      </c>
      <c r="F93" s="3142"/>
      <c r="G93" s="3142"/>
      <c r="H93" s="315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52" t="s">
        <v>2292</v>
      </c>
      <c r="F94" s="3153"/>
      <c r="G94" s="3153"/>
      <c r="H94" s="315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1486</v>
      </c>
      <c r="D95" s="200" t="s">
        <v>32</v>
      </c>
      <c r="E95" s="2960"/>
      <c r="F95" s="2955"/>
      <c r="G95" s="295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165.11111111111111</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888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126" t="s">
        <v>2294</v>
      </c>
      <c r="B100" s="3127"/>
      <c r="C100" s="3127"/>
      <c r="D100" s="3143"/>
      <c r="E100" s="3127" t="s">
        <v>2295</v>
      </c>
      <c r="F100" s="3127"/>
      <c r="G100" s="3127"/>
      <c r="H100" s="3143"/>
      <c r="I100" s="138"/>
    </row>
    <row r="101" spans="1:35" ht="18.75" customHeight="1">
      <c r="A101" s="3205" t="s">
        <v>2296</v>
      </c>
      <c r="B101" s="3206"/>
      <c r="C101" s="736" t="str">
        <f>C4</f>
        <v>比较法-办公 (2)</v>
      </c>
      <c r="D101" s="737" t="str">
        <f>D4</f>
        <v>收益法 (元)</v>
      </c>
      <c r="E101" s="3219" t="s">
        <v>2297</v>
      </c>
      <c r="F101" s="3173"/>
      <c r="G101" s="2521" t="s">
        <v>2298</v>
      </c>
      <c r="H101" s="1045">
        <f ca="1">H118</f>
        <v>1570</v>
      </c>
      <c r="I101" s="138"/>
    </row>
    <row r="102" spans="1:35" ht="18.75" customHeight="1">
      <c r="A102" s="3175" t="s">
        <v>2299</v>
      </c>
      <c r="B102" s="2521" t="s">
        <v>2298</v>
      </c>
      <c r="C102" s="736">
        <f ca="1">C19</f>
        <v>1457</v>
      </c>
      <c r="D102" s="737">
        <f ca="1">D19</f>
        <v>1683</v>
      </c>
      <c r="E102" s="3219"/>
      <c r="F102" s="3173"/>
      <c r="G102" s="2521" t="s">
        <v>2300</v>
      </c>
      <c r="H102" s="371">
        <f ca="1">I118</f>
        <v>49401</v>
      </c>
      <c r="I102" s="138"/>
    </row>
    <row r="103" spans="1:35" ht="42.75" customHeight="1">
      <c r="A103" s="3175"/>
      <c r="B103" s="2521" t="s">
        <v>2300</v>
      </c>
      <c r="C103" s="738">
        <f ca="1">C20</f>
        <v>45832</v>
      </c>
      <c r="D103" s="739">
        <f ca="1">D20</f>
        <v>52949</v>
      </c>
      <c r="E103" s="3214" t="s">
        <v>2301</v>
      </c>
      <c r="F103" s="3215"/>
      <c r="G103" s="2522" t="s">
        <v>2302</v>
      </c>
      <c r="H103" s="1045">
        <f>IF(D36="正常操作",H104+H105+H106,H105+H106)</f>
        <v>0</v>
      </c>
      <c r="I103" s="138"/>
    </row>
    <row r="104" spans="1:35" ht="18.75" customHeight="1">
      <c r="A104" s="3175" t="s">
        <v>2303</v>
      </c>
      <c r="B104" s="2523" t="s">
        <v>2298</v>
      </c>
      <c r="C104" s="740">
        <f ca="1">H118</f>
        <v>1570</v>
      </c>
      <c r="D104" s="741"/>
      <c r="E104" s="2267" t="s">
        <v>2304</v>
      </c>
      <c r="F104" s="2258"/>
      <c r="G104" s="2522" t="s">
        <v>2302</v>
      </c>
      <c r="H104" s="1046">
        <f>IF(D36="同一抵押权人同一抵押物续贷",C36&amp;"（未扣减，详见特别提示）",C36)</f>
        <v>0</v>
      </c>
      <c r="I104" s="138"/>
    </row>
    <row r="105" spans="1:35" ht="18.75" customHeight="1" thickBot="1">
      <c r="A105" s="3176"/>
      <c r="B105" s="2524" t="s">
        <v>2300</v>
      </c>
      <c r="C105" s="742">
        <f ca="1">I118</f>
        <v>49401</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172" t="str">
        <f>IF(项目基本情况!E8="已注销","——","3.房地产抵押价值")</f>
        <v>3.房地产抵押价值</v>
      </c>
      <c r="F107" s="3173"/>
      <c r="G107" s="2521" t="s">
        <v>2298</v>
      </c>
      <c r="H107" s="1045">
        <f ca="1">IF(E107="——","——",H101-H103)</f>
        <v>1570</v>
      </c>
      <c r="I107" s="138"/>
    </row>
    <row r="108" spans="1:35" ht="18.75" customHeight="1">
      <c r="A108" s="138"/>
      <c r="B108" s="138"/>
      <c r="C108" s="138"/>
      <c r="D108" s="138"/>
      <c r="E108" s="3172"/>
      <c r="F108" s="3173"/>
      <c r="G108" s="2521" t="s">
        <v>2300</v>
      </c>
      <c r="H108" s="371">
        <f ca="1">ROUND(H107*10000/'数据-汇总表'!E3,0)</f>
        <v>49401</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v>
      </c>
      <c r="F109" s="3173"/>
      <c r="G109" s="2521" t="s">
        <v>2298</v>
      </c>
      <c r="H109" s="348" t="str">
        <f>IF(E109="——","——",H101-H105-H106)</f>
        <v>——</v>
      </c>
      <c r="I109" s="138"/>
    </row>
    <row r="110" spans="1:35" ht="18.75" customHeight="1">
      <c r="A110" s="138"/>
      <c r="B110" s="138"/>
      <c r="C110" s="138"/>
      <c r="D110" s="138"/>
      <c r="E110" s="3172"/>
      <c r="F110" s="3173"/>
      <c r="G110" s="2521" t="s">
        <v>2300</v>
      </c>
      <c r="H110" s="371" t="str">
        <f>IF(H109="——","——",ROUND(H109*10000/'数据-汇总表'!E3,0))</f>
        <v>——</v>
      </c>
      <c r="I110" s="138"/>
    </row>
    <row r="111" spans="1:35" ht="18.75" customHeight="1">
      <c r="A111" s="138"/>
      <c r="B111" s="138"/>
      <c r="C111" s="138"/>
      <c r="D111" s="138"/>
      <c r="E111" s="3207" t="str">
        <f>IF(项目基本情况!E9="抵押净值",IF(OR(项目基本情况!E8="已注销",项目基本情况!E8="房地产抵押价值"),"4.抵押净值","5.抵押净值"),"——")</f>
        <v>——</v>
      </c>
      <c r="F111" s="3208"/>
      <c r="G111" s="2521" t="s">
        <v>2298</v>
      </c>
      <c r="H111" s="1045" t="str">
        <f>IF(E111="——","——",N59)</f>
        <v>——</v>
      </c>
      <c r="I111" s="138"/>
    </row>
    <row r="112" spans="1:35" ht="18.75" customHeight="1" thickBot="1">
      <c r="A112" s="138"/>
      <c r="B112" s="138"/>
      <c r="C112" s="138"/>
      <c r="D112" s="138"/>
      <c r="E112" s="3209"/>
      <c r="F112" s="3210"/>
      <c r="G112" s="2526" t="s">
        <v>2300</v>
      </c>
      <c r="H112" s="790" t="str">
        <f>IF(E111="——","——",N61)</f>
        <v>——</v>
      </c>
      <c r="I112" s="138"/>
    </row>
    <row r="113" spans="1:11" ht="18.75" customHeight="1">
      <c r="A113" s="138"/>
      <c r="B113" s="138"/>
      <c r="C113" s="138"/>
      <c r="D113" s="138"/>
      <c r="E113" s="3177" t="s">
        <v>2306</v>
      </c>
      <c r="F113" s="3177"/>
      <c r="G113" s="3177"/>
      <c r="H113" s="3177"/>
      <c r="I113" s="138"/>
    </row>
    <row r="114" spans="1:11" ht="3.75" customHeight="1">
      <c r="A114" s="2419"/>
      <c r="B114" s="2419"/>
      <c r="C114" s="2419"/>
      <c r="D114" s="2419"/>
      <c r="E114" s="2497"/>
      <c r="F114" s="2497"/>
      <c r="G114" s="2497"/>
      <c r="H114" s="2497"/>
      <c r="I114" s="2419"/>
    </row>
    <row r="115" spans="1:11" ht="18.75" customHeight="1">
      <c r="A115" s="3190" t="s">
        <v>2308</v>
      </c>
      <c r="B115" s="3191"/>
      <c r="C115" s="3191"/>
      <c r="D115" s="3191"/>
      <c r="E115" s="3191"/>
      <c r="F115" s="3191"/>
      <c r="G115" s="3191"/>
      <c r="H115" s="3191"/>
      <c r="I115" s="3192"/>
    </row>
    <row r="116" spans="1:11" ht="27" customHeight="1">
      <c r="A116" s="3083" t="s">
        <v>2309</v>
      </c>
      <c r="B116" s="3178" t="s">
        <v>2310</v>
      </c>
      <c r="C116" s="3178" t="s">
        <v>2311</v>
      </c>
      <c r="D116" s="3194" t="s">
        <v>2312</v>
      </c>
      <c r="E116" s="3195"/>
      <c r="F116" s="3186" t="s">
        <v>2313</v>
      </c>
      <c r="G116" s="3186"/>
      <c r="H116" s="3083" t="s">
        <v>2314</v>
      </c>
      <c r="I116" s="3083"/>
    </row>
    <row r="117" spans="1:11" ht="18.75" customHeight="1">
      <c r="A117" s="3083"/>
      <c r="B117" s="3179"/>
      <c r="C117" s="3179"/>
      <c r="D117" s="2952" t="s">
        <v>2315</v>
      </c>
      <c r="E117" s="2952" t="s">
        <v>2316</v>
      </c>
      <c r="F117" s="2952" t="s">
        <v>2315</v>
      </c>
      <c r="G117" s="2952" t="s">
        <v>2317</v>
      </c>
      <c r="H117" s="2952" t="s">
        <v>2315</v>
      </c>
      <c r="I117" s="2952" t="s">
        <v>2317</v>
      </c>
    </row>
    <row r="118" spans="1:11" ht="24.75" customHeight="1">
      <c r="A118" s="2527" t="str">
        <f>项目基本情况!S2</f>
        <v>北京市房地产</v>
      </c>
      <c r="B118" s="2952">
        <f>M18</f>
        <v>317.81</v>
      </c>
      <c r="C118" s="2952">
        <f>M19</f>
        <v>56.93</v>
      </c>
      <c r="D118" s="2952" t="e">
        <f ca="1">ROUND(IF(D32="总价",C34,E118*B118/10000),0)</f>
        <v>#REF!</v>
      </c>
      <c r="E118" s="2952" t="e">
        <f ca="1">ROUND(IF(C33="自定义",IF(D32="楼面单价",C34,D118*10000/B118),I118-G118),0)</f>
        <v>#REF!</v>
      </c>
      <c r="F118" s="2952" t="e">
        <f ca="1">ROUND(IF(D32="总价",C35,G118*B118/10000),0)</f>
        <v>#REF!</v>
      </c>
      <c r="G118" s="2952" t="e">
        <f ca="1">ROUND(IF(D32="楼面单价",C35,F118*10000/B118),0)</f>
        <v>#REF!</v>
      </c>
      <c r="H118" s="2952">
        <f ca="1">ROUND(IF(D32="总价",C32,I118*B118/10000),0)</f>
        <v>1570</v>
      </c>
      <c r="I118" s="2952">
        <f ca="1">ROUND(IF(D32="楼面单价",C32,H118*10000/B118),0)</f>
        <v>49401</v>
      </c>
    </row>
    <row r="119" spans="1:11" ht="18.75" customHeight="1">
      <c r="A119" s="3083" t="s">
        <v>2318</v>
      </c>
      <c r="B119" s="3083"/>
      <c r="C119" s="3083"/>
      <c r="D119" s="3183" t="e">
        <f ca="1">NUMBERSTRING(INT(D118*10000),2)&amp;"元整"</f>
        <v>#REF!</v>
      </c>
      <c r="E119" s="3185"/>
      <c r="F119" s="3183" t="e">
        <f ca="1">NUMBERSTRING(INT(F118*10000),2)&amp;"元整"</f>
        <v>#REF!</v>
      </c>
      <c r="G119" s="3185"/>
      <c r="H119" s="3183" t="str">
        <f ca="1">NUMBERSTRING(INT(H118*10000),2)&amp;"元整"</f>
        <v>壹仟伍佰柒拾万元整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4" t="str">
        <f>IF(D120=0,"故，本次评估不存在"&amp;A120,"故，本次评估"&amp;A120&amp;"为人民币"&amp;D120&amp;"万元整。")</f>
        <v>故，本次评估不存在估价师知悉的法定优先受偿款</v>
      </c>
    </row>
    <row r="121" spans="1:11" ht="18.75" customHeight="1">
      <c r="A121" s="3187" t="s">
        <v>2318</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房地产抵押价值</v>
      </c>
      <c r="B122" s="3174"/>
      <c r="C122" s="3174"/>
      <c r="D122" s="3211">
        <f ca="1">H107</f>
        <v>1570</v>
      </c>
      <c r="E122" s="3212"/>
      <c r="F122" s="3212"/>
      <c r="G122" s="3212"/>
      <c r="H122" s="3212"/>
      <c r="I122" s="3213"/>
    </row>
    <row r="123" spans="1:11" ht="18.75" customHeight="1">
      <c r="A123" s="3083" t="s">
        <v>2318</v>
      </c>
      <c r="B123" s="3083"/>
      <c r="C123" s="3083"/>
      <c r="D123" s="3183" t="str">
        <f ca="1">NUMBERSTRING(INT(D122*10000),2)&amp;"元整"</f>
        <v>壹仟伍佰柒拾万元整</v>
      </c>
      <c r="E123" s="3184"/>
      <c r="F123" s="3184"/>
      <c r="G123" s="3184"/>
      <c r="H123" s="3184"/>
      <c r="I123" s="3185"/>
    </row>
    <row r="124" spans="1:11" ht="18.75" customHeight="1">
      <c r="A124" s="3174" t="str">
        <f>IF(项目基本情况!B9="房地产市场价值","",MID(E109,3,LEN(E109)-2))</f>
        <v/>
      </c>
      <c r="B124" s="3174"/>
      <c r="C124" s="3174"/>
      <c r="D124" s="3211" t="str">
        <f>H109</f>
        <v>——</v>
      </c>
      <c r="E124" s="3212"/>
      <c r="F124" s="3212"/>
      <c r="G124" s="3212"/>
      <c r="H124" s="3212"/>
      <c r="I124" s="3213"/>
    </row>
    <row r="125" spans="1:11" ht="18.75" customHeight="1">
      <c r="A125" s="3083" t="s">
        <v>2318</v>
      </c>
      <c r="B125" s="3083"/>
      <c r="C125" s="3083"/>
      <c r="D125" s="3183" t="e">
        <f>NUMBERSTRING(INT(D124*10000),2)&amp;"元整"</f>
        <v>#VALUE!</v>
      </c>
      <c r="E125" s="3184"/>
      <c r="F125" s="3184"/>
      <c r="G125" s="3184"/>
      <c r="H125" s="3184"/>
      <c r="I125" s="3185"/>
    </row>
    <row r="126" spans="1:11" ht="18.75" customHeight="1">
      <c r="A126" s="3174" t="str">
        <f>IF(项目基本情况!B9="房地产市场价值","",MID(E111,3,LEN(E111)-2))</f>
        <v/>
      </c>
      <c r="B126" s="3174"/>
      <c r="C126" s="3174"/>
      <c r="D126" s="3211" t="str">
        <f>H111</f>
        <v>——</v>
      </c>
      <c r="E126" s="3212"/>
      <c r="F126" s="3212"/>
      <c r="G126" s="3212"/>
      <c r="H126" s="3212"/>
      <c r="I126" s="3213"/>
    </row>
    <row r="127" spans="1:11" ht="18.75" customHeight="1">
      <c r="A127" s="3083" t="s">
        <v>2318</v>
      </c>
      <c r="B127" s="3083"/>
      <c r="C127" s="3083"/>
      <c r="D127" s="3183" t="e">
        <f>NUMBERSTRING(INT(D126*10000),2)&amp;"元整"</f>
        <v>#VALUE!</v>
      </c>
      <c r="E127" s="3184"/>
      <c r="F127" s="3184"/>
      <c r="G127" s="3184"/>
      <c r="H127" s="3184"/>
      <c r="I127" s="3185"/>
    </row>
    <row r="128" spans="1:11" ht="21.75" customHeight="1">
      <c r="A128" s="3193" t="s">
        <v>2319</v>
      </c>
      <c r="B128" s="3193"/>
      <c r="C128" s="3193"/>
      <c r="D128" s="3193"/>
      <c r="E128" s="3193"/>
      <c r="F128" s="3193"/>
      <c r="G128" s="3193"/>
      <c r="H128" s="3193"/>
      <c r="I128" s="3193"/>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t="s">
        <v>27</v>
      </c>
      <c r="E1" s="1630"/>
      <c r="F1" s="2587" t="s">
        <v>3110</v>
      </c>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f>IF(C2="——",ROUND(C50*D3/10000,0),ROUND(C50*D3/10000,0)-D2)</f>
        <v>1457</v>
      </c>
      <c r="C2" s="2589" t="s">
        <v>70</v>
      </c>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45832</v>
      </c>
      <c r="C3" s="400" t="s">
        <v>2645</v>
      </c>
      <c r="D3" s="399">
        <f>IF(D1="",'数据-汇总表'!E3,SUMIF('数据-汇总表'!$C19:$C33,D1,'数据-汇总表'!$E19:$E33))</f>
        <v>317.81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61" t="s">
        <v>2648</v>
      </c>
      <c r="S4" s="3262"/>
      <c r="T4" s="3261" t="s">
        <v>2649</v>
      </c>
      <c r="U4" s="3262"/>
      <c r="V4" s="3267" t="s">
        <v>2650</v>
      </c>
      <c r="W4" s="3267"/>
      <c r="X4" s="2974"/>
      <c r="Y4" s="3261" t="s">
        <v>2652</v>
      </c>
      <c r="Z4" s="3262"/>
      <c r="AA4" s="3280" t="s">
        <v>2648</v>
      </c>
      <c r="AB4" s="3280" t="s">
        <v>2649</v>
      </c>
      <c r="AC4" s="3248" t="s">
        <v>2650</v>
      </c>
    </row>
    <row r="5" spans="1:29" ht="15">
      <c r="A5" s="404"/>
      <c r="B5" s="405"/>
      <c r="C5" s="3277" t="s">
        <v>2543</v>
      </c>
      <c r="D5" s="3272"/>
      <c r="E5" s="3283" t="s">
        <v>3127</v>
      </c>
      <c r="F5" s="3284"/>
      <c r="G5" s="3271" t="s">
        <v>3128</v>
      </c>
      <c r="H5" s="3272"/>
      <c r="I5" s="3271" t="s">
        <v>3149</v>
      </c>
      <c r="J5" s="3272"/>
      <c r="K5" s="610"/>
      <c r="L5" s="1130"/>
      <c r="M5" s="1131"/>
      <c r="N5" s="1131"/>
      <c r="O5" s="1131"/>
      <c r="P5" s="3257"/>
      <c r="Q5" s="3258"/>
      <c r="R5" s="3263"/>
      <c r="S5" s="3264"/>
      <c r="T5" s="3263"/>
      <c r="U5" s="3264"/>
      <c r="V5" s="3268"/>
      <c r="W5" s="3268"/>
      <c r="X5" s="2972"/>
      <c r="Y5" s="3263"/>
      <c r="Z5" s="3264"/>
      <c r="AA5" s="3281"/>
      <c r="AB5" s="3281"/>
      <c r="AC5" s="3249"/>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259"/>
      <c r="Q6" s="3260"/>
      <c r="R6" s="3263"/>
      <c r="S6" s="3264"/>
      <c r="T6" s="3265"/>
      <c r="U6" s="3266"/>
      <c r="V6" s="3268"/>
      <c r="W6" s="3268"/>
      <c r="X6" s="2972"/>
      <c r="Y6" s="3265"/>
      <c r="Z6" s="3266"/>
      <c r="AA6" s="3282"/>
      <c r="AB6" s="3282"/>
      <c r="AC6" s="3250"/>
    </row>
    <row r="7" spans="1:29" s="117" customFormat="1" ht="15.75" thickBot="1">
      <c r="A7" s="408" t="s">
        <v>2549</v>
      </c>
      <c r="B7" s="409"/>
      <c r="C7" s="410">
        <f>'数据-取费表'!B2</f>
        <v>43707</v>
      </c>
      <c r="D7" s="411">
        <v>100</v>
      </c>
      <c r="E7" s="412">
        <v>43678</v>
      </c>
      <c r="F7" s="413">
        <f>SUMIF(59:59,YEAR(E7)&amp;"-"&amp;MONTH(E7),60:60)</f>
        <v>100</v>
      </c>
      <c r="G7" s="412">
        <v>43678</v>
      </c>
      <c r="H7" s="411">
        <f>SUMIF(59:59,YEAR(G7)&amp;"-"&amp;MONTH(G7),60:60)</f>
        <v>100</v>
      </c>
      <c r="I7" s="412">
        <v>43678</v>
      </c>
      <c r="J7" s="411">
        <f>SUMIF(59:59,YEAR(I7)&amp;"-"&amp;MONTH(I7),60:60)</f>
        <v>100</v>
      </c>
      <c r="K7" s="611"/>
      <c r="L7" s="1132"/>
      <c r="M7" s="1133"/>
      <c r="N7" s="1133"/>
      <c r="O7" s="1133"/>
      <c r="P7" s="3273" t="s">
        <v>2550</v>
      </c>
      <c r="Q7" s="3276"/>
      <c r="R7" s="770" t="s">
        <v>17</v>
      </c>
      <c r="S7" s="771">
        <f t="shared" ref="S7:S15" si="0">F7</f>
        <v>100</v>
      </c>
      <c r="T7" s="770" t="s">
        <v>17</v>
      </c>
      <c r="U7" s="771">
        <f t="shared" ref="U7:U15" si="1">H7</f>
        <v>100</v>
      </c>
      <c r="V7" s="770" t="s">
        <v>17</v>
      </c>
      <c r="W7" s="771">
        <f t="shared" ref="W7:W15" si="2">J7</f>
        <v>100</v>
      </c>
      <c r="X7" s="772"/>
      <c r="Y7" s="3275" t="s">
        <v>2550</v>
      </c>
      <c r="Z7" s="3274"/>
      <c r="AA7" s="773">
        <f>D7/F7</f>
        <v>1</v>
      </c>
      <c r="AB7" s="773">
        <f>D7/H7</f>
        <v>1</v>
      </c>
      <c r="AC7" s="2674">
        <f>D7/J7</f>
        <v>1</v>
      </c>
    </row>
    <row r="8" spans="1:29" s="117" customFormat="1" ht="15.75" thickBot="1">
      <c r="A8" s="408" t="s">
        <v>2551</v>
      </c>
      <c r="B8" s="409"/>
      <c r="C8" s="414" t="s">
        <v>2653</v>
      </c>
      <c r="D8" s="411">
        <v>100</v>
      </c>
      <c r="E8" s="3024" t="s">
        <v>3130</v>
      </c>
      <c r="F8" s="413">
        <f>SUMIF(62:62,E8,63:63)-SUMIF(62:62,C8,63:63)+100</f>
        <v>100</v>
      </c>
      <c r="G8" s="3024" t="s">
        <v>3130</v>
      </c>
      <c r="H8" s="411">
        <f>SUMIF(62:62,G8,63:63)-SUMIF(62:62,C8,63:63)+100</f>
        <v>100</v>
      </c>
      <c r="I8" s="3024" t="s">
        <v>3131</v>
      </c>
      <c r="J8" s="411">
        <f>SUMIF(62:62,I8,63:63)-SUMIF(62:62,C8,63:63)+100</f>
        <v>100</v>
      </c>
      <c r="K8" s="611"/>
      <c r="L8" s="1132"/>
      <c r="M8" s="1133"/>
      <c r="N8" s="1133"/>
      <c r="O8" s="1133"/>
      <c r="P8" s="3273" t="s">
        <v>2553</v>
      </c>
      <c r="Q8" s="3274"/>
      <c r="R8" s="770" t="s">
        <v>17</v>
      </c>
      <c r="S8" s="771">
        <f t="shared" si="0"/>
        <v>100</v>
      </c>
      <c r="T8" s="770" t="s">
        <v>17</v>
      </c>
      <c r="U8" s="771">
        <f t="shared" si="1"/>
        <v>100</v>
      </c>
      <c r="V8" s="770" t="s">
        <v>17</v>
      </c>
      <c r="W8" s="771">
        <f t="shared" si="2"/>
        <v>100</v>
      </c>
      <c r="X8" s="772"/>
      <c r="Y8" s="3275" t="s">
        <v>2553</v>
      </c>
      <c r="Z8" s="3274"/>
      <c r="AA8" s="773">
        <f t="shared" ref="AA8:AA47" si="3">D8/F8</f>
        <v>1</v>
      </c>
      <c r="AB8" s="773">
        <f t="shared" ref="AB8:AB47" si="4">D8/H8</f>
        <v>1</v>
      </c>
      <c r="AC8" s="2674">
        <f t="shared" ref="AC8:AC47" si="5">D8/J8</f>
        <v>1</v>
      </c>
    </row>
    <row r="9" spans="1:29" s="117" customFormat="1">
      <c r="A9" s="415" t="s">
        <v>2554</v>
      </c>
      <c r="B9" s="71" t="s">
        <v>2555</v>
      </c>
      <c r="C9" s="3025" t="s">
        <v>3132</v>
      </c>
      <c r="D9" s="135">
        <v>100</v>
      </c>
      <c r="E9" s="3026" t="s">
        <v>3132</v>
      </c>
      <c r="F9" s="135">
        <f>SUMIF(64:64,E9,65:65)-SUMIF(64:64,C9,65:65)+100</f>
        <v>100</v>
      </c>
      <c r="G9" s="3027" t="s">
        <v>3132</v>
      </c>
      <c r="H9" s="135">
        <f>SUMIF(64:64,G9,65:65)-SUMIF(64:64,C9,65:65)+100</f>
        <v>100</v>
      </c>
      <c r="I9" s="3027" t="s">
        <v>3132</v>
      </c>
      <c r="J9" s="135">
        <f>SUMIF(64:64,I9,65:65)-SUMIF(64:64,C9,65:65)+100</f>
        <v>100</v>
      </c>
      <c r="K9" s="611"/>
      <c r="L9" s="1132"/>
      <c r="M9" s="1133"/>
      <c r="N9" s="1133"/>
      <c r="O9" s="1133"/>
      <c r="P9" s="3233" t="s">
        <v>2556</v>
      </c>
      <c r="Q9" s="2952" t="str">
        <f t="shared" ref="Q9:Q15" si="6">B9</f>
        <v>用途</v>
      </c>
      <c r="R9" s="770" t="s">
        <v>17</v>
      </c>
      <c r="S9" s="771">
        <f t="shared" si="0"/>
        <v>100</v>
      </c>
      <c r="T9" s="770" t="s">
        <v>17</v>
      </c>
      <c r="U9" s="771">
        <f t="shared" si="1"/>
        <v>100</v>
      </c>
      <c r="V9" s="770" t="s">
        <v>17</v>
      </c>
      <c r="W9" s="771">
        <f t="shared" si="2"/>
        <v>100</v>
      </c>
      <c r="X9" s="772"/>
      <c r="Y9" s="3083" t="s">
        <v>2557</v>
      </c>
      <c r="Z9" s="2954" t="str">
        <f t="shared" ref="Z9:Z15" si="7">Q9</f>
        <v>用途</v>
      </c>
      <c r="AA9" s="773">
        <f t="shared" si="3"/>
        <v>1</v>
      </c>
      <c r="AB9" s="773">
        <f t="shared" si="4"/>
        <v>1</v>
      </c>
      <c r="AC9" s="2674">
        <f t="shared" si="5"/>
        <v>1</v>
      </c>
    </row>
    <row r="10" spans="1:29" s="427" customFormat="1" ht="27">
      <c r="A10" s="421"/>
      <c r="B10" s="2963" t="s">
        <v>2558</v>
      </c>
      <c r="C10" s="423" t="s">
        <v>3133</v>
      </c>
      <c r="D10" s="136">
        <v>100</v>
      </c>
      <c r="E10" s="423" t="s">
        <v>3133</v>
      </c>
      <c r="F10" s="136">
        <f>SUMIF(66:66,E10,67:67)-SUMIF(66:66,C10,67:67)+100</f>
        <v>100</v>
      </c>
      <c r="G10" s="424" t="s">
        <v>3133</v>
      </c>
      <c r="H10" s="136">
        <f>SUMIF(66:66,G10,67:67)-SUMIF(66:66,C10,67:67)+100</f>
        <v>100</v>
      </c>
      <c r="I10" s="423" t="s">
        <v>3133</v>
      </c>
      <c r="J10" s="136">
        <f>SUMIF(66:66,I10,67:67)-SUMIF(66:66,C10,67:67)+100</f>
        <v>100</v>
      </c>
      <c r="K10" s="612"/>
      <c r="L10" s="1135"/>
      <c r="M10" s="1136"/>
      <c r="N10" s="1136"/>
      <c r="O10" s="1136"/>
      <c r="P10" s="3233"/>
      <c r="Q10" s="2952" t="str">
        <f t="shared" si="6"/>
        <v>土地使用年限（年）</v>
      </c>
      <c r="R10" s="770" t="s">
        <v>17</v>
      </c>
      <c r="S10" s="771">
        <f t="shared" si="0"/>
        <v>100</v>
      </c>
      <c r="T10" s="770" t="s">
        <v>17</v>
      </c>
      <c r="U10" s="771">
        <f t="shared" si="1"/>
        <v>100</v>
      </c>
      <c r="V10" s="770" t="s">
        <v>17</v>
      </c>
      <c r="W10" s="771">
        <f t="shared" si="2"/>
        <v>100</v>
      </c>
      <c r="X10" s="772"/>
      <c r="Y10" s="3083"/>
      <c r="Z10" s="2954" t="str">
        <f t="shared" si="7"/>
        <v>土地使用年限（年）</v>
      </c>
      <c r="AA10" s="773">
        <f t="shared" si="3"/>
        <v>1</v>
      </c>
      <c r="AB10" s="773">
        <f t="shared" si="4"/>
        <v>1</v>
      </c>
      <c r="AC10" s="2674">
        <f t="shared" si="5"/>
        <v>1</v>
      </c>
    </row>
    <row r="11" spans="1:29" ht="15">
      <c r="A11" s="428"/>
      <c r="B11" s="2963"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33"/>
      <c r="Q11" s="2952" t="str">
        <f t="shared" si="6"/>
        <v>容积率</v>
      </c>
      <c r="R11" s="770" t="s">
        <v>17</v>
      </c>
      <c r="S11" s="771">
        <f t="shared" si="0"/>
        <v>100</v>
      </c>
      <c r="T11" s="770" t="s">
        <v>17</v>
      </c>
      <c r="U11" s="771">
        <f t="shared" si="1"/>
        <v>100</v>
      </c>
      <c r="V11" s="770" t="s">
        <v>17</v>
      </c>
      <c r="W11" s="771">
        <f t="shared" si="2"/>
        <v>100</v>
      </c>
      <c r="X11" s="772"/>
      <c r="Y11" s="3083"/>
      <c r="Z11" s="2954"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3"/>
      <c r="Q12" s="2952">
        <f t="shared" si="6"/>
        <v>111</v>
      </c>
      <c r="R12" s="770" t="s">
        <v>17</v>
      </c>
      <c r="S12" s="771">
        <f t="shared" si="0"/>
        <v>100</v>
      </c>
      <c r="T12" s="770" t="s">
        <v>17</v>
      </c>
      <c r="U12" s="771">
        <f t="shared" si="1"/>
        <v>100</v>
      </c>
      <c r="V12" s="770" t="s">
        <v>17</v>
      </c>
      <c r="W12" s="771">
        <f t="shared" si="2"/>
        <v>100</v>
      </c>
      <c r="X12" s="772"/>
      <c r="Y12" s="3083"/>
      <c r="Z12" s="2954">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3"/>
      <c r="Q13" s="2952">
        <f t="shared" si="6"/>
        <v>111</v>
      </c>
      <c r="R13" s="770" t="s">
        <v>17</v>
      </c>
      <c r="S13" s="771">
        <f t="shared" si="0"/>
        <v>100</v>
      </c>
      <c r="T13" s="770" t="s">
        <v>17</v>
      </c>
      <c r="U13" s="771">
        <f t="shared" si="1"/>
        <v>100</v>
      </c>
      <c r="V13" s="770" t="s">
        <v>17</v>
      </c>
      <c r="W13" s="771">
        <f t="shared" si="2"/>
        <v>100</v>
      </c>
      <c r="X13" s="772"/>
      <c r="Y13" s="3083"/>
      <c r="Z13" s="2954">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33"/>
      <c r="Q14" s="2952">
        <f t="shared" si="6"/>
        <v>111</v>
      </c>
      <c r="R14" s="770" t="s">
        <v>17</v>
      </c>
      <c r="S14" s="771">
        <f t="shared" si="0"/>
        <v>100</v>
      </c>
      <c r="T14" s="770" t="s">
        <v>17</v>
      </c>
      <c r="U14" s="771">
        <f t="shared" si="1"/>
        <v>100</v>
      </c>
      <c r="V14" s="770" t="s">
        <v>17</v>
      </c>
      <c r="W14" s="771">
        <f t="shared" si="2"/>
        <v>100</v>
      </c>
      <c r="X14" s="772"/>
      <c r="Y14" s="3083"/>
      <c r="Z14" s="2954">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2561</v>
      </c>
      <c r="Q15" s="2970" t="str">
        <f t="shared" si="6"/>
        <v>办公集聚程度</v>
      </c>
      <c r="R15" s="774" t="s">
        <v>17</v>
      </c>
      <c r="S15" s="775">
        <f t="shared" si="0"/>
        <v>100</v>
      </c>
      <c r="T15" s="774" t="s">
        <v>17</v>
      </c>
      <c r="U15" s="775">
        <f t="shared" si="1"/>
        <v>100</v>
      </c>
      <c r="V15" s="774" t="s">
        <v>17</v>
      </c>
      <c r="W15" s="775">
        <f t="shared" si="2"/>
        <v>100</v>
      </c>
      <c r="X15" s="2972"/>
      <c r="Y15" s="3241" t="s">
        <v>2561</v>
      </c>
      <c r="Z15" s="2973" t="str">
        <f t="shared" si="7"/>
        <v>办公集聚程度</v>
      </c>
      <c r="AA15" s="2971">
        <f t="shared" si="3"/>
        <v>1</v>
      </c>
      <c r="AB15" s="2971">
        <f t="shared" si="4"/>
        <v>1</v>
      </c>
      <c r="AC15" s="2677">
        <f t="shared" si="5"/>
        <v>1</v>
      </c>
    </row>
    <row r="16" spans="1:29" ht="15">
      <c r="A16" s="428"/>
      <c r="B16" s="630"/>
      <c r="C16" s="3028" t="s">
        <v>3134</v>
      </c>
      <c r="D16" s="448"/>
      <c r="E16" s="3029" t="s">
        <v>3134</v>
      </c>
      <c r="F16" s="448"/>
      <c r="G16" s="3028" t="s">
        <v>3134</v>
      </c>
      <c r="H16" s="450"/>
      <c r="I16" s="3029" t="s">
        <v>3134</v>
      </c>
      <c r="J16" s="448"/>
      <c r="K16" s="615"/>
      <c r="L16" s="1140"/>
      <c r="M16" s="1131"/>
      <c r="N16" s="1131"/>
      <c r="O16" s="1131"/>
      <c r="P16" s="3240"/>
      <c r="Q16" s="2970"/>
      <c r="R16" s="774"/>
      <c r="S16" s="775"/>
      <c r="T16" s="774"/>
      <c r="U16" s="775"/>
      <c r="V16" s="774"/>
      <c r="W16" s="775"/>
      <c r="X16" s="2972"/>
      <c r="Y16" s="3242"/>
      <c r="Z16" s="2973"/>
      <c r="AA16" s="2971">
        <v>1</v>
      </c>
      <c r="AB16" s="297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2970" t="str">
        <f>B17</f>
        <v>交通便捷度</v>
      </c>
      <c r="R17" s="774" t="s">
        <v>17</v>
      </c>
      <c r="S17" s="775">
        <f>F17</f>
        <v>100</v>
      </c>
      <c r="T17" s="774" t="s">
        <v>17</v>
      </c>
      <c r="U17" s="775">
        <f>H17</f>
        <v>100</v>
      </c>
      <c r="V17" s="774" t="s">
        <v>17</v>
      </c>
      <c r="W17" s="775">
        <f>J17</f>
        <v>100</v>
      </c>
      <c r="X17" s="2972"/>
      <c r="Y17" s="3242"/>
      <c r="Z17" s="2973" t="str">
        <f>Q17</f>
        <v>交通便捷度</v>
      </c>
      <c r="AA17" s="2971">
        <f t="shared" si="3"/>
        <v>1</v>
      </c>
      <c r="AB17" s="2971">
        <f t="shared" si="4"/>
        <v>1</v>
      </c>
      <c r="AC17" s="2677">
        <f t="shared" si="5"/>
        <v>1</v>
      </c>
    </row>
    <row r="18" spans="1:29" ht="15">
      <c r="A18" s="428"/>
      <c r="B18" s="632"/>
      <c r="C18" s="3030" t="s">
        <v>3134</v>
      </c>
      <c r="D18" s="450"/>
      <c r="E18" s="3031" t="s">
        <v>3134</v>
      </c>
      <c r="F18" s="450"/>
      <c r="G18" s="3032" t="s">
        <v>3134</v>
      </c>
      <c r="H18" s="448"/>
      <c r="I18" s="3032" t="s">
        <v>3134</v>
      </c>
      <c r="J18" s="448"/>
      <c r="K18" s="615"/>
      <c r="L18" s="1140"/>
      <c r="M18" s="1131"/>
      <c r="N18" s="1131"/>
      <c r="O18" s="1131"/>
      <c r="P18" s="3240"/>
      <c r="Q18" s="2970"/>
      <c r="R18" s="774"/>
      <c r="S18" s="775"/>
      <c r="T18" s="774"/>
      <c r="U18" s="775"/>
      <c r="V18" s="774"/>
      <c r="W18" s="775"/>
      <c r="X18" s="2972"/>
      <c r="Y18" s="3242"/>
      <c r="Z18" s="2973"/>
      <c r="AA18" s="2971">
        <v>1</v>
      </c>
      <c r="AB18" s="297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2970" t="str">
        <f>B19</f>
        <v>公共配套设施</v>
      </c>
      <c r="R19" s="774" t="s">
        <v>17</v>
      </c>
      <c r="S19" s="775">
        <f>F19</f>
        <v>100</v>
      </c>
      <c r="T19" s="774" t="s">
        <v>17</v>
      </c>
      <c r="U19" s="775">
        <f>H19</f>
        <v>100</v>
      </c>
      <c r="V19" s="774" t="s">
        <v>17</v>
      </c>
      <c r="W19" s="775">
        <f>J19</f>
        <v>100</v>
      </c>
      <c r="X19" s="2972"/>
      <c r="Y19" s="3242"/>
      <c r="Z19" s="2973" t="str">
        <f>Q19</f>
        <v>公共配套设施</v>
      </c>
      <c r="AA19" s="2971">
        <f t="shared" si="3"/>
        <v>1</v>
      </c>
      <c r="AB19" s="2971">
        <f t="shared" si="4"/>
        <v>1</v>
      </c>
      <c r="AC19" s="2677">
        <f t="shared" si="5"/>
        <v>1</v>
      </c>
    </row>
    <row r="20" spans="1:29" ht="15">
      <c r="A20" s="428"/>
      <c r="B20" s="632"/>
      <c r="C20" s="3028" t="s">
        <v>3134</v>
      </c>
      <c r="D20" s="448"/>
      <c r="E20" s="3033" t="s">
        <v>3134</v>
      </c>
      <c r="F20" s="448"/>
      <c r="G20" s="3034" t="s">
        <v>3134</v>
      </c>
      <c r="H20" s="448"/>
      <c r="I20" s="3034" t="s">
        <v>3134</v>
      </c>
      <c r="J20" s="448"/>
      <c r="K20" s="615"/>
      <c r="L20" s="1140"/>
      <c r="M20" s="1131"/>
      <c r="N20" s="1131"/>
      <c r="O20" s="1131"/>
      <c r="P20" s="3240"/>
      <c r="Q20" s="2970"/>
      <c r="R20" s="774"/>
      <c r="S20" s="775"/>
      <c r="T20" s="774"/>
      <c r="U20" s="775"/>
      <c r="V20" s="774"/>
      <c r="W20" s="775"/>
      <c r="X20" s="2972"/>
      <c r="Y20" s="3242"/>
      <c r="Z20" s="2973"/>
      <c r="AA20" s="2971">
        <v>1</v>
      </c>
      <c r="AB20" s="297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2970" t="str">
        <f>B21</f>
        <v>基础设施水平</v>
      </c>
      <c r="R21" s="774" t="s">
        <v>17</v>
      </c>
      <c r="S21" s="775">
        <f>F21</f>
        <v>100</v>
      </c>
      <c r="T21" s="774" t="s">
        <v>17</v>
      </c>
      <c r="U21" s="775">
        <f>H21</f>
        <v>100</v>
      </c>
      <c r="V21" s="774" t="s">
        <v>17</v>
      </c>
      <c r="W21" s="775">
        <f>J21</f>
        <v>100</v>
      </c>
      <c r="X21" s="2972"/>
      <c r="Y21" s="3242"/>
      <c r="Z21" s="2973" t="str">
        <f>Q21</f>
        <v>基础设施水平</v>
      </c>
      <c r="AA21" s="2971">
        <f t="shared" ref="AA21" si="8">D21/F21</f>
        <v>1</v>
      </c>
      <c r="AB21" s="2971">
        <f t="shared" ref="AB21" si="9">D21/H21</f>
        <v>1</v>
      </c>
      <c r="AC21" s="2677">
        <f t="shared" ref="AC21" si="10">D21/J21</f>
        <v>1</v>
      </c>
    </row>
    <row r="22" spans="1:29" ht="15">
      <c r="A22" s="428"/>
      <c r="B22" s="633"/>
      <c r="C22" s="3030" t="s">
        <v>3135</v>
      </c>
      <c r="D22" s="448"/>
      <c r="E22" s="3029" t="s">
        <v>3136</v>
      </c>
      <c r="F22" s="448"/>
      <c r="G22" s="3028" t="s">
        <v>3136</v>
      </c>
      <c r="H22" s="448"/>
      <c r="I22" s="3028" t="s">
        <v>3135</v>
      </c>
      <c r="J22" s="448"/>
      <c r="K22" s="1383"/>
      <c r="L22" s="1140"/>
      <c r="M22" s="1131"/>
      <c r="N22" s="1131"/>
      <c r="O22" s="1131"/>
      <c r="P22" s="3240"/>
      <c r="Q22" s="2970"/>
      <c r="R22" s="774"/>
      <c r="S22" s="775"/>
      <c r="T22" s="774"/>
      <c r="U22" s="775"/>
      <c r="V22" s="774"/>
      <c r="W22" s="775"/>
      <c r="X22" s="2972"/>
      <c r="Y22" s="3242"/>
      <c r="Z22" s="2973"/>
      <c r="AA22" s="2971">
        <v>1</v>
      </c>
      <c r="AB22" s="297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2970" t="str">
        <f>B23</f>
        <v>环境质量</v>
      </c>
      <c r="R23" s="774" t="s">
        <v>17</v>
      </c>
      <c r="S23" s="775">
        <f>F23</f>
        <v>100</v>
      </c>
      <c r="T23" s="774" t="s">
        <v>17</v>
      </c>
      <c r="U23" s="775">
        <f>H23</f>
        <v>100</v>
      </c>
      <c r="V23" s="774" t="s">
        <v>17</v>
      </c>
      <c r="W23" s="775">
        <f>J23</f>
        <v>100</v>
      </c>
      <c r="X23" s="2972"/>
      <c r="Y23" s="3242"/>
      <c r="Z23" s="2973" t="str">
        <f>Q23</f>
        <v>环境质量</v>
      </c>
      <c r="AA23" s="2971">
        <f t="shared" si="3"/>
        <v>1</v>
      </c>
      <c r="AB23" s="2971">
        <f t="shared" si="4"/>
        <v>1</v>
      </c>
      <c r="AC23" s="2677">
        <f t="shared" si="5"/>
        <v>1</v>
      </c>
    </row>
    <row r="24" spans="1:29" ht="15">
      <c r="A24" s="428"/>
      <c r="B24" s="633"/>
      <c r="C24" s="3028" t="s">
        <v>3134</v>
      </c>
      <c r="D24" s="448"/>
      <c r="E24" s="3033" t="s">
        <v>3134</v>
      </c>
      <c r="F24" s="448"/>
      <c r="G24" s="3034" t="s">
        <v>3137</v>
      </c>
      <c r="H24" s="448"/>
      <c r="I24" s="3034" t="s">
        <v>3134</v>
      </c>
      <c r="J24" s="448"/>
      <c r="K24" s="615"/>
      <c r="L24" s="1140"/>
      <c r="M24" s="1131"/>
      <c r="N24" s="1131"/>
      <c r="O24" s="1131"/>
      <c r="P24" s="3240"/>
      <c r="Q24" s="2970"/>
      <c r="R24" s="774"/>
      <c r="S24" s="775"/>
      <c r="T24" s="774"/>
      <c r="U24" s="775"/>
      <c r="V24" s="774"/>
      <c r="W24" s="775"/>
      <c r="X24" s="2972"/>
      <c r="Y24" s="3242"/>
      <c r="Z24" s="2973"/>
      <c r="AA24" s="2971">
        <v>1</v>
      </c>
      <c r="AB24" s="297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40"/>
      <c r="Q25" s="2970" t="str">
        <f>B25</f>
        <v>毗邻道路的类型与等级</v>
      </c>
      <c r="R25" s="774" t="s">
        <v>17</v>
      </c>
      <c r="S25" s="775">
        <f>F25</f>
        <v>100</v>
      </c>
      <c r="T25" s="774" t="s">
        <v>17</v>
      </c>
      <c r="U25" s="775">
        <f>H25</f>
        <v>100</v>
      </c>
      <c r="V25" s="774" t="s">
        <v>17</v>
      </c>
      <c r="W25" s="775">
        <f>J25</f>
        <v>100</v>
      </c>
      <c r="X25" s="2972"/>
      <c r="Y25" s="3242"/>
      <c r="Z25" s="2973" t="str">
        <f>Q25</f>
        <v>毗邻道路的类型与等级</v>
      </c>
      <c r="AA25" s="2971">
        <f t="shared" si="3"/>
        <v>1</v>
      </c>
      <c r="AB25" s="2971">
        <f t="shared" si="4"/>
        <v>1</v>
      </c>
      <c r="AC25" s="2677">
        <f t="shared" si="5"/>
        <v>1</v>
      </c>
    </row>
    <row r="26" spans="1:29" ht="15">
      <c r="A26" s="404"/>
      <c r="B26" s="632"/>
      <c r="C26" s="634"/>
      <c r="D26" s="435"/>
      <c r="E26" s="616"/>
      <c r="F26" s="435"/>
      <c r="G26" s="634"/>
      <c r="H26" s="435"/>
      <c r="I26" s="616"/>
      <c r="J26" s="435"/>
      <c r="K26" s="615"/>
      <c r="L26" s="1140"/>
      <c r="M26" s="1131"/>
      <c r="N26" s="1131"/>
      <c r="O26" s="1131"/>
      <c r="P26" s="3240"/>
      <c r="Q26" s="2970"/>
      <c r="R26" s="774"/>
      <c r="S26" s="775"/>
      <c r="T26" s="774"/>
      <c r="U26" s="775"/>
      <c r="V26" s="774"/>
      <c r="W26" s="775"/>
      <c r="X26" s="2972"/>
      <c r="Y26" s="3242"/>
      <c r="Z26" s="2973"/>
      <c r="AA26" s="2971">
        <v>1</v>
      </c>
      <c r="AB26" s="2971">
        <v>1</v>
      </c>
      <c r="AC26" s="2677">
        <v>1</v>
      </c>
    </row>
    <row r="27" spans="1:29" ht="15">
      <c r="A27" s="428"/>
      <c r="B27" s="632" t="s">
        <v>2660</v>
      </c>
      <c r="C27" s="3035" t="s">
        <v>3116</v>
      </c>
      <c r="D27" s="435">
        <v>100</v>
      </c>
      <c r="E27" s="3036" t="s">
        <v>3118</v>
      </c>
      <c r="F27" s="435">
        <f>SUMIF(89:89,E27,90:90)-SUMIF(89:89,C27,90:90)+100</f>
        <v>96</v>
      </c>
      <c r="G27" s="3035" t="s">
        <v>3115</v>
      </c>
      <c r="H27" s="435">
        <f>SUMIF(89:89,G27,90:90)-SUMIF(89:89,C27,90:90)+100</f>
        <v>100</v>
      </c>
      <c r="I27" s="3036" t="s">
        <v>3138</v>
      </c>
      <c r="J27" s="435">
        <f>SUMIF(89:89,I27,90:90)-SUMIF(89:89,C27,90:90)+100</f>
        <v>98</v>
      </c>
      <c r="K27" s="612">
        <v>2</v>
      </c>
      <c r="L27" s="1140"/>
      <c r="M27" s="1131"/>
      <c r="N27" s="1131"/>
      <c r="O27" s="1131"/>
      <c r="P27" s="3240"/>
      <c r="Q27" s="2970" t="str">
        <f t="shared" ref="Q27:Q47" si="11">B27</f>
        <v>楼层</v>
      </c>
      <c r="R27" s="774" t="s">
        <v>17</v>
      </c>
      <c r="S27" s="775">
        <f>F27</f>
        <v>96</v>
      </c>
      <c r="T27" s="774" t="s">
        <v>17</v>
      </c>
      <c r="U27" s="775">
        <f>H27</f>
        <v>100</v>
      </c>
      <c r="V27" s="774" t="s">
        <v>17</v>
      </c>
      <c r="W27" s="775">
        <f>J27</f>
        <v>98</v>
      </c>
      <c r="X27" s="2972"/>
      <c r="Y27" s="3242"/>
      <c r="Z27" s="2973" t="str">
        <f>Q27</f>
        <v>楼层</v>
      </c>
      <c r="AA27" s="2971">
        <f t="shared" si="3"/>
        <v>1.0416666666666667</v>
      </c>
      <c r="AB27" s="2971">
        <f t="shared" si="4"/>
        <v>1</v>
      </c>
      <c r="AC27" s="2677">
        <f t="shared" si="5"/>
        <v>1.0204081632653061</v>
      </c>
    </row>
    <row r="28" spans="1:29" s="117" customFormat="1" ht="15">
      <c r="A28" s="431"/>
      <c r="B28" s="631" t="s">
        <v>2693</v>
      </c>
      <c r="C28" s="2679"/>
      <c r="D28" s="462">
        <v>100</v>
      </c>
      <c r="E28" s="2668"/>
      <c r="F28" s="462">
        <f>SUMIF(91:91,E28,92:92)-SUMIF(91:91,C28,92:92)+100</f>
        <v>100</v>
      </c>
      <c r="G28" s="2679"/>
      <c r="H28" s="462">
        <f>SUMIF(91:91,G28,92:92)-SUMIF(91:91,C28,92:92)+100</f>
        <v>100</v>
      </c>
      <c r="I28" s="2668"/>
      <c r="J28" s="462">
        <f>SUMIF(91:91,I28,92:92)-SUMIF(91:91,C28,92:92)+100</f>
        <v>100</v>
      </c>
      <c r="K28" s="612"/>
      <c r="L28" s="1132"/>
      <c r="M28" s="1133"/>
      <c r="N28" s="1133"/>
      <c r="O28" s="1133"/>
      <c r="P28" s="3240"/>
      <c r="Q28" s="2952" t="str">
        <f t="shared" si="11"/>
        <v>朝向</v>
      </c>
      <c r="R28" s="770" t="s">
        <v>17</v>
      </c>
      <c r="S28" s="771">
        <f>F28</f>
        <v>100</v>
      </c>
      <c r="T28" s="770" t="s">
        <v>17</v>
      </c>
      <c r="U28" s="771">
        <f>H28</f>
        <v>100</v>
      </c>
      <c r="V28" s="770" t="s">
        <v>17</v>
      </c>
      <c r="W28" s="771">
        <f>J28</f>
        <v>100</v>
      </c>
      <c r="X28" s="772"/>
      <c r="Y28" s="3242"/>
      <c r="Z28" s="2954" t="str">
        <f>Q28</f>
        <v>朝向</v>
      </c>
      <c r="AA28" s="2971">
        <f>D28/F28</f>
        <v>1</v>
      </c>
      <c r="AB28" s="2971">
        <f>D28/H28</f>
        <v>1</v>
      </c>
      <c r="AC28" s="2677">
        <f>D28/J28</f>
        <v>1</v>
      </c>
    </row>
    <row r="29" spans="1:29" ht="15">
      <c r="A29" s="428"/>
      <c r="B29" s="2680">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40"/>
      <c r="Q29" s="2970">
        <f t="shared" si="11"/>
        <v>111</v>
      </c>
      <c r="R29" s="774" t="s">
        <v>17</v>
      </c>
      <c r="S29" s="775">
        <f t="shared" ref="S29:S47" si="12">F29</f>
        <v>100</v>
      </c>
      <c r="T29" s="774" t="s">
        <v>17</v>
      </c>
      <c r="U29" s="775">
        <f t="shared" ref="U29:U47" si="13">H29</f>
        <v>100</v>
      </c>
      <c r="V29" s="774" t="s">
        <v>17</v>
      </c>
      <c r="W29" s="775">
        <f t="shared" ref="W29:W47" si="14">J29</f>
        <v>100</v>
      </c>
      <c r="X29" s="2972"/>
      <c r="Y29" s="3242"/>
      <c r="Z29" s="2973">
        <f t="shared" ref="Z29:Z47" si="15">Q29</f>
        <v>111</v>
      </c>
      <c r="AA29" s="2971">
        <f t="shared" si="3"/>
        <v>1</v>
      </c>
      <c r="AB29" s="2971">
        <f t="shared" si="4"/>
        <v>1</v>
      </c>
      <c r="AC29" s="2677">
        <f t="shared" si="5"/>
        <v>1</v>
      </c>
    </row>
    <row r="30" spans="1:29" ht="15">
      <c r="A30" s="428"/>
      <c r="B30" s="2680">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40"/>
      <c r="Q30" s="2970">
        <f t="shared" si="11"/>
        <v>111</v>
      </c>
      <c r="R30" s="774" t="s">
        <v>17</v>
      </c>
      <c r="S30" s="775">
        <f t="shared" si="12"/>
        <v>100</v>
      </c>
      <c r="T30" s="774" t="s">
        <v>17</v>
      </c>
      <c r="U30" s="775">
        <f t="shared" si="13"/>
        <v>100</v>
      </c>
      <c r="V30" s="774" t="s">
        <v>17</v>
      </c>
      <c r="W30" s="775">
        <f t="shared" si="14"/>
        <v>100</v>
      </c>
      <c r="X30" s="2972"/>
      <c r="Y30" s="3242"/>
      <c r="Z30" s="2973">
        <f t="shared" si="15"/>
        <v>111</v>
      </c>
      <c r="AA30" s="2971">
        <f t="shared" si="3"/>
        <v>1</v>
      </c>
      <c r="AB30" s="2971">
        <f t="shared" si="4"/>
        <v>1</v>
      </c>
      <c r="AC30" s="2677">
        <f t="shared" si="5"/>
        <v>1</v>
      </c>
    </row>
    <row r="31" spans="1:29" ht="15">
      <c r="A31" s="428"/>
      <c r="B31" s="2680">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40"/>
      <c r="Q31" s="2970">
        <f t="shared" si="11"/>
        <v>111</v>
      </c>
      <c r="R31" s="774" t="s">
        <v>17</v>
      </c>
      <c r="S31" s="775">
        <f t="shared" si="12"/>
        <v>100</v>
      </c>
      <c r="T31" s="774" t="s">
        <v>17</v>
      </c>
      <c r="U31" s="775">
        <f t="shared" si="13"/>
        <v>100</v>
      </c>
      <c r="V31" s="774" t="s">
        <v>17</v>
      </c>
      <c r="W31" s="775">
        <f t="shared" si="14"/>
        <v>100</v>
      </c>
      <c r="X31" s="2972"/>
      <c r="Y31" s="3242"/>
      <c r="Z31" s="2973">
        <f t="shared" si="15"/>
        <v>111</v>
      </c>
      <c r="AA31" s="2971">
        <f t="shared" si="3"/>
        <v>1</v>
      </c>
      <c r="AB31" s="297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40"/>
      <c r="Q32" s="2970">
        <f t="shared" si="11"/>
        <v>111</v>
      </c>
      <c r="R32" s="774" t="s">
        <v>17</v>
      </c>
      <c r="S32" s="775">
        <f t="shared" si="12"/>
        <v>100</v>
      </c>
      <c r="T32" s="774" t="s">
        <v>17</v>
      </c>
      <c r="U32" s="775">
        <f t="shared" si="13"/>
        <v>100</v>
      </c>
      <c r="V32" s="774" t="s">
        <v>17</v>
      </c>
      <c r="W32" s="775">
        <f t="shared" si="14"/>
        <v>100</v>
      </c>
      <c r="X32" s="2972"/>
      <c r="Y32" s="3242"/>
      <c r="Z32" s="2973">
        <f t="shared" si="15"/>
        <v>111</v>
      </c>
      <c r="AA32" s="2971">
        <f t="shared" si="3"/>
        <v>1</v>
      </c>
      <c r="AB32" s="2971">
        <f t="shared" si="4"/>
        <v>1</v>
      </c>
      <c r="AC32" s="2677">
        <f t="shared" si="5"/>
        <v>1</v>
      </c>
    </row>
    <row r="33" spans="1:29" ht="15">
      <c r="A33" s="440" t="s">
        <v>2564</v>
      </c>
      <c r="B33" s="71" t="s">
        <v>2694</v>
      </c>
      <c r="C33" s="2681" t="s">
        <v>3103</v>
      </c>
      <c r="D33" s="467">
        <v>100</v>
      </c>
      <c r="E33" s="2681" t="s">
        <v>3103</v>
      </c>
      <c r="F33" s="461">
        <f>SUMIF(101:101,E33,102:102)-SUMIF(101:101,C33,102:102)+100</f>
        <v>100</v>
      </c>
      <c r="G33" s="2681" t="s">
        <v>3103</v>
      </c>
      <c r="H33" s="435">
        <f>SUMIF(101:101,G33,102:102)-SUMIF(101:101,C33,102:102)+100</f>
        <v>100</v>
      </c>
      <c r="I33" s="2681" t="s">
        <v>3103</v>
      </c>
      <c r="J33" s="467">
        <f>SUMIF(101:101,I33,102:102)-SUMIF(101:101,C33,102:102)+100</f>
        <v>100</v>
      </c>
      <c r="K33" s="612"/>
      <c r="L33" s="1140"/>
      <c r="M33" s="1131"/>
      <c r="N33" s="1131"/>
      <c r="O33" s="1131"/>
      <c r="P33" s="3243" t="s">
        <v>2566</v>
      </c>
      <c r="Q33" s="2970" t="str">
        <f t="shared" si="11"/>
        <v>建筑类型</v>
      </c>
      <c r="R33" s="774" t="s">
        <v>17</v>
      </c>
      <c r="S33" s="775">
        <f t="shared" si="12"/>
        <v>100</v>
      </c>
      <c r="T33" s="774" t="s">
        <v>17</v>
      </c>
      <c r="U33" s="775">
        <f t="shared" si="13"/>
        <v>100</v>
      </c>
      <c r="V33" s="774" t="s">
        <v>17</v>
      </c>
      <c r="W33" s="775">
        <f t="shared" si="14"/>
        <v>100</v>
      </c>
      <c r="X33" s="2972"/>
      <c r="Y33" s="3246" t="s">
        <v>2566</v>
      </c>
      <c r="Z33" s="2973" t="str">
        <f t="shared" si="15"/>
        <v>建筑类型</v>
      </c>
      <c r="AA33" s="2971">
        <f t="shared" si="3"/>
        <v>1</v>
      </c>
      <c r="AB33" s="2971">
        <f t="shared" si="4"/>
        <v>1</v>
      </c>
      <c r="AC33" s="2677">
        <f t="shared" si="5"/>
        <v>1</v>
      </c>
    </row>
    <row r="34" spans="1:29" s="471" customFormat="1" ht="15">
      <c r="A34" s="468"/>
      <c r="B34" s="2963" t="s">
        <v>2567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4"/>
      <c r="Q34" s="776" t="str">
        <f t="shared" si="11"/>
        <v>项目建筑规模</v>
      </c>
      <c r="R34" s="777" t="s">
        <v>17</v>
      </c>
      <c r="S34" s="778">
        <f t="shared" si="12"/>
        <v>100</v>
      </c>
      <c r="T34" s="777" t="s">
        <v>17</v>
      </c>
      <c r="U34" s="778">
        <f t="shared" si="13"/>
        <v>100</v>
      </c>
      <c r="V34" s="777" t="s">
        <v>17</v>
      </c>
      <c r="W34" s="778">
        <f t="shared" si="14"/>
        <v>100</v>
      </c>
      <c r="X34" s="779"/>
      <c r="Y34" s="3246"/>
      <c r="Z34" s="780" t="str">
        <f t="shared" si="15"/>
        <v>项目建筑规模</v>
      </c>
      <c r="AA34" s="2971">
        <f t="shared" si="3"/>
        <v>1</v>
      </c>
      <c r="AB34" s="2971">
        <f t="shared" si="4"/>
        <v>1</v>
      </c>
      <c r="AC34" s="2677">
        <f t="shared" si="5"/>
        <v>1</v>
      </c>
    </row>
    <row r="35" spans="1:29" ht="15">
      <c r="A35" s="472"/>
      <c r="B35" s="2963" t="s">
        <v>2568</v>
      </c>
      <c r="C35" s="3037" t="s">
        <v>3139</v>
      </c>
      <c r="D35" s="435">
        <v>100</v>
      </c>
      <c r="E35" s="3037" t="s">
        <v>3140</v>
      </c>
      <c r="F35" s="461">
        <f>SUMIF(106:106,E35,107:107)-SUMIF(106:106,C35,107:107)+100</f>
        <v>100</v>
      </c>
      <c r="G35" s="3037" t="s">
        <v>3139</v>
      </c>
      <c r="H35" s="435">
        <f>SUMIF(106:106,G35,107:107)-SUMIF(106:106,C35,107:107)+100</f>
        <v>100</v>
      </c>
      <c r="I35" s="3037" t="s">
        <v>3139</v>
      </c>
      <c r="J35" s="435">
        <f>SUMIF(106:106,I35,107:107)-SUMIF(106:106,C35,107:107)+100</f>
        <v>100</v>
      </c>
      <c r="K35" s="612"/>
      <c r="L35" s="1140"/>
      <c r="M35" s="1131"/>
      <c r="N35" s="1131"/>
      <c r="O35" s="1131"/>
      <c r="P35" s="3244"/>
      <c r="Q35" s="2970" t="str">
        <f t="shared" si="11"/>
        <v>建筑结构</v>
      </c>
      <c r="R35" s="774" t="s">
        <v>17</v>
      </c>
      <c r="S35" s="775">
        <f t="shared" si="12"/>
        <v>100</v>
      </c>
      <c r="T35" s="774" t="s">
        <v>17</v>
      </c>
      <c r="U35" s="775">
        <f t="shared" si="13"/>
        <v>100</v>
      </c>
      <c r="V35" s="774" t="s">
        <v>17</v>
      </c>
      <c r="W35" s="775">
        <f t="shared" si="14"/>
        <v>100</v>
      </c>
      <c r="X35" s="2972"/>
      <c r="Y35" s="3246"/>
      <c r="Z35" s="2973" t="str">
        <f t="shared" si="15"/>
        <v>建筑结构</v>
      </c>
      <c r="AA35" s="2971">
        <f t="shared" si="3"/>
        <v>1</v>
      </c>
      <c r="AB35" s="2971">
        <f t="shared" si="4"/>
        <v>1</v>
      </c>
      <c r="AC35" s="2677">
        <f t="shared" si="5"/>
        <v>1</v>
      </c>
    </row>
    <row r="36" spans="1:29" ht="15">
      <c r="A36" s="472"/>
      <c r="B36" s="2963" t="s">
        <v>2662</v>
      </c>
      <c r="C36" s="3037" t="s">
        <v>3111</v>
      </c>
      <c r="D36" s="435">
        <v>100</v>
      </c>
      <c r="E36" s="3037" t="s">
        <v>3111</v>
      </c>
      <c r="F36" s="461">
        <f>SUMIF(108:108,E36,109:109)-SUMIF(108:108,C36,109:109)+100</f>
        <v>100</v>
      </c>
      <c r="G36" s="3037" t="s">
        <v>3111</v>
      </c>
      <c r="H36" s="435">
        <f>SUMIF(108:108,G36,109:109)-SUMIF(108:108,C36,109:109)+100</f>
        <v>100</v>
      </c>
      <c r="I36" s="3037" t="s">
        <v>3111</v>
      </c>
      <c r="J36" s="435">
        <f>SUMIF(108:108,I36,109:109)-SUMIF(108:108,C36,109:109)+100</f>
        <v>100</v>
      </c>
      <c r="K36" s="612"/>
      <c r="L36" s="1140"/>
      <c r="M36" s="1131"/>
      <c r="N36" s="1131"/>
      <c r="O36" s="1131"/>
      <c r="P36" s="3244"/>
      <c r="Q36" s="2970" t="str">
        <f t="shared" si="11"/>
        <v>公共部分装修</v>
      </c>
      <c r="R36" s="774" t="s">
        <v>17</v>
      </c>
      <c r="S36" s="775">
        <f t="shared" si="12"/>
        <v>100</v>
      </c>
      <c r="T36" s="774" t="s">
        <v>17</v>
      </c>
      <c r="U36" s="775">
        <f t="shared" si="13"/>
        <v>100</v>
      </c>
      <c r="V36" s="774" t="s">
        <v>17</v>
      </c>
      <c r="W36" s="775">
        <f t="shared" si="14"/>
        <v>100</v>
      </c>
      <c r="X36" s="2972"/>
      <c r="Y36" s="3246"/>
      <c r="Z36" s="2973" t="str">
        <f t="shared" si="15"/>
        <v>公共部分装修</v>
      </c>
      <c r="AA36" s="2971">
        <f t="shared" si="3"/>
        <v>1</v>
      </c>
      <c r="AB36" s="2971">
        <f t="shared" si="4"/>
        <v>1</v>
      </c>
      <c r="AC36" s="2677">
        <f t="shared" si="5"/>
        <v>1</v>
      </c>
    </row>
    <row r="37" spans="1:29" ht="15">
      <c r="A37" s="472"/>
      <c r="B37" s="2963" t="s">
        <v>2663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0"/>
      <c r="M37" s="1131"/>
      <c r="N37" s="1131"/>
      <c r="O37" s="1131"/>
      <c r="P37" s="3244"/>
      <c r="Q37" s="2970" t="str">
        <f t="shared" si="11"/>
        <v>成新度</v>
      </c>
      <c r="R37" s="774" t="s">
        <v>17</v>
      </c>
      <c r="S37" s="775">
        <f t="shared" si="12"/>
        <v>100</v>
      </c>
      <c r="T37" s="774" t="s">
        <v>17</v>
      </c>
      <c r="U37" s="775">
        <f t="shared" si="13"/>
        <v>100</v>
      </c>
      <c r="V37" s="774" t="s">
        <v>17</v>
      </c>
      <c r="W37" s="775">
        <f t="shared" si="14"/>
        <v>100</v>
      </c>
      <c r="X37" s="2972"/>
      <c r="Y37" s="3246"/>
      <c r="Z37" s="2973" t="str">
        <f t="shared" si="15"/>
        <v>成新度</v>
      </c>
      <c r="AA37" s="2971">
        <f t="shared" si="3"/>
        <v>1</v>
      </c>
      <c r="AB37" s="2971">
        <f t="shared" si="4"/>
        <v>1</v>
      </c>
      <c r="AC37" s="2677">
        <f t="shared" si="5"/>
        <v>1</v>
      </c>
    </row>
    <row r="38" spans="1:29" s="117" customFormat="1" ht="15">
      <c r="A38" s="473"/>
      <c r="B38" s="2963"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4"/>
      <c r="Q38" s="2952" t="str">
        <f t="shared" si="11"/>
        <v>写字楼等级</v>
      </c>
      <c r="R38" s="770" t="s">
        <v>17</v>
      </c>
      <c r="S38" s="771">
        <f t="shared" si="12"/>
        <v>100</v>
      </c>
      <c r="T38" s="770" t="s">
        <v>17</v>
      </c>
      <c r="U38" s="771">
        <f t="shared" si="13"/>
        <v>100</v>
      </c>
      <c r="V38" s="770" t="s">
        <v>17</v>
      </c>
      <c r="W38" s="771">
        <f t="shared" si="14"/>
        <v>100</v>
      </c>
      <c r="X38" s="772"/>
      <c r="Y38" s="3246"/>
      <c r="Z38" s="2954" t="str">
        <f t="shared" si="15"/>
        <v>写字楼等级</v>
      </c>
      <c r="AA38" s="773">
        <f t="shared" si="3"/>
        <v>1</v>
      </c>
      <c r="AB38" s="773">
        <f t="shared" si="4"/>
        <v>1</v>
      </c>
      <c r="AC38" s="2674">
        <f t="shared" si="5"/>
        <v>1</v>
      </c>
    </row>
    <row r="39" spans="1:29" ht="15">
      <c r="A39" s="472"/>
      <c r="B39" s="2963" t="s">
        <v>2696</v>
      </c>
      <c r="C39" s="3037" t="s">
        <v>3141</v>
      </c>
      <c r="D39" s="435">
        <v>100</v>
      </c>
      <c r="E39" s="3037" t="s">
        <v>3141</v>
      </c>
      <c r="F39" s="461">
        <f>SUMIF(115:115,E39,116:116)-SUMIF(115:115,C39,116:116)+100</f>
        <v>100</v>
      </c>
      <c r="G39" s="3037" t="s">
        <v>3141</v>
      </c>
      <c r="H39" s="435">
        <f>SUMIF(115:115,G39,116:116)-SUMIF(115:115,C39,116:116)+100</f>
        <v>100</v>
      </c>
      <c r="I39" s="3037" t="s">
        <v>3141</v>
      </c>
      <c r="J39" s="435">
        <f>SUMIF(115:115,I39,116:116)-SUMIF(115:115,C39,116:116)+100</f>
        <v>100</v>
      </c>
      <c r="K39" s="612"/>
      <c r="L39" s="1140"/>
      <c r="M39" s="1131"/>
      <c r="N39" s="1131"/>
      <c r="O39" s="1131"/>
      <c r="P39" s="3244" t="s">
        <v>2566</v>
      </c>
      <c r="Q39" s="2970" t="str">
        <f t="shared" si="11"/>
        <v>物业管理</v>
      </c>
      <c r="R39" s="774" t="s">
        <v>17</v>
      </c>
      <c r="S39" s="775">
        <f t="shared" si="12"/>
        <v>100</v>
      </c>
      <c r="T39" s="774" t="s">
        <v>17</v>
      </c>
      <c r="U39" s="775">
        <f t="shared" si="13"/>
        <v>100</v>
      </c>
      <c r="V39" s="774" t="s">
        <v>17</v>
      </c>
      <c r="W39" s="775">
        <f t="shared" si="14"/>
        <v>100</v>
      </c>
      <c r="X39" s="2972"/>
      <c r="Y39" s="3246" t="s">
        <v>2566</v>
      </c>
      <c r="Z39" s="2973" t="str">
        <f t="shared" si="15"/>
        <v>物业管理</v>
      </c>
      <c r="AA39" s="2971">
        <f t="shared" si="3"/>
        <v>1</v>
      </c>
      <c r="AB39" s="2971">
        <f t="shared" si="4"/>
        <v>1</v>
      </c>
      <c r="AC39" s="2677">
        <f t="shared" si="5"/>
        <v>1</v>
      </c>
    </row>
    <row r="40" spans="1:29" ht="15">
      <c r="A40" s="472"/>
      <c r="B40" s="2963" t="s">
        <v>2664</v>
      </c>
      <c r="C40" s="3037" t="s">
        <v>3142</v>
      </c>
      <c r="D40" s="435">
        <v>100</v>
      </c>
      <c r="E40" s="3037" t="s">
        <v>3143</v>
      </c>
      <c r="F40" s="461">
        <f>SUMIF(117:117,E40,118:118)-SUMIF(117:117,C40,118:118)+100</f>
        <v>100</v>
      </c>
      <c r="G40" s="3037" t="s">
        <v>3144</v>
      </c>
      <c r="H40" s="435">
        <f>SUMIF(117:117,G40,118:118)-SUMIF(117:117,C40,118:118)+100</f>
        <v>100</v>
      </c>
      <c r="I40" s="3037" t="s">
        <v>3144</v>
      </c>
      <c r="J40" s="435">
        <f>SUMIF(117:117,I40,118:118)-SUMIF(117:117,C40,118:118)+100</f>
        <v>100</v>
      </c>
      <c r="K40" s="612"/>
      <c r="L40" s="1140"/>
      <c r="M40" s="1131"/>
      <c r="N40" s="1131"/>
      <c r="O40" s="1131"/>
      <c r="P40" s="3244"/>
      <c r="Q40" s="2970" t="str">
        <f t="shared" si="11"/>
        <v>市政基础设施</v>
      </c>
      <c r="R40" s="774" t="s">
        <v>17</v>
      </c>
      <c r="S40" s="775">
        <f t="shared" si="12"/>
        <v>100</v>
      </c>
      <c r="T40" s="774" t="s">
        <v>17</v>
      </c>
      <c r="U40" s="775">
        <f t="shared" si="13"/>
        <v>100</v>
      </c>
      <c r="V40" s="774" t="s">
        <v>17</v>
      </c>
      <c r="W40" s="775">
        <f t="shared" si="14"/>
        <v>100</v>
      </c>
      <c r="X40" s="2972"/>
      <c r="Y40" s="3246"/>
      <c r="Z40" s="2973" t="str">
        <f t="shared" si="15"/>
        <v>市政基础设施</v>
      </c>
      <c r="AA40" s="2971">
        <f t="shared" si="3"/>
        <v>1</v>
      </c>
      <c r="AB40" s="2971">
        <f t="shared" si="4"/>
        <v>1</v>
      </c>
      <c r="AC40" s="2677">
        <f t="shared" si="5"/>
        <v>1</v>
      </c>
    </row>
    <row r="41" spans="1:29" ht="15">
      <c r="A41" s="472"/>
      <c r="B41" s="2963"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4"/>
      <c r="Q41" s="2970" t="str">
        <f t="shared" si="11"/>
        <v>层高</v>
      </c>
      <c r="R41" s="774" t="s">
        <v>17</v>
      </c>
      <c r="S41" s="775">
        <f t="shared" si="12"/>
        <v>100</v>
      </c>
      <c r="T41" s="774" t="s">
        <v>17</v>
      </c>
      <c r="U41" s="775">
        <f t="shared" si="13"/>
        <v>100</v>
      </c>
      <c r="V41" s="774" t="s">
        <v>17</v>
      </c>
      <c r="W41" s="775">
        <f t="shared" si="14"/>
        <v>100</v>
      </c>
      <c r="X41" s="2972"/>
      <c r="Y41" s="3246"/>
      <c r="Z41" s="2973" t="str">
        <f t="shared" si="15"/>
        <v>层高</v>
      </c>
      <c r="AA41" s="2971">
        <f t="shared" si="3"/>
        <v>1</v>
      </c>
      <c r="AB41" s="2971">
        <f t="shared" si="4"/>
        <v>1</v>
      </c>
      <c r="AC41" s="2677">
        <f t="shared" si="5"/>
        <v>1</v>
      </c>
    </row>
    <row r="42" spans="1:29" s="471" customFormat="1" ht="15">
      <c r="A42" s="468"/>
      <c r="B42" s="2969" t="s">
        <v>2697</v>
      </c>
      <c r="C42" s="434" t="s">
        <v>3145</v>
      </c>
      <c r="D42" s="435">
        <v>100</v>
      </c>
      <c r="E42" s="434" t="s">
        <v>3146</v>
      </c>
      <c r="F42" s="461">
        <f>SUMIF(121:121,E42,122:122)-SUMIF(121:121,C42,122:122)+100</f>
        <v>100</v>
      </c>
      <c r="G42" s="434" t="s">
        <v>3109</v>
      </c>
      <c r="H42" s="435">
        <f>SUMIF(121:121,G42,122:122)-SUMIF(121:121,C42,122:122)+100</f>
        <v>92</v>
      </c>
      <c r="I42" s="434" t="s">
        <v>3148</v>
      </c>
      <c r="J42" s="435">
        <f>SUMIF(121:121,I42,122:122)-SUMIF(121:121,C42,122:122)+100</f>
        <v>98</v>
      </c>
      <c r="K42" s="613"/>
      <c r="L42" s="1138"/>
      <c r="M42" s="1141"/>
      <c r="N42" s="1141"/>
      <c r="O42" s="1141"/>
      <c r="P42" s="3244"/>
      <c r="Q42" s="776" t="str">
        <f t="shared" si="11"/>
        <v>单套建筑面积</v>
      </c>
      <c r="R42" s="777" t="s">
        <v>17</v>
      </c>
      <c r="S42" s="778">
        <f t="shared" si="12"/>
        <v>100</v>
      </c>
      <c r="T42" s="777" t="s">
        <v>17</v>
      </c>
      <c r="U42" s="778">
        <f t="shared" si="13"/>
        <v>92</v>
      </c>
      <c r="V42" s="777" t="s">
        <v>17</v>
      </c>
      <c r="W42" s="778">
        <f t="shared" si="14"/>
        <v>98</v>
      </c>
      <c r="X42" s="779"/>
      <c r="Y42" s="3246"/>
      <c r="Z42" s="780" t="str">
        <f t="shared" si="15"/>
        <v>单套建筑面积</v>
      </c>
      <c r="AA42" s="2971">
        <f t="shared" si="3"/>
        <v>1</v>
      </c>
      <c r="AB42" s="2971">
        <f t="shared" si="4"/>
        <v>1.0869565217391304</v>
      </c>
      <c r="AC42" s="2677">
        <f t="shared" si="5"/>
        <v>1.0204081632653061</v>
      </c>
    </row>
    <row r="43" spans="1:29" ht="15">
      <c r="A43" s="472"/>
      <c r="B43" s="2963"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4"/>
      <c r="Q43" s="2970" t="str">
        <f t="shared" si="11"/>
        <v>内部装修</v>
      </c>
      <c r="R43" s="774" t="s">
        <v>17</v>
      </c>
      <c r="S43" s="775">
        <f t="shared" si="12"/>
        <v>100</v>
      </c>
      <c r="T43" s="774" t="s">
        <v>17</v>
      </c>
      <c r="U43" s="775">
        <f t="shared" si="13"/>
        <v>100</v>
      </c>
      <c r="V43" s="774" t="s">
        <v>17</v>
      </c>
      <c r="W43" s="775">
        <f t="shared" si="14"/>
        <v>100</v>
      </c>
      <c r="X43" s="2972"/>
      <c r="Y43" s="3246"/>
      <c r="Z43" s="2973" t="str">
        <f t="shared" si="15"/>
        <v>内部装修</v>
      </c>
      <c r="AA43" s="2971">
        <f t="shared" si="3"/>
        <v>1</v>
      </c>
      <c r="AB43" s="2971">
        <f t="shared" si="4"/>
        <v>1</v>
      </c>
      <c r="AC43" s="2677">
        <f t="shared" si="5"/>
        <v>1</v>
      </c>
    </row>
    <row r="44" spans="1:29" ht="15">
      <c r="A44" s="472"/>
      <c r="B44" s="2963"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4"/>
      <c r="Q44" s="2970" t="str">
        <f t="shared" si="11"/>
        <v>内部装修维护情况</v>
      </c>
      <c r="R44" s="774" t="s">
        <v>17</v>
      </c>
      <c r="S44" s="775">
        <f t="shared" si="12"/>
        <v>100</v>
      </c>
      <c r="T44" s="774" t="s">
        <v>17</v>
      </c>
      <c r="U44" s="775">
        <f t="shared" si="13"/>
        <v>100</v>
      </c>
      <c r="V44" s="774" t="s">
        <v>17</v>
      </c>
      <c r="W44" s="775">
        <f t="shared" si="14"/>
        <v>100</v>
      </c>
      <c r="X44" s="2972"/>
      <c r="Y44" s="3246"/>
      <c r="Z44" s="2973" t="str">
        <f t="shared" si="15"/>
        <v>内部装修维护情况</v>
      </c>
      <c r="AA44" s="2971">
        <f t="shared" si="3"/>
        <v>1</v>
      </c>
      <c r="AB44" s="297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4"/>
      <c r="Q45" s="2952">
        <f t="shared" si="11"/>
        <v>111</v>
      </c>
      <c r="R45" s="770" t="s">
        <v>17</v>
      </c>
      <c r="S45" s="771">
        <f t="shared" si="12"/>
        <v>100</v>
      </c>
      <c r="T45" s="770" t="s">
        <v>17</v>
      </c>
      <c r="U45" s="771">
        <f t="shared" si="13"/>
        <v>100</v>
      </c>
      <c r="V45" s="770" t="s">
        <v>17</v>
      </c>
      <c r="W45" s="771">
        <f t="shared" si="14"/>
        <v>100</v>
      </c>
      <c r="X45" s="772"/>
      <c r="Y45" s="3246"/>
      <c r="Z45" s="2954">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4"/>
      <c r="Q46" s="2970">
        <f t="shared" si="11"/>
        <v>111</v>
      </c>
      <c r="R46" s="774" t="s">
        <v>17</v>
      </c>
      <c r="S46" s="775">
        <f t="shared" si="12"/>
        <v>100</v>
      </c>
      <c r="T46" s="774" t="s">
        <v>17</v>
      </c>
      <c r="U46" s="775">
        <f t="shared" si="13"/>
        <v>100</v>
      </c>
      <c r="V46" s="774" t="s">
        <v>17</v>
      </c>
      <c r="W46" s="775">
        <f t="shared" si="14"/>
        <v>100</v>
      </c>
      <c r="X46" s="2972"/>
      <c r="Y46" s="3246"/>
      <c r="Z46" s="2973">
        <f t="shared" si="15"/>
        <v>111</v>
      </c>
      <c r="AA46" s="2971">
        <f t="shared" si="3"/>
        <v>1</v>
      </c>
      <c r="AB46" s="2971">
        <f t="shared" si="4"/>
        <v>1</v>
      </c>
      <c r="AC46" s="2677">
        <f t="shared" si="5"/>
        <v>1</v>
      </c>
    </row>
    <row r="47" spans="1:29" ht="15.75" thickBot="1">
      <c r="A47" s="478"/>
      <c r="B47" s="2605">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5"/>
      <c r="Q47" s="2970">
        <f t="shared" si="11"/>
        <v>0.97</v>
      </c>
      <c r="R47" s="774" t="s">
        <v>17</v>
      </c>
      <c r="S47" s="775">
        <f t="shared" si="12"/>
        <v>100</v>
      </c>
      <c r="T47" s="774" t="s">
        <v>17</v>
      </c>
      <c r="U47" s="775">
        <f t="shared" si="13"/>
        <v>100</v>
      </c>
      <c r="V47" s="774" t="s">
        <v>17</v>
      </c>
      <c r="W47" s="775">
        <f t="shared" si="14"/>
        <v>100</v>
      </c>
      <c r="X47" s="2972"/>
      <c r="Y47" s="3247"/>
      <c r="Z47" s="2973">
        <f t="shared" si="15"/>
        <v>0.97</v>
      </c>
      <c r="AA47" s="2971">
        <f t="shared" si="3"/>
        <v>1</v>
      </c>
      <c r="AB47" s="2971">
        <f t="shared" si="4"/>
        <v>1</v>
      </c>
      <c r="AC47" s="2677">
        <f t="shared" si="5"/>
        <v>1</v>
      </c>
    </row>
    <row r="48" spans="1:29" ht="15">
      <c r="A48" s="479" t="s">
        <v>2578</v>
      </c>
      <c r="B48" s="480"/>
      <c r="C48" s="1407" t="s">
        <v>1</v>
      </c>
      <c r="D48" s="1408"/>
      <c r="E48" s="1409">
        <v>47143</v>
      </c>
      <c r="F48" s="1410"/>
      <c r="G48" s="1411">
        <v>43000</v>
      </c>
      <c r="H48" s="1412"/>
      <c r="I48" s="1409">
        <v>40000</v>
      </c>
      <c r="J48" s="485"/>
      <c r="K48" s="783"/>
      <c r="L48" s="1143"/>
      <c r="M48" s="1131"/>
      <c r="N48" s="1131"/>
      <c r="O48" s="1131"/>
      <c r="P48" s="3233" t="str">
        <f>A48</f>
        <v>成交单价（元/平方米）</v>
      </c>
      <c r="Q48" s="3234"/>
      <c r="R48" s="3235">
        <f>E48</f>
        <v>47143</v>
      </c>
      <c r="S48" s="3235"/>
      <c r="T48" s="3235">
        <f>G48</f>
        <v>43000</v>
      </c>
      <c r="U48" s="3235"/>
      <c r="V48" s="3235">
        <f>I48</f>
        <v>40000</v>
      </c>
      <c r="W48" s="3235"/>
      <c r="X48" s="446"/>
      <c r="Y48" s="781"/>
      <c r="Z48" s="446"/>
      <c r="AA48" s="446"/>
      <c r="AB48" s="446"/>
      <c r="AC48" s="630"/>
    </row>
    <row r="49" spans="1:29" ht="15.75" thickBot="1">
      <c r="A49" s="486" t="s">
        <v>2670</v>
      </c>
      <c r="B49" s="487"/>
      <c r="C49" s="1413">
        <f>R50</f>
        <v>45832</v>
      </c>
      <c r="D49" s="1414"/>
      <c r="E49" s="1415">
        <f>R49</f>
        <v>49107</v>
      </c>
      <c r="F49" s="1415"/>
      <c r="G49" s="1413">
        <f>T49</f>
        <v>46739</v>
      </c>
      <c r="H49" s="1414"/>
      <c r="I49" s="1415">
        <f>V49</f>
        <v>41649</v>
      </c>
      <c r="J49" s="489"/>
      <c r="K49" s="784"/>
      <c r="L49" s="1143"/>
      <c r="M49" s="1131"/>
      <c r="N49" s="1131"/>
      <c r="O49" s="1131"/>
      <c r="P49" s="3233" t="str">
        <f>A49</f>
        <v>比较价值（元/平方米）</v>
      </c>
      <c r="Q49" s="3234"/>
      <c r="R49" s="3235">
        <f>IF(F1="售价",ROUND(PRODUCT(R48,AA7:AA47),0),ROUND(PRODUCT(R48,AA7:AA47),1))</f>
        <v>49107</v>
      </c>
      <c r="S49" s="3235"/>
      <c r="T49" s="3235">
        <f>IF(F1="售价",ROUND(PRODUCT(T48,AB7:AB47),0),ROUND(PRODUCT(T48,AB7:AB47),1))</f>
        <v>46739</v>
      </c>
      <c r="U49" s="3235"/>
      <c r="V49" s="3235">
        <f>IF(F1="售价",ROUND(PRODUCT(V48,AC7:AC47),0),ROUND(PRODUCT(V48,AC7:AC47),1))</f>
        <v>41649</v>
      </c>
      <c r="W49" s="3235"/>
      <c r="X49" s="446"/>
      <c r="Y49" s="446"/>
      <c r="Z49" s="446"/>
      <c r="AA49" s="446"/>
      <c r="AB49" s="446"/>
      <c r="AC49" s="630"/>
    </row>
    <row r="50" spans="1:29" ht="15.75" thickBot="1">
      <c r="A50" s="492" t="s">
        <v>2671</v>
      </c>
      <c r="B50" s="493"/>
      <c r="C50" s="1417">
        <f>R50</f>
        <v>45832</v>
      </c>
      <c r="D50" s="1417"/>
      <c r="E50" s="1417"/>
      <c r="F50" s="1417"/>
      <c r="G50" s="1417"/>
      <c r="H50" s="1417"/>
      <c r="I50" s="1417"/>
      <c r="J50" s="494"/>
      <c r="K50" s="785"/>
      <c r="L50" s="1143"/>
      <c r="M50" s="1131"/>
      <c r="N50" s="1131"/>
      <c r="O50" s="1131"/>
      <c r="P50" s="3236" t="str">
        <f>A50</f>
        <v>估价对象XX用房的比较价值（楼面单价，元/平方米）</v>
      </c>
      <c r="Q50" s="3237"/>
      <c r="R50" s="3238">
        <f>IF(F1="售价",ROUND(AVERAGE(R49:V49),0),ROUND(AVERAGE(R49:V49),1))</f>
        <v>45832</v>
      </c>
      <c r="S50" s="3238"/>
      <c r="T50" s="3238"/>
      <c r="U50" s="3238"/>
      <c r="V50" s="3238"/>
      <c r="W50" s="3238"/>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4.1660479816727936E-2</v>
      </c>
      <c r="F53" s="500" t="str">
        <f>IF(OR(E53&gt;=0.3,E53&lt;=-0.3),"超过30%","")</f>
        <v/>
      </c>
      <c r="G53" s="499">
        <f>IF(G48&lt;G49,G49/G48-1,G48/G49-1)</f>
        <v>8.6953488372093046E-2</v>
      </c>
      <c r="H53" s="500" t="str">
        <f>IF(OR(G53&gt;=0.3,G53&lt;=-0.3),"超过30%","")</f>
        <v/>
      </c>
      <c r="I53" s="499">
        <f>IF(I48&lt;I49,I49/I48-1,I48/I49-1)</f>
        <v>4.1225000000000067E-2</v>
      </c>
      <c r="J53" s="500" t="str">
        <f>IF(OR(I53&gt;=0.3,I53&lt;=-0.3),"超过30%","")</f>
        <v/>
      </c>
      <c r="K53" s="1105"/>
      <c r="L53" s="1106"/>
      <c r="M53" s="1144"/>
      <c r="N53" s="1144"/>
      <c r="O53" s="1144"/>
    </row>
    <row r="54" spans="1:29" ht="13.5" customHeight="1">
      <c r="A54" s="1144"/>
      <c r="B54" s="1144"/>
      <c r="C54" s="497" t="s">
        <v>2673</v>
      </c>
      <c r="D54" s="501"/>
      <c r="E54" s="499">
        <f>IF(E49&lt;G49,G49/E49-1,E49/G49-1)</f>
        <v>5.0664327435332446E-2</v>
      </c>
      <c r="F54" s="500" t="str">
        <f>IF(OR(E54&gt;=0.2,E54&lt;=-0.2),"超过20%","")</f>
        <v/>
      </c>
      <c r="G54" s="499">
        <f>IF(G49&lt;I49,I49/G49-1,G49/I49-1)</f>
        <v>0.12221181781075185</v>
      </c>
      <c r="H54" s="500" t="str">
        <f>IF(OR(G54&gt;=0.2,G54&lt;=-0.2),"超过20%","")</f>
        <v/>
      </c>
      <c r="I54" s="499">
        <f>IF(I49&lt;E49,E49/I49-1,I49/E49-1)</f>
        <v>0.17906792480011524</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9.6348837209302429E-2</v>
      </c>
      <c r="F55" s="500" t="str">
        <f>IF(OR(E55&gt;=0.3,E55&lt;=-0.3),"超过30%","")</f>
        <v/>
      </c>
      <c r="G55" s="499">
        <f>IF(G48&lt;I48,I48/G48-1,G48/I48-1)</f>
        <v>7.4999999999999956E-2</v>
      </c>
      <c r="H55" s="500" t="str">
        <f>IF(OR(G55&gt;=0.3,G55&lt;=-0.3),"超过30%","")</f>
        <v/>
      </c>
      <c r="I55" s="499">
        <f>IF(I48&lt;E48,E48/I48-1,I48/E48-1)</f>
        <v>0.17857499999999993</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t="str">
        <f>C9</f>
        <v>办公</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0</v>
      </c>
      <c r="D69" s="549">
        <v>1</v>
      </c>
      <c r="E69" s="549">
        <v>2</v>
      </c>
      <c r="F69" s="549">
        <v>3</v>
      </c>
      <c r="G69" s="549">
        <v>4</v>
      </c>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3016" t="s">
        <v>3116</v>
      </c>
      <c r="D89" s="3016" t="s">
        <v>3117</v>
      </c>
      <c r="E89" s="3016" t="s">
        <v>3118</v>
      </c>
      <c r="F89" s="2638"/>
      <c r="G89" s="554"/>
      <c r="H89" s="554"/>
      <c r="I89" s="554"/>
      <c r="J89" s="554"/>
      <c r="K89" s="554"/>
      <c r="L89" s="554"/>
      <c r="M89" s="581"/>
      <c r="N89" s="1151"/>
      <c r="O89" s="1151"/>
      <c r="P89" s="2686"/>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9"/>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3015" t="s">
        <v>3104</v>
      </c>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0(含)-10000</v>
      </c>
      <c r="D103" s="578" t="str">
        <f t="shared" ref="D103:L103" si="23">D104&amp;"(含)"&amp;"-"&amp;E104</f>
        <v>10000(含)-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v>10000</v>
      </c>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t="s">
        <v>3105</v>
      </c>
      <c r="D121" s="554" t="s">
        <v>3106</v>
      </c>
      <c r="E121" s="554" t="s">
        <v>3107</v>
      </c>
      <c r="F121" s="583" t="s">
        <v>3108</v>
      </c>
      <c r="G121" s="555" t="s">
        <v>3109</v>
      </c>
      <c r="H121" s="555" t="s">
        <v>3147</v>
      </c>
      <c r="I121" s="555"/>
      <c r="J121" s="555"/>
      <c r="K121" s="555"/>
      <c r="L121" s="556"/>
      <c r="M121" s="557"/>
      <c r="N121" s="1154"/>
      <c r="O121" s="1154"/>
      <c r="P121" s="2687"/>
      <c r="Q121" s="559"/>
    </row>
    <row r="122" spans="1:17" s="471" customFormat="1" ht="15.75" thickBot="1">
      <c r="A122" s="553"/>
      <c r="B122" s="535"/>
      <c r="C122" s="560">
        <v>97</v>
      </c>
      <c r="D122" s="560">
        <v>99</v>
      </c>
      <c r="E122" s="560">
        <v>97</v>
      </c>
      <c r="F122" s="560">
        <v>94</v>
      </c>
      <c r="G122" s="560">
        <v>91</v>
      </c>
      <c r="H122" s="560">
        <v>88</v>
      </c>
      <c r="I122" s="560"/>
      <c r="J122" s="560"/>
      <c r="K122" s="560"/>
      <c r="L122" s="560"/>
      <c r="M122" s="560"/>
      <c r="N122" s="1154"/>
      <c r="O122" s="1154"/>
      <c r="P122" s="2687"/>
      <c r="Q122" s="559"/>
    </row>
    <row r="123" spans="1:17" ht="15" thickTop="1">
      <c r="A123" s="599"/>
      <c r="B123" s="538" t="s">
        <v>2621</v>
      </c>
      <c r="C123" s="3016" t="s">
        <v>3111</v>
      </c>
      <c r="D123" s="3016" t="s">
        <v>3112</v>
      </c>
      <c r="E123" s="3016" t="s">
        <v>3113</v>
      </c>
      <c r="F123" s="3017" t="s">
        <v>3114</v>
      </c>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0.97</v>
      </c>
      <c r="C131" s="523"/>
      <c r="D131" s="523"/>
      <c r="E131" s="523"/>
      <c r="F131" s="523"/>
      <c r="G131" s="587"/>
      <c r="H131" s="587"/>
      <c r="I131" s="587"/>
      <c r="J131" s="587"/>
      <c r="K131" s="523"/>
      <c r="L131" s="524"/>
      <c r="M131" s="590"/>
      <c r="N131" s="1152"/>
      <c r="O131" s="1152"/>
      <c r="P131" s="2686"/>
      <c r="Q131" s="504"/>
    </row>
    <row r="132" spans="1:17" ht="15.75" thickBot="1">
      <c r="A132" s="2639"/>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2527</v>
      </c>
      <c r="B1" s="2565"/>
      <c r="C1" s="2565"/>
      <c r="D1" s="2565"/>
      <c r="E1" s="2566"/>
    </row>
    <row r="2" spans="1:6" ht="15.75">
      <c r="A2" s="2567" t="s">
        <v>2328</v>
      </c>
      <c r="B2" s="2568">
        <f ca="1">SUMIF(B6:B13,"&lt;&gt;#ref!",B6:B13)</f>
        <v>1683</v>
      </c>
      <c r="C2" s="2569" t="s">
        <v>2520</v>
      </c>
      <c r="D2" s="2570" t="s">
        <v>2521</v>
      </c>
      <c r="E2" s="2571">
        <f>SUM(E6:E13)</f>
        <v>317.81</v>
      </c>
    </row>
    <row r="3" spans="1:6" ht="15.75">
      <c r="A3" s="2567" t="s">
        <v>1390</v>
      </c>
      <c r="B3" s="2568">
        <f ca="1">ROUND(B2*10000/E2,0)</f>
        <v>52956</v>
      </c>
      <c r="C3" s="2569" t="s">
        <v>2528</v>
      </c>
      <c r="D3" s="2572"/>
      <c r="E3" s="2573"/>
    </row>
    <row r="4" spans="1:6" ht="15.75">
      <c r="A4" s="2574"/>
      <c r="B4" s="2572"/>
      <c r="C4" s="2572"/>
      <c r="D4" s="2572"/>
      <c r="E4" s="2573"/>
    </row>
    <row r="5" spans="1:6" ht="15">
      <c r="A5" s="2575" t="s">
        <v>2522</v>
      </c>
      <c r="B5" s="3289" t="s">
        <v>2523</v>
      </c>
      <c r="C5" s="3289"/>
      <c r="D5" s="2576"/>
      <c r="E5" s="2577" t="s">
        <v>2524</v>
      </c>
      <c r="F5" s="2578" t="s">
        <v>2525</v>
      </c>
    </row>
    <row r="6" spans="1:6">
      <c r="A6" s="2579" t="str">
        <f>'数据-取费表'!AN6</f>
        <v>收益法 (元)</v>
      </c>
      <c r="B6" s="2578">
        <f ca="1">IF(F6="是",'数据-取费表'!AO6,0)</f>
        <v>1683</v>
      </c>
      <c r="C6" s="2569" t="s">
        <v>2520</v>
      </c>
      <c r="D6" s="2572"/>
      <c r="E6" s="2580">
        <f>IF(OR(A6=0,F6="否"),0,'数据-取费表'!K6+'数据-取费表'!S6)</f>
        <v>317.81</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6" t="s">
        <v>1073</v>
      </c>
      <c r="B1" s="3307"/>
      <c r="C1" s="3308"/>
      <c r="D1" s="3309">
        <f>SUM(I10,I15,I20,I21,I23)</f>
        <v>0</v>
      </c>
      <c r="E1" s="3309"/>
      <c r="F1" s="3309"/>
      <c r="G1" s="3309"/>
      <c r="H1" s="3309"/>
      <c r="I1" s="3310"/>
    </row>
    <row r="2" spans="1:9">
      <c r="A2" s="3296" t="s">
        <v>1074</v>
      </c>
      <c r="B2" s="3297" t="s">
        <v>1075</v>
      </c>
      <c r="C2" s="3297"/>
      <c r="D2" s="1301" t="s">
        <v>1076</v>
      </c>
      <c r="E2" s="1301" t="s">
        <v>1077</v>
      </c>
      <c r="F2" s="1301" t="s">
        <v>1078</v>
      </c>
      <c r="G2" s="1301" t="s">
        <v>1079</v>
      </c>
      <c r="H2" s="1301" t="s">
        <v>1080</v>
      </c>
      <c r="I2" s="1302" t="s">
        <v>1081</v>
      </c>
    </row>
    <row r="3" spans="1:9">
      <c r="A3" s="3296"/>
      <c r="B3" s="3297" t="s">
        <v>1082</v>
      </c>
      <c r="C3" s="3297"/>
      <c r="D3" s="1303"/>
      <c r="E3" s="1301"/>
      <c r="F3" s="1304"/>
      <c r="G3" s="1304"/>
      <c r="H3" s="1305"/>
      <c r="I3" s="1306">
        <f>ROUND(D3*E3*F3*G3*H3/10000,0)</f>
        <v>0</v>
      </c>
    </row>
    <row r="4" spans="1:9">
      <c r="A4" s="3296"/>
      <c r="B4" s="3297" t="s">
        <v>1083</v>
      </c>
      <c r="C4" s="3297"/>
      <c r="D4" s="1303"/>
      <c r="E4" s="1301"/>
      <c r="F4" s="1304"/>
      <c r="G4" s="1304"/>
      <c r="H4" s="1305"/>
      <c r="I4" s="1306">
        <f t="shared" ref="I4:I9" si="0">ROUND(D4*E4*F4*G4*H4/10000,0)</f>
        <v>0</v>
      </c>
    </row>
    <row r="5" spans="1:9">
      <c r="A5" s="3296"/>
      <c r="B5" s="3297" t="s">
        <v>1084</v>
      </c>
      <c r="C5" s="3297"/>
      <c r="D5" s="1303"/>
      <c r="E5" s="1301"/>
      <c r="F5" s="1304"/>
      <c r="G5" s="1304"/>
      <c r="H5" s="1305"/>
      <c r="I5" s="1306">
        <f t="shared" si="0"/>
        <v>0</v>
      </c>
    </row>
    <row r="6" spans="1:9">
      <c r="A6" s="3296"/>
      <c r="B6" s="3297" t="s">
        <v>1085</v>
      </c>
      <c r="C6" s="3297"/>
      <c r="D6" s="1303"/>
      <c r="E6" s="1301"/>
      <c r="F6" s="1304"/>
      <c r="G6" s="1304"/>
      <c r="H6" s="1305"/>
      <c r="I6" s="1306">
        <f t="shared" si="0"/>
        <v>0</v>
      </c>
    </row>
    <row r="7" spans="1:9">
      <c r="A7" s="3296"/>
      <c r="B7" s="3297" t="s">
        <v>1086</v>
      </c>
      <c r="C7" s="3297"/>
      <c r="D7" s="1303"/>
      <c r="E7" s="1301"/>
      <c r="F7" s="1304"/>
      <c r="G7" s="1304"/>
      <c r="H7" s="1305"/>
      <c r="I7" s="1306">
        <f t="shared" si="0"/>
        <v>0</v>
      </c>
    </row>
    <row r="8" spans="1:9">
      <c r="A8" s="3296"/>
      <c r="B8" s="3297" t="s">
        <v>1087</v>
      </c>
      <c r="C8" s="3297"/>
      <c r="D8" s="1303"/>
      <c r="E8" s="1301"/>
      <c r="F8" s="1304"/>
      <c r="G8" s="1304"/>
      <c r="H8" s="1305"/>
      <c r="I8" s="1306">
        <f t="shared" si="0"/>
        <v>0</v>
      </c>
    </row>
    <row r="9" spans="1:9">
      <c r="A9" s="3296"/>
      <c r="B9" s="3297" t="s">
        <v>1088</v>
      </c>
      <c r="C9" s="3297"/>
      <c r="D9" s="1303"/>
      <c r="E9" s="1301"/>
      <c r="F9" s="1304"/>
      <c r="G9" s="1304"/>
      <c r="H9" s="1305"/>
      <c r="I9" s="1306">
        <f t="shared" si="0"/>
        <v>0</v>
      </c>
    </row>
    <row r="10" spans="1:9">
      <c r="A10" s="3296"/>
      <c r="B10" s="3298" t="s">
        <v>1089</v>
      </c>
      <c r="C10" s="3298"/>
      <c r="D10" s="1307"/>
      <c r="E10" s="1307" t="e">
        <f>ROUND(D1*10000/D10/H9,0)</f>
        <v>#DIV/0!</v>
      </c>
      <c r="F10" s="1308"/>
      <c r="G10" s="1308"/>
      <c r="H10" s="1309"/>
      <c r="I10" s="1310">
        <f>SUM(I3:I9)</f>
        <v>0</v>
      </c>
    </row>
    <row r="11" spans="1:9" ht="14.25">
      <c r="A11" s="3296" t="s">
        <v>1090</v>
      </c>
      <c r="B11" s="3297" t="s">
        <v>1091</v>
      </c>
      <c r="C11" s="3297"/>
      <c r="D11" s="1303" t="s">
        <v>1092</v>
      </c>
      <c r="E11" s="1303" t="s">
        <v>1093</v>
      </c>
      <c r="F11" s="1304" t="s">
        <v>1094</v>
      </c>
      <c r="G11" s="1304" t="s">
        <v>1080</v>
      </c>
      <c r="H11" s="1311" t="s">
        <v>1095</v>
      </c>
      <c r="I11" s="1302" t="s">
        <v>1081</v>
      </c>
    </row>
    <row r="12" spans="1:9">
      <c r="A12" s="3296"/>
      <c r="B12" s="3297" t="s">
        <v>1096</v>
      </c>
      <c r="C12" s="3297"/>
      <c r="D12" s="1303"/>
      <c r="E12" s="1303"/>
      <c r="F12" s="1304"/>
      <c r="G12" s="1305"/>
      <c r="H12" s="1312"/>
      <c r="I12" s="1302">
        <f>ROUND(D12*E12*F12*G12/10000,0)</f>
        <v>0</v>
      </c>
    </row>
    <row r="13" spans="1:9">
      <c r="A13" s="3296"/>
      <c r="B13" s="3297" t="s">
        <v>1097</v>
      </c>
      <c r="C13" s="3297"/>
      <c r="D13" s="1303"/>
      <c r="E13" s="1303"/>
      <c r="F13" s="1304"/>
      <c r="G13" s="1305"/>
      <c r="H13" s="1312"/>
      <c r="I13" s="1302">
        <f>ROUND(D13*E13*F13*G13/10000,0)</f>
        <v>0</v>
      </c>
    </row>
    <row r="14" spans="1:9">
      <c r="A14" s="3296"/>
      <c r="B14" s="3297" t="s">
        <v>1098</v>
      </c>
      <c r="C14" s="3297"/>
      <c r="D14" s="1303"/>
      <c r="E14" s="1303"/>
      <c r="F14" s="1304"/>
      <c r="G14" s="1305"/>
      <c r="H14" s="1312"/>
      <c r="I14" s="1302">
        <f>ROUND(D14*E14*F14*G14/10000,0)</f>
        <v>0</v>
      </c>
    </row>
    <row r="15" spans="1:9">
      <c r="A15" s="3296"/>
      <c r="B15" s="3298" t="s">
        <v>1089</v>
      </c>
      <c r="C15" s="3298"/>
      <c r="D15" s="1307"/>
      <c r="E15" s="1307">
        <f>SUM(E12:E14)</f>
        <v>0</v>
      </c>
      <c r="F15" s="1308"/>
      <c r="G15" s="1305"/>
      <c r="H15" s="1312"/>
      <c r="I15" s="1313">
        <f>SUM(I12:I14)</f>
        <v>0</v>
      </c>
    </row>
    <row r="16" spans="1:9" ht="24">
      <c r="A16" s="3296" t="s">
        <v>1099</v>
      </c>
      <c r="B16" s="3297" t="s">
        <v>1100</v>
      </c>
      <c r="C16" s="3297"/>
      <c r="D16" s="1303" t="s">
        <v>1076</v>
      </c>
      <c r="E16" s="1314" t="s">
        <v>1101</v>
      </c>
      <c r="F16" s="1304" t="s">
        <v>1102</v>
      </c>
      <c r="G16" s="1305" t="s">
        <v>1080</v>
      </c>
      <c r="H16" s="1311" t="s">
        <v>1095</v>
      </c>
      <c r="I16" s="1302" t="s">
        <v>1081</v>
      </c>
    </row>
    <row r="17" spans="1:9" ht="14.25">
      <c r="A17" s="3296"/>
      <c r="B17" s="3297" t="s">
        <v>1103</v>
      </c>
      <c r="C17" s="3297"/>
      <c r="D17" s="1303"/>
      <c r="E17" s="1303"/>
      <c r="F17" s="1304"/>
      <c r="G17" s="1305"/>
      <c r="H17" s="1315"/>
      <c r="I17" s="1316">
        <f>ROUND(D17*E17*F17*G17/10000,0)</f>
        <v>0</v>
      </c>
    </row>
    <row r="18" spans="1:9" ht="14.25">
      <c r="A18" s="3296"/>
      <c r="B18" s="3297" t="s">
        <v>1104</v>
      </c>
      <c r="C18" s="3297"/>
      <c r="D18" s="1303"/>
      <c r="E18" s="1303"/>
      <c r="F18" s="1304"/>
      <c r="G18" s="1305"/>
      <c r="H18" s="1315"/>
      <c r="I18" s="1316">
        <f>ROUND(D18*E18*F18*G18/10000,0)</f>
        <v>0</v>
      </c>
    </row>
    <row r="19" spans="1:9" ht="14.25">
      <c r="A19" s="3296"/>
      <c r="B19" s="3297" t="s">
        <v>1105</v>
      </c>
      <c r="C19" s="3297"/>
      <c r="D19" s="1303"/>
      <c r="E19" s="1303"/>
      <c r="F19" s="1304"/>
      <c r="G19" s="1305"/>
      <c r="H19" s="1315"/>
      <c r="I19" s="1316">
        <f>ROUND(D19*E19*F19*G19/10000,0)</f>
        <v>0</v>
      </c>
    </row>
    <row r="20" spans="1:9">
      <c r="A20" s="3296"/>
      <c r="B20" s="3298" t="s">
        <v>1089</v>
      </c>
      <c r="C20" s="3298"/>
      <c r="D20" s="1307">
        <f>SUM(D17:D19)</f>
        <v>0</v>
      </c>
      <c r="E20" s="1307"/>
      <c r="F20" s="1308"/>
      <c r="G20" s="1305"/>
      <c r="H20" s="1312"/>
      <c r="I20" s="1313">
        <f>SUM(I17:I19)</f>
        <v>0</v>
      </c>
    </row>
    <row r="21" spans="1:9">
      <c r="A21" s="3296" t="s">
        <v>1106</v>
      </c>
      <c r="B21" s="3299"/>
      <c r="C21" s="3299"/>
      <c r="D21" s="3299"/>
      <c r="E21" s="3299"/>
      <c r="F21" s="3299"/>
      <c r="G21" s="3299"/>
      <c r="H21" s="1765">
        <v>0.1</v>
      </c>
      <c r="I21" s="1310">
        <f>ROUND(I10*H21,0)</f>
        <v>0</v>
      </c>
    </row>
    <row r="22" spans="1:9" ht="14.25">
      <c r="A22" s="3300" t="s">
        <v>1107</v>
      </c>
      <c r="B22" s="3301"/>
      <c r="C22" s="3302"/>
      <c r="D22" s="1317" t="s">
        <v>1108</v>
      </c>
      <c r="E22" s="1317" t="s">
        <v>1109</v>
      </c>
      <c r="F22" s="1318" t="s">
        <v>1110</v>
      </c>
      <c r="G22" s="1318" t="s">
        <v>1111</v>
      </c>
      <c r="H22" s="1311" t="s">
        <v>1112</v>
      </c>
      <c r="I22" s="1302" t="s">
        <v>1113</v>
      </c>
    </row>
    <row r="23" spans="1:9" ht="14.25" thickBot="1">
      <c r="A23" s="3303"/>
      <c r="B23" s="3304"/>
      <c r="C23" s="3305"/>
      <c r="D23" s="1319"/>
      <c r="E23" s="1319"/>
      <c r="F23" s="1319"/>
      <c r="G23" s="1320"/>
      <c r="H23" s="1321"/>
      <c r="I23" s="1322">
        <f>ROUND(E23*D23*F23*(1-G23)/10000,0)</f>
        <v>0</v>
      </c>
    </row>
    <row r="26" spans="1:9">
      <c r="A26" s="1323" t="s">
        <v>1114</v>
      </c>
      <c r="B26" s="1323"/>
      <c r="C26" s="1323"/>
      <c r="D26" s="1323"/>
      <c r="E26" s="3293">
        <f>C27-C30-C31-C32</f>
        <v>0</v>
      </c>
      <c r="F26" s="3293"/>
      <c r="G26" s="3293"/>
      <c r="H26" s="1737" t="s">
        <v>1336</v>
      </c>
    </row>
    <row r="27" spans="1:9">
      <c r="A27" s="1324">
        <v>1</v>
      </c>
      <c r="B27" s="1325" t="s">
        <v>1115</v>
      </c>
      <c r="C27" s="1325">
        <f>C28+C29</f>
        <v>0</v>
      </c>
      <c r="D27" s="1325"/>
      <c r="E27" s="3294"/>
      <c r="F27" s="3294"/>
      <c r="G27" s="3294"/>
    </row>
    <row r="28" spans="1:9">
      <c r="A28" s="1326" t="s">
        <v>1116</v>
      </c>
      <c r="B28" s="1325" t="s">
        <v>1117</v>
      </c>
      <c r="C28" s="1325"/>
      <c r="D28" s="1325"/>
      <c r="E28" s="3294"/>
      <c r="F28" s="3294"/>
      <c r="G28" s="329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95"/>
      <c r="F32" s="3295"/>
      <c r="G32" s="3295"/>
    </row>
    <row r="33" spans="1:7" hidden="1">
      <c r="A33" s="3290" t="s">
        <v>1126</v>
      </c>
      <c r="B33" s="3291"/>
      <c r="C33" s="3291"/>
      <c r="D33" s="3292"/>
      <c r="E33" s="3293"/>
      <c r="F33" s="3293"/>
      <c r="G33" s="3293"/>
    </row>
    <row r="34" spans="1:7" hidden="1">
      <c r="A34" s="1328">
        <v>1</v>
      </c>
      <c r="B34" s="1325" t="s">
        <v>1127</v>
      </c>
      <c r="C34" s="1325"/>
      <c r="D34" s="1325"/>
      <c r="E34" s="3294"/>
      <c r="F34" s="3294"/>
      <c r="G34" s="3294"/>
    </row>
    <row r="35" spans="1:7" hidden="1">
      <c r="A35" s="1328">
        <v>2</v>
      </c>
      <c r="B35" s="1325" t="s">
        <v>1128</v>
      </c>
      <c r="C35" s="1325"/>
      <c r="D35" s="1325"/>
      <c r="E35" s="3294"/>
      <c r="F35" s="3294"/>
      <c r="G35" s="3294"/>
    </row>
    <row r="36" spans="1:7" hidden="1">
      <c r="A36" s="1328">
        <v>3</v>
      </c>
      <c r="B36" s="1325" t="s">
        <v>1129</v>
      </c>
      <c r="C36" s="1325"/>
      <c r="D36" s="1325"/>
      <c r="E36" s="3294"/>
      <c r="F36" s="3294"/>
      <c r="G36" s="3294"/>
    </row>
    <row r="37" spans="1:7" hidden="1">
      <c r="A37" s="1328">
        <v>4</v>
      </c>
      <c r="B37" s="1325" t="s">
        <v>1130</v>
      </c>
      <c r="C37" s="1325"/>
      <c r="D37" s="1325"/>
      <c r="E37" s="3294"/>
      <c r="F37" s="3294"/>
      <c r="G37" s="3294"/>
    </row>
    <row r="38" spans="1:7" hidden="1">
      <c r="A38" s="3290" t="s">
        <v>1131</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估价对象为北京市房地产，为所有。根据《国有土地使用证》[]，估价对象（分摊）出让国有建设用地使用权面积为56.93平方米，建筑面积为317.81平方米。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估价对象为北京市房地产,属开发建设的，该项目尚在开发建设中。根据《国有土地使用证》[]，估价对象（分摊）出让国有建设用地使用权面积为56.93平方米，规划建筑面积为317.81平方米。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2019年8月30日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2530</v>
      </c>
      <c r="C1" s="1634" t="s">
        <v>2531</v>
      </c>
      <c r="D1" s="1621"/>
      <c r="E1" s="2586"/>
      <c r="F1" s="2587" t="s">
        <v>2532</v>
      </c>
      <c r="G1" s="1631" t="s">
        <v>2533</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2534</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2535</v>
      </c>
      <c r="D3" s="399">
        <f>IF(D1="",'数据-汇总表'!E3,SUMIF('数据-汇总表'!$C19:$C33,D1,'数据-汇总表'!$E19:$E33))</f>
        <v>317.81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2536</v>
      </c>
      <c r="B4" s="402"/>
      <c r="C4" s="3251" t="s">
        <v>2537</v>
      </c>
      <c r="D4" s="3252"/>
      <c r="E4" s="3253" t="s">
        <v>2538</v>
      </c>
      <c r="F4" s="3254"/>
      <c r="G4" s="3251" t="s">
        <v>2539</v>
      </c>
      <c r="H4" s="3252"/>
      <c r="I4" s="3251" t="s">
        <v>2540</v>
      </c>
      <c r="J4" s="3252"/>
      <c r="K4" s="2599" t="s">
        <v>2541</v>
      </c>
      <c r="L4" s="1130"/>
      <c r="M4" s="1131"/>
      <c r="N4" s="1131"/>
      <c r="O4" s="1131"/>
      <c r="P4" s="3315" t="s">
        <v>2542</v>
      </c>
      <c r="Q4" s="3316"/>
      <c r="R4" s="3319" t="s">
        <v>2538</v>
      </c>
      <c r="S4" s="3320"/>
      <c r="T4" s="3319" t="s">
        <v>2539</v>
      </c>
      <c r="U4" s="3320"/>
      <c r="V4" s="3268" t="s">
        <v>2540</v>
      </c>
      <c r="W4" s="3268"/>
      <c r="X4" s="1813"/>
      <c r="Y4" s="3319" t="s">
        <v>2542</v>
      </c>
      <c r="Z4" s="3320"/>
      <c r="AA4" s="3314" t="s">
        <v>2538</v>
      </c>
      <c r="AB4" s="3314" t="s">
        <v>2539</v>
      </c>
      <c r="AC4" s="3314" t="s">
        <v>2540</v>
      </c>
    </row>
    <row r="5" spans="1:29" ht="15">
      <c r="A5" s="404"/>
      <c r="B5" s="405"/>
      <c r="C5" s="3277" t="s">
        <v>2543</v>
      </c>
      <c r="D5" s="3272"/>
      <c r="E5" s="3321" t="s">
        <v>2544</v>
      </c>
      <c r="F5" s="3284"/>
      <c r="G5" s="3277" t="s">
        <v>2545</v>
      </c>
      <c r="H5" s="3272"/>
      <c r="I5" s="3277" t="s">
        <v>2546</v>
      </c>
      <c r="J5" s="3272"/>
      <c r="K5" s="260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260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75" t="s">
        <v>2550</v>
      </c>
      <c r="Q7" s="3276"/>
      <c r="R7" s="770" t="s">
        <v>23</v>
      </c>
      <c r="S7" s="771">
        <f t="shared" ref="S7:S15" si="0">F7</f>
        <v>0</v>
      </c>
      <c r="T7" s="770" t="s">
        <v>23</v>
      </c>
      <c r="U7" s="771">
        <f t="shared" ref="U7:U15" si="1">H7</f>
        <v>0</v>
      </c>
      <c r="V7" s="770" t="s">
        <v>23</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75" t="s">
        <v>2553</v>
      </c>
      <c r="Q8" s="3274"/>
      <c r="R8" s="770" t="s">
        <v>23</v>
      </c>
      <c r="S8" s="771">
        <f t="shared" si="0"/>
        <v>0</v>
      </c>
      <c r="T8" s="770" t="s">
        <v>23</v>
      </c>
      <c r="U8" s="771">
        <f t="shared" si="1"/>
        <v>0</v>
      </c>
      <c r="V8" s="770" t="s">
        <v>23</v>
      </c>
      <c r="W8" s="771">
        <f t="shared" si="2"/>
        <v>0</v>
      </c>
      <c r="X8" s="772"/>
      <c r="Y8" s="3275" t="s">
        <v>2553</v>
      </c>
      <c r="Z8" s="327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33"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3"/>
      <c r="Q11" s="1795" t="str">
        <f t="shared" si="6"/>
        <v>容积率</v>
      </c>
      <c r="R11" s="770" t="s">
        <v>21</v>
      </c>
      <c r="S11" s="771" t="e">
        <f t="shared" si="0"/>
        <v>#N/A</v>
      </c>
      <c r="T11" s="770" t="s">
        <v>21</v>
      </c>
      <c r="U11" s="771" t="e">
        <f t="shared" si="1"/>
        <v>#N/A</v>
      </c>
      <c r="V11" s="770" t="s">
        <v>21</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33"/>
      <c r="Q12" s="1795">
        <f t="shared" si="6"/>
        <v>111</v>
      </c>
      <c r="R12" s="770" t="s">
        <v>21</v>
      </c>
      <c r="S12" s="771">
        <f t="shared" si="0"/>
        <v>100</v>
      </c>
      <c r="T12" s="770" t="s">
        <v>21</v>
      </c>
      <c r="U12" s="771">
        <f t="shared" si="1"/>
        <v>100</v>
      </c>
      <c r="V12" s="770" t="s">
        <v>21</v>
      </c>
      <c r="W12" s="771">
        <f t="shared" si="2"/>
        <v>100</v>
      </c>
      <c r="X12" s="772"/>
      <c r="Y12" s="308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33"/>
      <c r="Q13" s="1795">
        <f t="shared" si="6"/>
        <v>111</v>
      </c>
      <c r="R13" s="770" t="s">
        <v>21</v>
      </c>
      <c r="S13" s="771">
        <f t="shared" si="0"/>
        <v>100</v>
      </c>
      <c r="T13" s="770" t="s">
        <v>21</v>
      </c>
      <c r="U13" s="771">
        <f t="shared" si="1"/>
        <v>100</v>
      </c>
      <c r="V13" s="770" t="s">
        <v>21</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33"/>
      <c r="Q14" s="1795">
        <f t="shared" si="6"/>
        <v>111</v>
      </c>
      <c r="R14" s="770" t="s">
        <v>21</v>
      </c>
      <c r="S14" s="771">
        <f t="shared" si="0"/>
        <v>100</v>
      </c>
      <c r="T14" s="770" t="s">
        <v>21</v>
      </c>
      <c r="U14" s="771">
        <f t="shared" si="1"/>
        <v>100</v>
      </c>
      <c r="V14" s="770" t="s">
        <v>21</v>
      </c>
      <c r="W14" s="771">
        <f t="shared" si="2"/>
        <v>100</v>
      </c>
      <c r="X14" s="772"/>
      <c r="Y14" s="3083"/>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2561</v>
      </c>
      <c r="Q15" s="1810" t="str">
        <f t="shared" si="6"/>
        <v>居住社区成熟度</v>
      </c>
      <c r="R15" s="774" t="s">
        <v>21</v>
      </c>
      <c r="S15" s="775">
        <f t="shared" si="0"/>
        <v>100</v>
      </c>
      <c r="T15" s="774" t="s">
        <v>21</v>
      </c>
      <c r="U15" s="775">
        <f t="shared" si="1"/>
        <v>100</v>
      </c>
      <c r="V15" s="774" t="s">
        <v>21</v>
      </c>
      <c r="W15" s="775">
        <f t="shared" si="2"/>
        <v>100</v>
      </c>
      <c r="X15" s="1813"/>
      <c r="Y15" s="3241" t="s">
        <v>2561</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40"/>
      <c r="Q16" s="1810"/>
      <c r="R16" s="774"/>
      <c r="S16" s="775"/>
      <c r="T16" s="774"/>
      <c r="U16" s="775"/>
      <c r="V16" s="774"/>
      <c r="W16" s="775"/>
      <c r="X16" s="1813"/>
      <c r="Y16" s="3242"/>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42"/>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40"/>
      <c r="Q18" s="1810"/>
      <c r="R18" s="774"/>
      <c r="S18" s="775"/>
      <c r="T18" s="774"/>
      <c r="U18" s="775"/>
      <c r="V18" s="774"/>
      <c r="W18" s="775"/>
      <c r="X18" s="1813"/>
      <c r="Y18" s="3242"/>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40"/>
      <c r="Q20" s="1810"/>
      <c r="R20" s="774"/>
      <c r="S20" s="775"/>
      <c r="T20" s="774"/>
      <c r="U20" s="775"/>
      <c r="V20" s="774"/>
      <c r="W20" s="775"/>
      <c r="X20" s="1813"/>
      <c r="Y20" s="3242"/>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40"/>
      <c r="Q22" s="1810"/>
      <c r="R22" s="774"/>
      <c r="S22" s="775"/>
      <c r="T22" s="774"/>
      <c r="U22" s="775"/>
      <c r="V22" s="774"/>
      <c r="W22" s="775"/>
      <c r="X22" s="1813"/>
      <c r="Y22" s="3242"/>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42"/>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40"/>
      <c r="Q24" s="1810"/>
      <c r="R24" s="774"/>
      <c r="S24" s="775"/>
      <c r="T24" s="774"/>
      <c r="U24" s="775"/>
      <c r="V24" s="774"/>
      <c r="W24" s="775"/>
      <c r="X24" s="1813"/>
      <c r="Y24" s="3242"/>
      <c r="Z24" s="1814"/>
      <c r="AA24" s="1811">
        <v>1</v>
      </c>
      <c r="AB24" s="1811">
        <v>1</v>
      </c>
      <c r="AC24" s="1811">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2"/>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4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4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4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4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4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42"/>
      <c r="Z31" s="1814">
        <f t="shared" si="18"/>
        <v>111</v>
      </c>
      <c r="AA31" s="1811">
        <f t="shared" si="15"/>
        <v>1</v>
      </c>
      <c r="AB31" s="1811">
        <f t="shared" si="16"/>
        <v>1</v>
      </c>
      <c r="AC31" s="1811">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43" t="s">
        <v>2566</v>
      </c>
      <c r="Q32" s="1810" t="str">
        <f t="shared" si="11"/>
        <v>建筑类型</v>
      </c>
      <c r="R32" s="774" t="s">
        <v>21</v>
      </c>
      <c r="S32" s="775">
        <f t="shared" si="12"/>
        <v>100</v>
      </c>
      <c r="T32" s="774" t="s">
        <v>21</v>
      </c>
      <c r="U32" s="775">
        <f t="shared" si="13"/>
        <v>100</v>
      </c>
      <c r="V32" s="774" t="s">
        <v>21</v>
      </c>
      <c r="W32" s="775">
        <f t="shared" si="14"/>
        <v>100</v>
      </c>
      <c r="X32" s="1813"/>
      <c r="Y32" s="3246"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11" t="e">
        <f t="shared" si="15"/>
        <v>#N/A</v>
      </c>
      <c r="AB33" s="1811" t="e">
        <f t="shared" si="16"/>
        <v>#N/A</v>
      </c>
      <c r="AC33" s="1811"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44"/>
      <c r="Q34" s="1810" t="str">
        <f t="shared" si="11"/>
        <v>建筑结构</v>
      </c>
      <c r="R34" s="774" t="s">
        <v>21</v>
      </c>
      <c r="S34" s="775">
        <f t="shared" si="12"/>
        <v>100</v>
      </c>
      <c r="T34" s="774" t="s">
        <v>21</v>
      </c>
      <c r="U34" s="775">
        <f t="shared" si="13"/>
        <v>100</v>
      </c>
      <c r="V34" s="774" t="s">
        <v>21</v>
      </c>
      <c r="W34" s="775">
        <f t="shared" si="14"/>
        <v>100</v>
      </c>
      <c r="X34" s="1813"/>
      <c r="Y34" s="3246"/>
      <c r="Z34" s="1814" t="str">
        <f t="shared" si="18"/>
        <v>建筑结构</v>
      </c>
      <c r="AA34" s="1811">
        <f t="shared" si="15"/>
        <v>1</v>
      </c>
      <c r="AB34" s="1811">
        <f t="shared" si="16"/>
        <v>1</v>
      </c>
      <c r="AC34" s="1811">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44"/>
      <c r="Q35" s="1810" t="str">
        <f t="shared" si="11"/>
        <v>建筑品质</v>
      </c>
      <c r="R35" s="774" t="s">
        <v>21</v>
      </c>
      <c r="S35" s="775">
        <f t="shared" si="12"/>
        <v>100</v>
      </c>
      <c r="T35" s="774" t="s">
        <v>21</v>
      </c>
      <c r="U35" s="775">
        <f t="shared" si="13"/>
        <v>100</v>
      </c>
      <c r="V35" s="774" t="s">
        <v>21</v>
      </c>
      <c r="W35" s="775">
        <f t="shared" si="14"/>
        <v>100</v>
      </c>
      <c r="X35" s="1813"/>
      <c r="Y35" s="3246"/>
      <c r="Z35" s="1814" t="str">
        <f t="shared" si="18"/>
        <v>建筑品质</v>
      </c>
      <c r="AA35" s="1811">
        <f t="shared" si="15"/>
        <v>1</v>
      </c>
      <c r="AB35" s="1811">
        <f t="shared" si="16"/>
        <v>1</v>
      </c>
      <c r="AC35" s="1811">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44"/>
      <c r="Q36" s="1810" t="str">
        <f t="shared" si="11"/>
        <v>公共部分装修</v>
      </c>
      <c r="R36" s="774" t="s">
        <v>21</v>
      </c>
      <c r="S36" s="775">
        <f t="shared" si="12"/>
        <v>100</v>
      </c>
      <c r="T36" s="774" t="s">
        <v>21</v>
      </c>
      <c r="U36" s="775">
        <f t="shared" si="13"/>
        <v>100</v>
      </c>
      <c r="V36" s="774" t="s">
        <v>21</v>
      </c>
      <c r="W36" s="775">
        <f t="shared" si="14"/>
        <v>100</v>
      </c>
      <c r="X36" s="1813"/>
      <c r="Y36" s="3246"/>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4"/>
      <c r="Q37" s="1795"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44" t="s">
        <v>2566</v>
      </c>
      <c r="Q38" s="1810" t="str">
        <f t="shared" si="11"/>
        <v>物业管理</v>
      </c>
      <c r="R38" s="774" t="s">
        <v>21</v>
      </c>
      <c r="S38" s="775">
        <f t="shared" si="12"/>
        <v>100</v>
      </c>
      <c r="T38" s="774" t="s">
        <v>21</v>
      </c>
      <c r="U38" s="775">
        <f t="shared" si="13"/>
        <v>100</v>
      </c>
      <c r="V38" s="774" t="s">
        <v>21</v>
      </c>
      <c r="W38" s="775">
        <f t="shared" si="14"/>
        <v>100</v>
      </c>
      <c r="X38" s="1813"/>
      <c r="Y38" s="3246" t="s">
        <v>2566</v>
      </c>
      <c r="Z38" s="1814" t="str">
        <f t="shared" si="18"/>
        <v>物业管理</v>
      </c>
      <c r="AA38" s="1811">
        <f t="shared" si="15"/>
        <v>1</v>
      </c>
      <c r="AB38" s="1811">
        <f t="shared" si="16"/>
        <v>1</v>
      </c>
      <c r="AC38" s="1811">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44"/>
      <c r="Q39" s="1810" t="str">
        <f t="shared" si="11"/>
        <v>市政基础设施</v>
      </c>
      <c r="R39" s="774" t="s">
        <v>21</v>
      </c>
      <c r="S39" s="775">
        <f t="shared" si="12"/>
        <v>100</v>
      </c>
      <c r="T39" s="774" t="s">
        <v>21</v>
      </c>
      <c r="U39" s="775">
        <f t="shared" si="13"/>
        <v>100</v>
      </c>
      <c r="V39" s="774" t="s">
        <v>21</v>
      </c>
      <c r="W39" s="775">
        <f t="shared" si="14"/>
        <v>100</v>
      </c>
      <c r="X39" s="1813"/>
      <c r="Y39" s="3246"/>
      <c r="Z39" s="1814" t="str">
        <f t="shared" si="18"/>
        <v>市政基础设施</v>
      </c>
      <c r="AA39" s="1811">
        <f t="shared" si="15"/>
        <v>1</v>
      </c>
      <c r="AB39" s="1811">
        <f t="shared" si="16"/>
        <v>1</v>
      </c>
      <c r="AC39" s="1811">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44"/>
      <c r="Q40" s="1810" t="str">
        <f t="shared" si="11"/>
        <v>房型</v>
      </c>
      <c r="R40" s="774" t="s">
        <v>21</v>
      </c>
      <c r="S40" s="775">
        <f t="shared" si="12"/>
        <v>100</v>
      </c>
      <c r="T40" s="774" t="s">
        <v>21</v>
      </c>
      <c r="U40" s="775">
        <f t="shared" si="13"/>
        <v>100</v>
      </c>
      <c r="V40" s="774" t="s">
        <v>21</v>
      </c>
      <c r="W40" s="775">
        <f t="shared" si="14"/>
        <v>100</v>
      </c>
      <c r="X40" s="1813"/>
      <c r="Y40" s="3246"/>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11">
        <f t="shared" si="15"/>
        <v>1</v>
      </c>
      <c r="AB41" s="1811">
        <f t="shared" si="16"/>
        <v>1</v>
      </c>
      <c r="AC41" s="1811">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44"/>
      <c r="Q42" s="1810" t="str">
        <f t="shared" si="11"/>
        <v>内部装修</v>
      </c>
      <c r="R42" s="774" t="s">
        <v>21</v>
      </c>
      <c r="S42" s="775">
        <f t="shared" si="12"/>
        <v>100</v>
      </c>
      <c r="T42" s="774" t="s">
        <v>21</v>
      </c>
      <c r="U42" s="775">
        <f t="shared" si="13"/>
        <v>100</v>
      </c>
      <c r="V42" s="774" t="s">
        <v>21</v>
      </c>
      <c r="W42" s="775">
        <f t="shared" si="14"/>
        <v>100</v>
      </c>
      <c r="X42" s="1813"/>
      <c r="Y42" s="3246"/>
      <c r="Z42" s="1814" t="str">
        <f t="shared" si="18"/>
        <v>内部装修</v>
      </c>
      <c r="AA42" s="1811">
        <f t="shared" si="15"/>
        <v>1</v>
      </c>
      <c r="AB42" s="1811">
        <f t="shared" si="16"/>
        <v>1</v>
      </c>
      <c r="AC42" s="1811">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44"/>
      <c r="Q43" s="1810" t="str">
        <f t="shared" si="11"/>
        <v>内部装修维护情况</v>
      </c>
      <c r="R43" s="774" t="s">
        <v>21</v>
      </c>
      <c r="S43" s="775">
        <f t="shared" si="12"/>
        <v>100</v>
      </c>
      <c r="T43" s="774" t="s">
        <v>21</v>
      </c>
      <c r="U43" s="775">
        <f t="shared" si="13"/>
        <v>100</v>
      </c>
      <c r="V43" s="774" t="s">
        <v>21</v>
      </c>
      <c r="W43" s="775">
        <f t="shared" si="14"/>
        <v>100</v>
      </c>
      <c r="X43" s="1813"/>
      <c r="Y43" s="324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44"/>
      <c r="Q44" s="1795">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44"/>
      <c r="Q45" s="1810">
        <f t="shared" si="11"/>
        <v>111</v>
      </c>
      <c r="R45" s="774" t="s">
        <v>21</v>
      </c>
      <c r="S45" s="775">
        <f t="shared" si="12"/>
        <v>100</v>
      </c>
      <c r="T45" s="774" t="s">
        <v>21</v>
      </c>
      <c r="U45" s="775">
        <f t="shared" si="13"/>
        <v>100</v>
      </c>
      <c r="V45" s="774" t="s">
        <v>21</v>
      </c>
      <c r="W45" s="775">
        <f t="shared" si="14"/>
        <v>100</v>
      </c>
      <c r="X45" s="1813"/>
      <c r="Y45" s="3246"/>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45"/>
      <c r="Q46" s="1810">
        <f t="shared" si="11"/>
        <v>111</v>
      </c>
      <c r="R46" s="774" t="s">
        <v>20</v>
      </c>
      <c r="S46" s="775">
        <f t="shared" si="12"/>
        <v>100</v>
      </c>
      <c r="T46" s="774" t="s">
        <v>20</v>
      </c>
      <c r="U46" s="775">
        <f t="shared" si="13"/>
        <v>100</v>
      </c>
      <c r="V46" s="774" t="s">
        <v>20</v>
      </c>
      <c r="W46" s="775">
        <f t="shared" si="14"/>
        <v>100</v>
      </c>
      <c r="X46" s="1813"/>
      <c r="Y46" s="3247"/>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4"/>
      <c r="L47" s="1143"/>
      <c r="M47" s="1144"/>
      <c r="N47" s="1131"/>
      <c r="O47" s="1144"/>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5"/>
      <c r="L48" s="1143"/>
      <c r="M48" s="1144"/>
      <c r="N48" s="1144"/>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6"/>
      <c r="L49" s="1143"/>
      <c r="M49" s="1144"/>
      <c r="N49" s="1144"/>
      <c r="O49" s="1144"/>
      <c r="P49" s="3311" t="str">
        <f>A49</f>
        <v>估价对象XX用房的比较价值（楼面单价，元/平方米）</v>
      </c>
      <c r="Q49" s="3312"/>
      <c r="R49" s="3313" t="e">
        <f>IF(F1="售价",ROUND(AVERAGE(R48:V48),0),ROUND(AVERAGE(R48:V48),1))</f>
        <v>#DIV/0!</v>
      </c>
      <c r="S49" s="3313"/>
      <c r="T49" s="3313"/>
      <c r="U49" s="3313"/>
      <c r="V49" s="3313"/>
      <c r="W49" s="33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9"/>
      <c r="Q57" s="504"/>
    </row>
    <row r="58" spans="1:29" s="508" customFormat="1" ht="15">
      <c r="A58" s="505" t="s">
        <v>2585</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2612</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2564</v>
      </c>
      <c r="B100" s="528" t="s">
        <v>2613</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2616</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2617</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2620</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4">
        <v>6</v>
      </c>
      <c r="C139" s="1085">
        <v>96</v>
      </c>
      <c r="D139" s="2651" t="s">
        <v>2632</v>
      </c>
      <c r="E139" s="1086">
        <v>100</v>
      </c>
      <c r="F139" s="1087">
        <v>102.5</v>
      </c>
      <c r="G139" s="2651" t="s">
        <v>2632</v>
      </c>
      <c r="H139" s="1088">
        <v>105</v>
      </c>
      <c r="I139" s="2652" t="s">
        <v>2633</v>
      </c>
      <c r="J139" s="1085">
        <v>20</v>
      </c>
      <c r="K139" s="1089">
        <f>C145/(J139-2)</f>
        <v>4.0555555555555553E-3</v>
      </c>
    </row>
    <row r="140" spans="1:17" ht="15">
      <c r="B140" s="1090">
        <v>5</v>
      </c>
      <c r="C140" s="1091">
        <v>100</v>
      </c>
      <c r="D140" s="1091"/>
      <c r="E140" s="1092"/>
      <c r="F140" s="1093">
        <v>102</v>
      </c>
      <c r="G140" s="1091"/>
      <c r="H140" s="1094"/>
      <c r="I140" s="2653" t="s">
        <v>2634</v>
      </c>
      <c r="J140" s="315">
        <f>ROUNDUP((J139-1)/2,0)</f>
        <v>10</v>
      </c>
      <c r="K140" s="1095">
        <v>100</v>
      </c>
    </row>
    <row r="141" spans="1:17" ht="15">
      <c r="B141" s="1090">
        <v>4</v>
      </c>
      <c r="C141" s="1091">
        <v>102</v>
      </c>
      <c r="D141" s="1091"/>
      <c r="E141" s="1092"/>
      <c r="F141" s="1093">
        <v>101.5</v>
      </c>
      <c r="G141" s="1091"/>
      <c r="H141" s="1094"/>
      <c r="I141" s="2653" t="s">
        <v>2635</v>
      </c>
      <c r="J141" s="315">
        <v>1</v>
      </c>
      <c r="K141" s="1096">
        <f>ROUND(100+(J141-J140)*K139*100,1)</f>
        <v>96.4</v>
      </c>
    </row>
    <row r="142" spans="1:17" ht="15">
      <c r="B142" s="1090">
        <v>3</v>
      </c>
      <c r="C142" s="1091">
        <v>103</v>
      </c>
      <c r="D142" s="1091"/>
      <c r="E142" s="1092"/>
      <c r="F142" s="1093">
        <v>101</v>
      </c>
      <c r="G142" s="1091"/>
      <c r="H142" s="1094"/>
      <c r="I142" s="2653" t="s">
        <v>2636</v>
      </c>
      <c r="J142" s="315">
        <f>J139</f>
        <v>20</v>
      </c>
      <c r="K142" s="1097">
        <v>95</v>
      </c>
    </row>
    <row r="143" spans="1:17" ht="15">
      <c r="B143" s="1090">
        <v>2</v>
      </c>
      <c r="C143" s="1091">
        <v>100</v>
      </c>
      <c r="D143" s="1091"/>
      <c r="E143" s="1092"/>
      <c r="F143" s="1093">
        <v>100.5</v>
      </c>
      <c r="G143" s="1091"/>
      <c r="H143" s="1094"/>
      <c r="I143" s="2653" t="s">
        <v>2637</v>
      </c>
      <c r="J143" s="1091">
        <v>15</v>
      </c>
      <c r="K143" s="1096">
        <f>ROUND(100+(J143-J140)*K139*100,1)</f>
        <v>102</v>
      </c>
    </row>
    <row r="144" spans="1:17" ht="15">
      <c r="B144" s="1090">
        <v>1</v>
      </c>
      <c r="C144" s="1091">
        <v>98</v>
      </c>
      <c r="D144" s="2654" t="s">
        <v>2638</v>
      </c>
      <c r="E144" s="1092">
        <v>102</v>
      </c>
      <c r="F144" s="1098">
        <v>100</v>
      </c>
      <c r="G144" s="2654" t="s">
        <v>2638</v>
      </c>
      <c r="H144" s="1094">
        <v>105</v>
      </c>
      <c r="I144" s="2653" t="s">
        <v>2637</v>
      </c>
      <c r="J144" s="1091">
        <v>18</v>
      </c>
      <c r="K144" s="1096">
        <f>ROUND(100+(J144-J140)*K139*100,1)</f>
        <v>103.2</v>
      </c>
    </row>
    <row r="145" spans="2:11" ht="15.75" thickBot="1">
      <c r="B145" s="2655" t="s">
        <v>2639</v>
      </c>
      <c r="C145" s="1099">
        <f>ROUND(MAX(C139:C144)/MIN(C139:C144)-1,3)</f>
        <v>7.2999999999999995E-2</v>
      </c>
      <c r="D145" s="1100"/>
      <c r="E145" s="1100"/>
      <c r="F145" s="2656" t="s">
        <v>2640</v>
      </c>
      <c r="G145" s="2657"/>
      <c r="H145" s="2658"/>
      <c r="I145" s="2659" t="s">
        <v>2637</v>
      </c>
      <c r="J145" s="1101">
        <v>8</v>
      </c>
      <c r="K145" s="1102">
        <f>ROUND(100+(J145-J140)*K139*100,1)</f>
        <v>99.2</v>
      </c>
    </row>
    <row r="147" spans="2:11">
      <c r="B147" s="2640" t="s">
        <v>2641</v>
      </c>
    </row>
    <row r="148" spans="2:11">
      <c r="B148" s="2640"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2643</v>
      </c>
      <c r="C1" s="1634" t="s">
        <v>2531</v>
      </c>
      <c r="D1" s="1621"/>
      <c r="E1" s="2660"/>
      <c r="F1" s="2587"/>
      <c r="G1" s="1631" t="s">
        <v>2644</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2645</v>
      </c>
      <c r="D3" s="399">
        <f>IF(D1="",'数据-汇总表'!E3,SUMIF('数据-汇总表'!$C19:$C33,D1,'数据-汇总表'!$E19:$E33))</f>
        <v>317.81</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68"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68"/>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68"/>
      <c r="AC6" s="3282"/>
    </row>
    <row r="7" spans="1:29" s="117" customFormat="1" ht="15.75" thickBot="1">
      <c r="A7" s="408" t="s">
        <v>2549</v>
      </c>
      <c r="B7" s="409"/>
      <c r="C7" s="410">
        <f>'数据-取费表'!B2</f>
        <v>43707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3"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3"/>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2561</v>
      </c>
      <c r="Q15" s="1810" t="str">
        <f t="shared" si="6"/>
        <v>商业繁华度</v>
      </c>
      <c r="R15" s="774" t="s">
        <v>17</v>
      </c>
      <c r="S15" s="775">
        <f t="shared" si="0"/>
        <v>100</v>
      </c>
      <c r="T15" s="774" t="s">
        <v>17</v>
      </c>
      <c r="U15" s="775">
        <f t="shared" si="1"/>
        <v>100</v>
      </c>
      <c r="V15" s="774" t="s">
        <v>17</v>
      </c>
      <c r="W15" s="775">
        <f t="shared" si="2"/>
        <v>100</v>
      </c>
      <c r="X15" s="1813"/>
      <c r="Y15" s="3241"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242"/>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40"/>
      <c r="Q18" s="1810"/>
      <c r="R18" s="774"/>
      <c r="S18" s="775"/>
      <c r="T18" s="774"/>
      <c r="U18" s="775"/>
      <c r="V18" s="774"/>
      <c r="W18" s="775"/>
      <c r="X18" s="1813"/>
      <c r="Y18" s="3242"/>
      <c r="Z18" s="1814"/>
      <c r="AA18" s="1811">
        <v>1</v>
      </c>
      <c r="AB18" s="1811">
        <v>1</v>
      </c>
      <c r="AC18" s="1811">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40"/>
      <c r="Q20" s="1810"/>
      <c r="R20" s="774"/>
      <c r="S20" s="775"/>
      <c r="T20" s="774"/>
      <c r="U20" s="775"/>
      <c r="V20" s="774"/>
      <c r="W20" s="775"/>
      <c r="X20" s="1813"/>
      <c r="Y20" s="3242"/>
      <c r="Z20" s="1814"/>
      <c r="AA20" s="1811">
        <v>1</v>
      </c>
      <c r="AB20" s="1811">
        <v>1</v>
      </c>
      <c r="AC20" s="1811">
        <v>1</v>
      </c>
    </row>
    <row r="21" spans="1:29" ht="28.5">
      <c r="A21" s="428"/>
      <c r="B21" s="1384"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40"/>
      <c r="Q22" s="1810"/>
      <c r="R22" s="774"/>
      <c r="S22" s="775"/>
      <c r="T22" s="774"/>
      <c r="U22" s="775"/>
      <c r="V22" s="774"/>
      <c r="W22" s="775"/>
      <c r="X22" s="1813"/>
      <c r="Y22" s="3242"/>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42"/>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40"/>
      <c r="Q24" s="1810"/>
      <c r="R24" s="774"/>
      <c r="S24" s="775"/>
      <c r="T24" s="774"/>
      <c r="U24" s="775"/>
      <c r="V24" s="774"/>
      <c r="W24" s="775"/>
      <c r="X24" s="1813"/>
      <c r="Y24" s="3242"/>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42"/>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42"/>
      <c r="Z26" s="1814" t="str">
        <f>Q26</f>
        <v>平面位置/可视性</v>
      </c>
      <c r="AA26" s="1811">
        <f t="shared" si="3"/>
        <v>1</v>
      </c>
      <c r="AB26" s="1811">
        <f t="shared" si="4"/>
        <v>1</v>
      </c>
      <c r="AC26" s="1811">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42"/>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4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4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42"/>
      <c r="Z31" s="1814">
        <f t="shared" si="15"/>
        <v>111</v>
      </c>
      <c r="AA31" s="1811">
        <f t="shared" si="3"/>
        <v>1</v>
      </c>
      <c r="AB31" s="1811">
        <f t="shared" si="4"/>
        <v>1</v>
      </c>
      <c r="AC31" s="1811">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43" t="s">
        <v>2566</v>
      </c>
      <c r="Q32" s="1810" t="str">
        <f t="shared" si="11"/>
        <v>商业类型</v>
      </c>
      <c r="R32" s="774" t="s">
        <v>17</v>
      </c>
      <c r="S32" s="775">
        <f t="shared" si="12"/>
        <v>100</v>
      </c>
      <c r="T32" s="774" t="s">
        <v>17</v>
      </c>
      <c r="U32" s="775">
        <f t="shared" si="13"/>
        <v>100</v>
      </c>
      <c r="V32" s="774" t="s">
        <v>17</v>
      </c>
      <c r="W32" s="775">
        <f t="shared" si="14"/>
        <v>100</v>
      </c>
      <c r="X32" s="1813"/>
      <c r="Y32" s="3246"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1811" t="e">
        <f t="shared" si="3"/>
        <v>#N/A</v>
      </c>
      <c r="AB33" s="1811" t="e">
        <f t="shared" si="4"/>
        <v>#N/A</v>
      </c>
      <c r="AC33" s="1811"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44"/>
      <c r="Q34" s="1810" t="str">
        <f t="shared" si="11"/>
        <v>建筑结构</v>
      </c>
      <c r="R34" s="774" t="s">
        <v>17</v>
      </c>
      <c r="S34" s="775">
        <f t="shared" si="12"/>
        <v>100</v>
      </c>
      <c r="T34" s="774" t="s">
        <v>17</v>
      </c>
      <c r="U34" s="775">
        <f t="shared" si="13"/>
        <v>100</v>
      </c>
      <c r="V34" s="774" t="s">
        <v>17</v>
      </c>
      <c r="W34" s="775">
        <f t="shared" si="14"/>
        <v>100</v>
      </c>
      <c r="X34" s="1813"/>
      <c r="Y34" s="3246"/>
      <c r="Z34" s="1814" t="str">
        <f t="shared" si="15"/>
        <v>建筑结构</v>
      </c>
      <c r="AA34" s="1811">
        <f t="shared" si="3"/>
        <v>1</v>
      </c>
      <c r="AB34" s="1811">
        <f t="shared" si="4"/>
        <v>1</v>
      </c>
      <c r="AC34" s="1811">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44"/>
      <c r="Q35" s="1810" t="str">
        <f t="shared" si="11"/>
        <v>公共部分装修</v>
      </c>
      <c r="R35" s="774" t="s">
        <v>17</v>
      </c>
      <c r="S35" s="775">
        <f t="shared" si="12"/>
        <v>100</v>
      </c>
      <c r="T35" s="774" t="s">
        <v>17</v>
      </c>
      <c r="U35" s="775">
        <f t="shared" si="13"/>
        <v>100</v>
      </c>
      <c r="V35" s="774" t="s">
        <v>17</v>
      </c>
      <c r="W35" s="775">
        <f t="shared" si="14"/>
        <v>100</v>
      </c>
      <c r="X35" s="1813"/>
      <c r="Y35" s="3246"/>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4"/>
      <c r="Q36" s="1810" t="str">
        <f t="shared" si="11"/>
        <v>成新度</v>
      </c>
      <c r="R36" s="774" t="s">
        <v>17</v>
      </c>
      <c r="S36" s="775" t="e">
        <f t="shared" si="12"/>
        <v>#N/A</v>
      </c>
      <c r="T36" s="774" t="s">
        <v>17</v>
      </c>
      <c r="U36" s="775" t="e">
        <f t="shared" si="13"/>
        <v>#N/A</v>
      </c>
      <c r="V36" s="774" t="s">
        <v>17</v>
      </c>
      <c r="W36" s="775" t="e">
        <f t="shared" si="14"/>
        <v>#N/A</v>
      </c>
      <c r="X36" s="1813"/>
      <c r="Y36" s="3246"/>
      <c r="Z36" s="1814" t="str">
        <f t="shared" si="15"/>
        <v>成新度</v>
      </c>
      <c r="AA36" s="1811" t="e">
        <f t="shared" si="3"/>
        <v>#N/A</v>
      </c>
      <c r="AB36" s="1811" t="e">
        <f t="shared" si="4"/>
        <v>#N/A</v>
      </c>
      <c r="AC36" s="1811"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44"/>
      <c r="Q37" s="1795"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44" t="s">
        <v>2566</v>
      </c>
      <c r="Q38" s="1810" t="str">
        <f t="shared" si="11"/>
        <v>业态</v>
      </c>
      <c r="R38" s="774" t="s">
        <v>17</v>
      </c>
      <c r="S38" s="775">
        <f t="shared" si="12"/>
        <v>100</v>
      </c>
      <c r="T38" s="774" t="s">
        <v>17</v>
      </c>
      <c r="U38" s="775">
        <f t="shared" si="13"/>
        <v>100</v>
      </c>
      <c r="V38" s="774" t="s">
        <v>17</v>
      </c>
      <c r="W38" s="775">
        <f t="shared" si="14"/>
        <v>100</v>
      </c>
      <c r="X38" s="1813"/>
      <c r="Y38" s="3246" t="s">
        <v>2566</v>
      </c>
      <c r="Z38" s="1814" t="str">
        <f t="shared" si="15"/>
        <v>业态</v>
      </c>
      <c r="AA38" s="1811">
        <f t="shared" si="3"/>
        <v>1</v>
      </c>
      <c r="AB38" s="1811">
        <f t="shared" si="4"/>
        <v>1</v>
      </c>
      <c r="AC38" s="1811">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44"/>
      <c r="Q39" s="1810" t="str">
        <f t="shared" si="11"/>
        <v>层高</v>
      </c>
      <c r="R39" s="774" t="s">
        <v>17</v>
      </c>
      <c r="S39" s="775">
        <f t="shared" si="12"/>
        <v>100</v>
      </c>
      <c r="T39" s="774" t="s">
        <v>17</v>
      </c>
      <c r="U39" s="775">
        <f t="shared" si="13"/>
        <v>100</v>
      </c>
      <c r="V39" s="774" t="s">
        <v>17</v>
      </c>
      <c r="W39" s="775">
        <f t="shared" si="14"/>
        <v>100</v>
      </c>
      <c r="X39" s="1813"/>
      <c r="Y39" s="3246"/>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4"/>
      <c r="Q40" s="1810" t="str">
        <f t="shared" si="11"/>
        <v>单套建筑面积</v>
      </c>
      <c r="R40" s="774" t="s">
        <v>17</v>
      </c>
      <c r="S40" s="775">
        <f t="shared" si="12"/>
        <v>100</v>
      </c>
      <c r="T40" s="774" t="s">
        <v>17</v>
      </c>
      <c r="U40" s="775">
        <f t="shared" si="13"/>
        <v>100</v>
      </c>
      <c r="V40" s="774" t="s">
        <v>17</v>
      </c>
      <c r="W40" s="775">
        <f t="shared" si="14"/>
        <v>100</v>
      </c>
      <c r="X40" s="1813"/>
      <c r="Y40" s="3246"/>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11">
        <f t="shared" si="3"/>
        <v>1</v>
      </c>
      <c r="AB41" s="1811">
        <f t="shared" si="4"/>
        <v>1</v>
      </c>
      <c r="AC41" s="1811">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44"/>
      <c r="Q42" s="1810" t="str">
        <f t="shared" si="11"/>
        <v>内部装修</v>
      </c>
      <c r="R42" s="774" t="s">
        <v>17</v>
      </c>
      <c r="S42" s="775">
        <f t="shared" si="12"/>
        <v>100</v>
      </c>
      <c r="T42" s="774" t="s">
        <v>17</v>
      </c>
      <c r="U42" s="775">
        <f t="shared" si="13"/>
        <v>100</v>
      </c>
      <c r="V42" s="774" t="s">
        <v>17</v>
      </c>
      <c r="W42" s="775">
        <f t="shared" si="14"/>
        <v>100</v>
      </c>
      <c r="X42" s="1813"/>
      <c r="Y42" s="3246"/>
      <c r="Z42" s="1814" t="str">
        <f t="shared" si="15"/>
        <v>内部装修</v>
      </c>
      <c r="AA42" s="1811">
        <f t="shared" si="3"/>
        <v>1</v>
      </c>
      <c r="AB42" s="1811">
        <f t="shared" si="4"/>
        <v>1</v>
      </c>
      <c r="AC42" s="1811">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44"/>
      <c r="Q43" s="1810" t="str">
        <f t="shared" si="11"/>
        <v>内部装修维护情况</v>
      </c>
      <c r="R43" s="774" t="s">
        <v>17</v>
      </c>
      <c r="S43" s="775">
        <f t="shared" si="12"/>
        <v>100</v>
      </c>
      <c r="T43" s="774" t="s">
        <v>17</v>
      </c>
      <c r="U43" s="775">
        <f t="shared" si="13"/>
        <v>100</v>
      </c>
      <c r="V43" s="774" t="s">
        <v>17</v>
      </c>
      <c r="W43" s="775">
        <f t="shared" si="14"/>
        <v>100</v>
      </c>
      <c r="X43" s="1813"/>
      <c r="Y43" s="324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4"/>
      <c r="Q44" s="1795">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4"/>
      <c r="Q45" s="1810">
        <f t="shared" si="11"/>
        <v>111</v>
      </c>
      <c r="R45" s="774" t="s">
        <v>17</v>
      </c>
      <c r="S45" s="775">
        <f t="shared" si="12"/>
        <v>100</v>
      </c>
      <c r="T45" s="774" t="s">
        <v>17</v>
      </c>
      <c r="U45" s="775">
        <f t="shared" si="13"/>
        <v>100</v>
      </c>
      <c r="V45" s="774" t="s">
        <v>17</v>
      </c>
      <c r="W45" s="775">
        <f t="shared" si="14"/>
        <v>100</v>
      </c>
      <c r="X45" s="1813"/>
      <c r="Y45" s="3246"/>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5"/>
      <c r="Q46" s="1810">
        <f t="shared" si="11"/>
        <v>111</v>
      </c>
      <c r="R46" s="774" t="s">
        <v>17</v>
      </c>
      <c r="S46" s="775">
        <f t="shared" si="12"/>
        <v>100</v>
      </c>
      <c r="T46" s="774" t="s">
        <v>17</v>
      </c>
      <c r="U46" s="775">
        <f t="shared" si="13"/>
        <v>100</v>
      </c>
      <c r="V46" s="774" t="s">
        <v>17</v>
      </c>
      <c r="W46" s="775">
        <f t="shared" si="14"/>
        <v>100</v>
      </c>
      <c r="X46" s="1813"/>
      <c r="Y46" s="3247"/>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34" t="str">
        <f>A47</f>
        <v>成交单价（元/平方米）</v>
      </c>
      <c r="Q47" s="3234"/>
      <c r="R47" s="3268">
        <f>E47</f>
        <v>0</v>
      </c>
      <c r="S47" s="3268"/>
      <c r="T47" s="3268">
        <f>G47</f>
        <v>0</v>
      </c>
      <c r="U47" s="3268"/>
      <c r="V47" s="3268">
        <f>I47</f>
        <v>0</v>
      </c>
      <c r="W47" s="3268"/>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311" t="str">
        <f>A49</f>
        <v>估价对象XX用房的比较价值（楼面单价，元/平方米）</v>
      </c>
      <c r="Q49" s="3312"/>
      <c r="R49" s="3313" t="e">
        <f>IF(F1="售价",ROUND(AVERAGE(R48:V48),0),ROUND(AVERAGE(R48:V48),1))</f>
        <v>#DIV/0!</v>
      </c>
      <c r="S49" s="3313"/>
      <c r="T49" s="3313"/>
      <c r="U49" s="3313"/>
      <c r="V49" s="3313"/>
      <c r="W49" s="33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2549</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2564</v>
      </c>
      <c r="B100" s="528" t="s">
        <v>2682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2617</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2685</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2703</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317.81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4"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1" t="s">
        <v>2561</v>
      </c>
      <c r="Q15" s="1810" t="str">
        <f t="shared" si="6"/>
        <v>产业集聚程度</v>
      </c>
      <c r="R15" s="774" t="s">
        <v>17</v>
      </c>
      <c r="S15" s="775">
        <f t="shared" si="0"/>
        <v>100</v>
      </c>
      <c r="T15" s="774" t="s">
        <v>17</v>
      </c>
      <c r="U15" s="775">
        <f t="shared" si="1"/>
        <v>100</v>
      </c>
      <c r="V15" s="774" t="s">
        <v>17</v>
      </c>
      <c r="W15" s="775">
        <f t="shared" si="2"/>
        <v>100</v>
      </c>
      <c r="X15" s="1813"/>
      <c r="Y15" s="3241"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2"/>
      <c r="Q16" s="1810"/>
      <c r="R16" s="774"/>
      <c r="S16" s="775"/>
      <c r="T16" s="774"/>
      <c r="U16" s="775"/>
      <c r="V16" s="774"/>
      <c r="W16" s="775"/>
      <c r="X16" s="1813"/>
      <c r="Y16" s="3242"/>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2"/>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42"/>
      <c r="Q18" s="1810"/>
      <c r="R18" s="774"/>
      <c r="S18" s="775"/>
      <c r="T18" s="774"/>
      <c r="U18" s="775"/>
      <c r="V18" s="774"/>
      <c r="W18" s="775"/>
      <c r="X18" s="1813"/>
      <c r="Y18" s="3242"/>
      <c r="Z18" s="1814"/>
      <c r="AA18" s="1811">
        <v>1</v>
      </c>
      <c r="AB18" s="1811">
        <v>1</v>
      </c>
      <c r="AC18" s="1811">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2"/>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42"/>
      <c r="Q20" s="1810"/>
      <c r="R20" s="774"/>
      <c r="S20" s="775"/>
      <c r="T20" s="774"/>
      <c r="U20" s="775"/>
      <c r="V20" s="774"/>
      <c r="W20" s="775"/>
      <c r="X20" s="1813"/>
      <c r="Y20" s="3242"/>
      <c r="Z20" s="1814"/>
      <c r="AA20" s="1811">
        <v>1</v>
      </c>
      <c r="AB20" s="1811">
        <v>1</v>
      </c>
      <c r="AC20" s="1811">
        <v>1</v>
      </c>
    </row>
    <row r="21" spans="1:29" ht="28.5">
      <c r="A21" s="428"/>
      <c r="B21" s="1384"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2"/>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42"/>
      <c r="Q22" s="1810"/>
      <c r="R22" s="774"/>
      <c r="S22" s="775"/>
      <c r="T22" s="774"/>
      <c r="U22" s="775"/>
      <c r="V22" s="774"/>
      <c r="W22" s="775"/>
      <c r="X22" s="1813"/>
      <c r="Y22" s="3242"/>
      <c r="Z22" s="1814"/>
      <c r="AA22" s="1811">
        <v>1</v>
      </c>
      <c r="AB22" s="1811">
        <v>1</v>
      </c>
      <c r="AC22" s="1811">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2"/>
      <c r="Q23" s="1810" t="str">
        <f>B23</f>
        <v>环境质量</v>
      </c>
      <c r="R23" s="774" t="s">
        <v>17</v>
      </c>
      <c r="S23" s="775">
        <f>F23</f>
        <v>100</v>
      </c>
      <c r="T23" s="774" t="s">
        <v>17</v>
      </c>
      <c r="U23" s="775">
        <f>H23</f>
        <v>100</v>
      </c>
      <c r="V23" s="774" t="s">
        <v>17</v>
      </c>
      <c r="W23" s="775">
        <f>J23</f>
        <v>100</v>
      </c>
      <c r="X23" s="1813"/>
      <c r="Y23" s="3242"/>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42"/>
      <c r="Q24" s="1810"/>
      <c r="R24" s="774"/>
      <c r="S24" s="775"/>
      <c r="T24" s="774"/>
      <c r="U24" s="775"/>
      <c r="V24" s="774"/>
      <c r="W24" s="775"/>
      <c r="X24" s="1813"/>
      <c r="Y24" s="324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2"/>
      <c r="Q25" s="1810">
        <f>B25</f>
        <v>111</v>
      </c>
      <c r="R25" s="774" t="s">
        <v>17</v>
      </c>
      <c r="S25" s="775">
        <f>F25</f>
        <v>100</v>
      </c>
      <c r="T25" s="774" t="s">
        <v>17</v>
      </c>
      <c r="U25" s="775">
        <f>H25</f>
        <v>100</v>
      </c>
      <c r="V25" s="774" t="s">
        <v>17</v>
      </c>
      <c r="W25" s="775">
        <f>J25</f>
        <v>100</v>
      </c>
      <c r="X25" s="1813"/>
      <c r="Y25" s="324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2"/>
      <c r="Q26" s="1810">
        <f t="shared" ref="Q26:Q40" si="11">B26</f>
        <v>111</v>
      </c>
      <c r="R26" s="774" t="s">
        <v>17</v>
      </c>
      <c r="S26" s="775">
        <f>F26</f>
        <v>100</v>
      </c>
      <c r="T26" s="774" t="s">
        <v>17</v>
      </c>
      <c r="U26" s="775">
        <f>H26</f>
        <v>100</v>
      </c>
      <c r="V26" s="774" t="s">
        <v>17</v>
      </c>
      <c r="W26" s="775">
        <f>J26</f>
        <v>100</v>
      </c>
      <c r="X26" s="1813"/>
      <c r="Y26" s="324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2"/>
      <c r="Q27" s="1795">
        <f t="shared" si="11"/>
        <v>111</v>
      </c>
      <c r="R27" s="770" t="s">
        <v>17</v>
      </c>
      <c r="S27" s="771">
        <f>F27</f>
        <v>100</v>
      </c>
      <c r="T27" s="770" t="s">
        <v>17</v>
      </c>
      <c r="U27" s="771">
        <f>H27</f>
        <v>100</v>
      </c>
      <c r="V27" s="770" t="s">
        <v>17</v>
      </c>
      <c r="W27" s="771">
        <f>J27</f>
        <v>100</v>
      </c>
      <c r="X27" s="772"/>
      <c r="Y27" s="324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2"/>
      <c r="Q28" s="1810">
        <f t="shared" si="11"/>
        <v>111</v>
      </c>
      <c r="R28" s="774" t="s">
        <v>17</v>
      </c>
      <c r="S28" s="775">
        <f t="shared" ref="S28:S40" si="12">F28</f>
        <v>100</v>
      </c>
      <c r="T28" s="774" t="s">
        <v>17</v>
      </c>
      <c r="U28" s="775">
        <f t="shared" ref="U28:U40" si="13">H28</f>
        <v>100</v>
      </c>
      <c r="V28" s="774" t="s">
        <v>17</v>
      </c>
      <c r="W28" s="775">
        <f t="shared" ref="W28:W40" si="14">J28</f>
        <v>100</v>
      </c>
      <c r="X28" s="1813"/>
      <c r="Y28" s="3242"/>
      <c r="Z28" s="1814">
        <f t="shared" ref="Z28:Z40" si="15">Q28</f>
        <v>111</v>
      </c>
      <c r="AA28" s="1811">
        <f t="shared" si="3"/>
        <v>1</v>
      </c>
      <c r="AB28" s="1811">
        <f t="shared" si="4"/>
        <v>1</v>
      </c>
      <c r="AC28" s="1811">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22" t="s">
        <v>2566</v>
      </c>
      <c r="Q29" s="1810" t="str">
        <f t="shared" si="11"/>
        <v>建筑类型</v>
      </c>
      <c r="R29" s="774" t="s">
        <v>17</v>
      </c>
      <c r="S29" s="775">
        <f t="shared" si="12"/>
        <v>100</v>
      </c>
      <c r="T29" s="774" t="s">
        <v>17</v>
      </c>
      <c r="U29" s="775">
        <f t="shared" si="13"/>
        <v>100</v>
      </c>
      <c r="V29" s="774" t="s">
        <v>17</v>
      </c>
      <c r="W29" s="775">
        <f t="shared" si="14"/>
        <v>100</v>
      </c>
      <c r="X29" s="1813"/>
      <c r="Y29" s="3246"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6"/>
      <c r="Q31" s="1810" t="str">
        <f t="shared" si="11"/>
        <v>建筑结构</v>
      </c>
      <c r="R31" s="774" t="s">
        <v>17</v>
      </c>
      <c r="S31" s="775">
        <f t="shared" si="12"/>
        <v>100</v>
      </c>
      <c r="T31" s="774" t="s">
        <v>17</v>
      </c>
      <c r="U31" s="775">
        <f t="shared" si="13"/>
        <v>100</v>
      </c>
      <c r="V31" s="774" t="s">
        <v>17</v>
      </c>
      <c r="W31" s="775">
        <f t="shared" si="14"/>
        <v>100</v>
      </c>
      <c r="X31" s="1813"/>
      <c r="Y31" s="3246"/>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6"/>
      <c r="Q32" s="1810" t="str">
        <f t="shared" si="11"/>
        <v>公共部分装修</v>
      </c>
      <c r="R32" s="774" t="s">
        <v>17</v>
      </c>
      <c r="S32" s="775">
        <f t="shared" si="12"/>
        <v>100</v>
      </c>
      <c r="T32" s="774" t="s">
        <v>17</v>
      </c>
      <c r="U32" s="775">
        <f t="shared" si="13"/>
        <v>100</v>
      </c>
      <c r="V32" s="774" t="s">
        <v>17</v>
      </c>
      <c r="W32" s="775">
        <f t="shared" si="14"/>
        <v>100</v>
      </c>
      <c r="X32" s="1813"/>
      <c r="Y32" s="3246"/>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6"/>
      <c r="Q33" s="1810" t="str">
        <f t="shared" si="11"/>
        <v>成新度</v>
      </c>
      <c r="R33" s="774" t="s">
        <v>17</v>
      </c>
      <c r="S33" s="775" t="e">
        <f t="shared" si="12"/>
        <v>#N/A</v>
      </c>
      <c r="T33" s="774" t="s">
        <v>17</v>
      </c>
      <c r="U33" s="775" t="e">
        <f t="shared" si="13"/>
        <v>#N/A</v>
      </c>
      <c r="V33" s="774" t="s">
        <v>17</v>
      </c>
      <c r="W33" s="775" t="e">
        <f t="shared" si="14"/>
        <v>#N/A</v>
      </c>
      <c r="X33" s="1813"/>
      <c r="Y33" s="3246"/>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6"/>
      <c r="Q34" s="1795"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6" t="s">
        <v>2566</v>
      </c>
      <c r="Q35" s="1810" t="str">
        <f t="shared" si="11"/>
        <v>市政基础设施</v>
      </c>
      <c r="R35" s="774" t="s">
        <v>17</v>
      </c>
      <c r="S35" s="775">
        <f t="shared" si="12"/>
        <v>100</v>
      </c>
      <c r="T35" s="774" t="s">
        <v>17</v>
      </c>
      <c r="U35" s="775">
        <f t="shared" si="13"/>
        <v>100</v>
      </c>
      <c r="V35" s="774" t="s">
        <v>17</v>
      </c>
      <c r="W35" s="775">
        <f t="shared" si="14"/>
        <v>100</v>
      </c>
      <c r="X35" s="1813"/>
      <c r="Y35" s="3246"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6"/>
      <c r="Q36" s="1810" t="str">
        <f t="shared" si="11"/>
        <v>内部装修</v>
      </c>
      <c r="R36" s="774" t="s">
        <v>17</v>
      </c>
      <c r="S36" s="775">
        <f t="shared" si="12"/>
        <v>100</v>
      </c>
      <c r="T36" s="774" t="s">
        <v>17</v>
      </c>
      <c r="U36" s="775">
        <f t="shared" si="13"/>
        <v>100</v>
      </c>
      <c r="V36" s="774" t="s">
        <v>17</v>
      </c>
      <c r="W36" s="775">
        <f t="shared" si="14"/>
        <v>100</v>
      </c>
      <c r="X36" s="1813"/>
      <c r="Y36" s="3246"/>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6"/>
      <c r="Q37" s="1810" t="str">
        <f t="shared" si="11"/>
        <v>内部装修状况</v>
      </c>
      <c r="R37" s="774" t="s">
        <v>17</v>
      </c>
      <c r="S37" s="775">
        <f t="shared" si="12"/>
        <v>100</v>
      </c>
      <c r="T37" s="774" t="s">
        <v>17</v>
      </c>
      <c r="U37" s="775">
        <f t="shared" si="13"/>
        <v>100</v>
      </c>
      <c r="V37" s="774" t="s">
        <v>17</v>
      </c>
      <c r="W37" s="775">
        <f t="shared" si="14"/>
        <v>100</v>
      </c>
      <c r="X37" s="1813"/>
      <c r="Y37" s="324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6"/>
      <c r="Q39" s="1810">
        <f t="shared" si="11"/>
        <v>111</v>
      </c>
      <c r="R39" s="774" t="s">
        <v>17</v>
      </c>
      <c r="S39" s="775">
        <f t="shared" si="12"/>
        <v>100</v>
      </c>
      <c r="T39" s="774" t="s">
        <v>17</v>
      </c>
      <c r="U39" s="775">
        <f t="shared" si="13"/>
        <v>100</v>
      </c>
      <c r="V39" s="774" t="s">
        <v>17</v>
      </c>
      <c r="W39" s="775">
        <f t="shared" si="14"/>
        <v>100</v>
      </c>
      <c r="X39" s="1813"/>
      <c r="Y39" s="3246"/>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7"/>
      <c r="Q40" s="1810">
        <f t="shared" si="11"/>
        <v>111</v>
      </c>
      <c r="R40" s="774" t="s">
        <v>17</v>
      </c>
      <c r="S40" s="775">
        <f t="shared" si="12"/>
        <v>100</v>
      </c>
      <c r="T40" s="774" t="s">
        <v>17</v>
      </c>
      <c r="U40" s="775">
        <f t="shared" si="13"/>
        <v>100</v>
      </c>
      <c r="V40" s="774" t="s">
        <v>17</v>
      </c>
      <c r="W40" s="775">
        <f t="shared" si="14"/>
        <v>100</v>
      </c>
      <c r="X40" s="1813"/>
      <c r="Y40" s="3247"/>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311" t="str">
        <f>A43</f>
        <v>估价对象XX用房的比较价值（楼面单价，元/平方米）</v>
      </c>
      <c r="Q43" s="3312"/>
      <c r="R43" s="3313" t="e">
        <f>IF(F1="售价",ROUND(AVERAGE(R42:V42),0),ROUND(AVERAGE(R42:V42),1))</f>
        <v>#DIV/0!</v>
      </c>
      <c r="S43" s="3313"/>
      <c r="T43" s="3313"/>
      <c r="U43" s="3313"/>
      <c r="V43" s="3313"/>
      <c r="W43" s="33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7"/>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5" t="s">
        <v>2550</v>
      </c>
      <c r="Q7" s="3276"/>
      <c r="R7" s="770" t="s">
        <v>17</v>
      </c>
      <c r="S7" s="771">
        <f t="shared" ref="S7:S14" si="0">F7</f>
        <v>0</v>
      </c>
      <c r="T7" s="770" t="s">
        <v>17</v>
      </c>
      <c r="U7" s="771">
        <f t="shared" ref="U7:U14" si="1">H7</f>
        <v>0</v>
      </c>
      <c r="V7" s="770" t="s">
        <v>17</v>
      </c>
      <c r="W7" s="771">
        <f t="shared" ref="W7:W14" si="2">J7</f>
        <v>0</v>
      </c>
      <c r="X7" s="772"/>
      <c r="Y7" s="3275" t="s">
        <v>2550</v>
      </c>
      <c r="Z7" s="327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4" t="s">
        <v>2556</v>
      </c>
      <c r="Q9" s="1795"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4"/>
      <c r="Q11" s="1795">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1" t="s">
        <v>2561</v>
      </c>
      <c r="Q14" s="1810" t="str">
        <f t="shared" si="6"/>
        <v>交通便捷度</v>
      </c>
      <c r="R14" s="774" t="s">
        <v>17</v>
      </c>
      <c r="S14" s="775">
        <f t="shared" si="0"/>
        <v>100</v>
      </c>
      <c r="T14" s="774" t="s">
        <v>17</v>
      </c>
      <c r="U14" s="775">
        <f t="shared" si="1"/>
        <v>100</v>
      </c>
      <c r="V14" s="774" t="s">
        <v>17</v>
      </c>
      <c r="W14" s="775">
        <f t="shared" si="2"/>
        <v>100</v>
      </c>
      <c r="X14" s="1813"/>
      <c r="Y14" s="3241"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2"/>
      <c r="Q15" s="1810"/>
      <c r="R15" s="774"/>
      <c r="S15" s="775"/>
      <c r="T15" s="774"/>
      <c r="U15" s="775"/>
      <c r="V15" s="774"/>
      <c r="W15" s="775"/>
      <c r="X15" s="1813"/>
      <c r="Y15" s="3242"/>
      <c r="Z15" s="1814"/>
      <c r="AA15" s="1811">
        <v>1</v>
      </c>
      <c r="AB15" s="1811">
        <v>1</v>
      </c>
      <c r="AC15" s="1811">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2"/>
      <c r="Q16" s="1810" t="str">
        <f>B16</f>
        <v>公共配套设施</v>
      </c>
      <c r="R16" s="774" t="s">
        <v>17</v>
      </c>
      <c r="S16" s="775">
        <f>F16</f>
        <v>100</v>
      </c>
      <c r="T16" s="774" t="s">
        <v>17</v>
      </c>
      <c r="U16" s="775">
        <f>H16</f>
        <v>100</v>
      </c>
      <c r="V16" s="774" t="s">
        <v>17</v>
      </c>
      <c r="W16" s="775">
        <f>J16</f>
        <v>100</v>
      </c>
      <c r="X16" s="1813"/>
      <c r="Y16" s="3242"/>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42"/>
      <c r="Q17" s="1810"/>
      <c r="R17" s="774"/>
      <c r="S17" s="775"/>
      <c r="T17" s="774"/>
      <c r="U17" s="775"/>
      <c r="V17" s="774"/>
      <c r="W17" s="775"/>
      <c r="X17" s="1813"/>
      <c r="Y17" s="3242"/>
      <c r="Z17" s="1814"/>
      <c r="AA17" s="1811">
        <v>1</v>
      </c>
      <c r="AB17" s="1811">
        <v>1</v>
      </c>
      <c r="AC17" s="1811">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2"/>
      <c r="Q18" s="1810" t="str">
        <f>B18</f>
        <v>基础设施水平</v>
      </c>
      <c r="R18" s="774" t="s">
        <v>17</v>
      </c>
      <c r="S18" s="775">
        <f>F18</f>
        <v>100</v>
      </c>
      <c r="T18" s="774" t="s">
        <v>17</v>
      </c>
      <c r="U18" s="775">
        <f>H18</f>
        <v>100</v>
      </c>
      <c r="V18" s="774" t="s">
        <v>17</v>
      </c>
      <c r="W18" s="775">
        <f>J18</f>
        <v>100</v>
      </c>
      <c r="X18" s="1813"/>
      <c r="Y18" s="3242"/>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42"/>
      <c r="Q19" s="1810"/>
      <c r="R19" s="774"/>
      <c r="S19" s="775"/>
      <c r="T19" s="774"/>
      <c r="U19" s="775"/>
      <c r="V19" s="774"/>
      <c r="W19" s="775"/>
      <c r="X19" s="1813"/>
      <c r="Y19" s="3242"/>
      <c r="Z19" s="1814"/>
      <c r="AA19" s="1811">
        <v>1</v>
      </c>
      <c r="AB19" s="1811">
        <v>1</v>
      </c>
      <c r="AC19" s="1811">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2"/>
      <c r="Q20" s="1810" t="str">
        <f>B20</f>
        <v>自然及人文环境</v>
      </c>
      <c r="R20" s="774" t="s">
        <v>17</v>
      </c>
      <c r="S20" s="775">
        <f>F20</f>
        <v>100</v>
      </c>
      <c r="T20" s="774" t="s">
        <v>17</v>
      </c>
      <c r="U20" s="775">
        <f>H20</f>
        <v>100</v>
      </c>
      <c r="V20" s="774" t="s">
        <v>17</v>
      </c>
      <c r="W20" s="775">
        <f>J20</f>
        <v>100</v>
      </c>
      <c r="X20" s="1813"/>
      <c r="Y20" s="324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2"/>
      <c r="Q21" s="1810"/>
      <c r="R21" s="774"/>
      <c r="S21" s="775"/>
      <c r="T21" s="774"/>
      <c r="U21" s="775"/>
      <c r="V21" s="774"/>
      <c r="W21" s="775"/>
      <c r="X21" s="1813"/>
      <c r="Y21" s="3242"/>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2"/>
      <c r="Q22" s="1810" t="str">
        <f>B22</f>
        <v>楼层</v>
      </c>
      <c r="R22" s="774" t="s">
        <v>17</v>
      </c>
      <c r="S22" s="775">
        <f>F22</f>
        <v>100</v>
      </c>
      <c r="T22" s="774" t="s">
        <v>17</v>
      </c>
      <c r="U22" s="775">
        <f>H22</f>
        <v>100</v>
      </c>
      <c r="V22" s="774" t="s">
        <v>17</v>
      </c>
      <c r="W22" s="775">
        <f>J22</f>
        <v>100</v>
      </c>
      <c r="X22" s="1813"/>
      <c r="Y22" s="324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2"/>
      <c r="Q23" s="1810">
        <f>B23</f>
        <v>111</v>
      </c>
      <c r="R23" s="774" t="s">
        <v>17</v>
      </c>
      <c r="S23" s="775">
        <f>F23</f>
        <v>100</v>
      </c>
      <c r="T23" s="774" t="s">
        <v>17</v>
      </c>
      <c r="U23" s="775">
        <f>H23</f>
        <v>100</v>
      </c>
      <c r="V23" s="774" t="s">
        <v>17</v>
      </c>
      <c r="W23" s="775">
        <f>J23</f>
        <v>100</v>
      </c>
      <c r="X23" s="1813"/>
      <c r="Y23" s="324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2"/>
      <c r="Q24" s="1810">
        <f t="shared" ref="Q24:Q36" si="11">B24</f>
        <v>111</v>
      </c>
      <c r="R24" s="774" t="s">
        <v>17</v>
      </c>
      <c r="S24" s="775">
        <f>F24</f>
        <v>100</v>
      </c>
      <c r="T24" s="774" t="s">
        <v>17</v>
      </c>
      <c r="U24" s="775">
        <f>H24</f>
        <v>100</v>
      </c>
      <c r="V24" s="774" t="s">
        <v>17</v>
      </c>
      <c r="W24" s="775">
        <f>J24</f>
        <v>100</v>
      </c>
      <c r="X24" s="1813"/>
      <c r="Y24" s="324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2"/>
      <c r="Q25" s="1795">
        <f t="shared" si="11"/>
        <v>111</v>
      </c>
      <c r="R25" s="770" t="s">
        <v>17</v>
      </c>
      <c r="S25" s="771">
        <f>F25</f>
        <v>100</v>
      </c>
      <c r="T25" s="770" t="s">
        <v>17</v>
      </c>
      <c r="U25" s="771">
        <f>H25</f>
        <v>100</v>
      </c>
      <c r="V25" s="770" t="s">
        <v>17</v>
      </c>
      <c r="W25" s="771">
        <f>J25</f>
        <v>100</v>
      </c>
      <c r="X25" s="772"/>
      <c r="Y25" s="3242"/>
      <c r="Z25" s="55">
        <f>Q25</f>
        <v>111</v>
      </c>
      <c r="AA25" s="1811">
        <f>D25/F25</f>
        <v>1</v>
      </c>
      <c r="AB25" s="1811">
        <f>D25/H25</f>
        <v>1</v>
      </c>
      <c r="AC25" s="1811">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2"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6"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6"/>
      <c r="Q28" s="1810" t="str">
        <f t="shared" si="11"/>
        <v>公共部分装修</v>
      </c>
      <c r="R28" s="774" t="s">
        <v>17</v>
      </c>
      <c r="S28" s="775">
        <f t="shared" si="12"/>
        <v>100</v>
      </c>
      <c r="T28" s="774" t="s">
        <v>17</v>
      </c>
      <c r="U28" s="775">
        <f t="shared" si="13"/>
        <v>100</v>
      </c>
      <c r="V28" s="774" t="s">
        <v>17</v>
      </c>
      <c r="W28" s="775">
        <f t="shared" si="14"/>
        <v>100</v>
      </c>
      <c r="X28" s="1813"/>
      <c r="Y28" s="3246"/>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6"/>
      <c r="Q29" s="1810" t="str">
        <f t="shared" si="11"/>
        <v>成新率</v>
      </c>
      <c r="R29" s="774" t="s">
        <v>17</v>
      </c>
      <c r="S29" s="775" t="e">
        <f t="shared" si="12"/>
        <v>#N/A</v>
      </c>
      <c r="T29" s="774" t="s">
        <v>17</v>
      </c>
      <c r="U29" s="775" t="e">
        <f t="shared" si="13"/>
        <v>#N/A</v>
      </c>
      <c r="V29" s="774" t="s">
        <v>17</v>
      </c>
      <c r="W29" s="775" t="e">
        <f t="shared" si="14"/>
        <v>#N/A</v>
      </c>
      <c r="X29" s="1813"/>
      <c r="Y29" s="3246"/>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6"/>
      <c r="Q30" s="1810" t="str">
        <f t="shared" si="11"/>
        <v>物业等级</v>
      </c>
      <c r="R30" s="774" t="s">
        <v>17</v>
      </c>
      <c r="S30" s="775">
        <f t="shared" si="12"/>
        <v>100</v>
      </c>
      <c r="T30" s="774" t="s">
        <v>17</v>
      </c>
      <c r="U30" s="775">
        <f t="shared" si="13"/>
        <v>100</v>
      </c>
      <c r="V30" s="774" t="s">
        <v>17</v>
      </c>
      <c r="W30" s="775">
        <f t="shared" si="14"/>
        <v>100</v>
      </c>
      <c r="X30" s="1813"/>
      <c r="Y30" s="3246"/>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6"/>
      <c r="Q31" s="1795"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6" t="s">
        <v>2566</v>
      </c>
      <c r="Q32" s="1810" t="str">
        <f t="shared" si="11"/>
        <v>车位类型</v>
      </c>
      <c r="R32" s="774" t="s">
        <v>17</v>
      </c>
      <c r="S32" s="775">
        <f t="shared" si="12"/>
        <v>100</v>
      </c>
      <c r="T32" s="774" t="s">
        <v>17</v>
      </c>
      <c r="U32" s="775">
        <f t="shared" si="13"/>
        <v>100</v>
      </c>
      <c r="V32" s="774" t="s">
        <v>17</v>
      </c>
      <c r="W32" s="775">
        <f t="shared" si="14"/>
        <v>100</v>
      </c>
      <c r="X32" s="1813"/>
      <c r="Y32" s="3246"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6"/>
      <c r="Q33" s="1810" t="str">
        <f t="shared" si="11"/>
        <v>是否直接入户</v>
      </c>
      <c r="R33" s="774" t="s">
        <v>17</v>
      </c>
      <c r="S33" s="775">
        <f t="shared" si="12"/>
        <v>100</v>
      </c>
      <c r="T33" s="774" t="s">
        <v>17</v>
      </c>
      <c r="U33" s="775">
        <f t="shared" si="13"/>
        <v>100</v>
      </c>
      <c r="V33" s="774" t="s">
        <v>17</v>
      </c>
      <c r="W33" s="775">
        <f t="shared" si="14"/>
        <v>100</v>
      </c>
      <c r="X33" s="1813"/>
      <c r="Y33" s="324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6"/>
      <c r="Q34" s="1810">
        <f t="shared" si="11"/>
        <v>111</v>
      </c>
      <c r="R34" s="774" t="s">
        <v>17</v>
      </c>
      <c r="S34" s="775">
        <f t="shared" si="12"/>
        <v>100</v>
      </c>
      <c r="T34" s="774" t="s">
        <v>17</v>
      </c>
      <c r="U34" s="775">
        <f t="shared" si="13"/>
        <v>100</v>
      </c>
      <c r="V34" s="774" t="s">
        <v>17</v>
      </c>
      <c r="W34" s="775">
        <f t="shared" si="14"/>
        <v>100</v>
      </c>
      <c r="X34" s="1813"/>
      <c r="Y34" s="324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6"/>
      <c r="Q36" s="1810">
        <f t="shared" si="11"/>
        <v>111</v>
      </c>
      <c r="R36" s="774" t="s">
        <v>17</v>
      </c>
      <c r="S36" s="775">
        <f t="shared" si="12"/>
        <v>100</v>
      </c>
      <c r="T36" s="774" t="s">
        <v>17</v>
      </c>
      <c r="U36" s="775">
        <f t="shared" si="13"/>
        <v>100</v>
      </c>
      <c r="V36" s="774" t="s">
        <v>17</v>
      </c>
      <c r="W36" s="775">
        <f t="shared" si="14"/>
        <v>100</v>
      </c>
      <c r="X36" s="1813"/>
      <c r="Y36" s="3246"/>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311" t="str">
        <f>A39</f>
        <v>估价对象XX用房的比较价值（楼面单价，元/平方米）</v>
      </c>
      <c r="Q39" s="3312"/>
      <c r="R39" s="3313" t="e">
        <f>IF(F1="售价",ROUND(AVERAGE(R38:V38),0),ROUND(AVERAGE(R38:V38),1))</f>
        <v>#DIV/0!</v>
      </c>
      <c r="S39" s="3313"/>
      <c r="T39" s="3313"/>
      <c r="U39" s="3313"/>
      <c r="V39" s="3313"/>
      <c r="W39" s="33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75" t="s">
        <v>2550</v>
      </c>
      <c r="Q7" s="3276"/>
      <c r="R7" s="770" t="s">
        <v>17</v>
      </c>
      <c r="S7" s="771">
        <f t="shared" ref="S7:S14" si="0">F7</f>
        <v>0</v>
      </c>
      <c r="T7" s="770" t="s">
        <v>17</v>
      </c>
      <c r="U7" s="771">
        <f t="shared" ref="U7:U14" si="1">H7</f>
        <v>0</v>
      </c>
      <c r="V7" s="770" t="s">
        <v>17</v>
      </c>
      <c r="W7" s="771">
        <f t="shared" ref="W7:W14" si="2">J7</f>
        <v>0</v>
      </c>
      <c r="X7" s="772"/>
      <c r="Y7" s="3275" t="s">
        <v>2550</v>
      </c>
      <c r="Z7" s="327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4" t="s">
        <v>2556</v>
      </c>
      <c r="Q9" s="1795"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4"/>
      <c r="Q11" s="1795">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1" t="s">
        <v>2561</v>
      </c>
      <c r="Q14" s="1810" t="str">
        <f t="shared" si="6"/>
        <v>交通便捷度</v>
      </c>
      <c r="R14" s="774" t="s">
        <v>17</v>
      </c>
      <c r="S14" s="775">
        <f t="shared" si="0"/>
        <v>100</v>
      </c>
      <c r="T14" s="774" t="s">
        <v>17</v>
      </c>
      <c r="U14" s="775">
        <f t="shared" si="1"/>
        <v>100</v>
      </c>
      <c r="V14" s="774" t="s">
        <v>17</v>
      </c>
      <c r="W14" s="775">
        <f t="shared" si="2"/>
        <v>100</v>
      </c>
      <c r="X14" s="1813"/>
      <c r="Y14" s="3241"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2"/>
      <c r="Q15" s="1810"/>
      <c r="R15" s="774"/>
      <c r="S15" s="775"/>
      <c r="T15" s="774"/>
      <c r="U15" s="775"/>
      <c r="V15" s="774"/>
      <c r="W15" s="775"/>
      <c r="X15" s="1813"/>
      <c r="Y15" s="3242"/>
      <c r="Z15" s="1814"/>
      <c r="AA15" s="1811">
        <v>1</v>
      </c>
      <c r="AB15" s="1811">
        <v>1</v>
      </c>
      <c r="AC15" s="1811">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2"/>
      <c r="Q16" s="1810" t="str">
        <f>B16</f>
        <v>公共配套设施</v>
      </c>
      <c r="R16" s="774" t="s">
        <v>17</v>
      </c>
      <c r="S16" s="775">
        <f>F16</f>
        <v>100</v>
      </c>
      <c r="T16" s="774" t="s">
        <v>17</v>
      </c>
      <c r="U16" s="775">
        <f>H16</f>
        <v>100</v>
      </c>
      <c r="V16" s="774" t="s">
        <v>17</v>
      </c>
      <c r="W16" s="775">
        <f>J16</f>
        <v>100</v>
      </c>
      <c r="X16" s="1813"/>
      <c r="Y16" s="3242"/>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42"/>
      <c r="Q17" s="1810"/>
      <c r="R17" s="774"/>
      <c r="S17" s="775"/>
      <c r="T17" s="774"/>
      <c r="U17" s="775"/>
      <c r="V17" s="774"/>
      <c r="W17" s="775"/>
      <c r="X17" s="1813"/>
      <c r="Y17" s="3242"/>
      <c r="Z17" s="1814"/>
      <c r="AA17" s="1811">
        <v>1</v>
      </c>
      <c r="AB17" s="1811">
        <v>1</v>
      </c>
      <c r="AC17" s="1811">
        <v>1</v>
      </c>
    </row>
    <row r="18" spans="1:29" ht="28.5">
      <c r="A18" s="428"/>
      <c r="B18" s="1384"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2"/>
      <c r="Q18" s="1810" t="str">
        <f>B18</f>
        <v>基础设施水平</v>
      </c>
      <c r="R18" s="774" t="s">
        <v>17</v>
      </c>
      <c r="S18" s="775">
        <f>F18</f>
        <v>100</v>
      </c>
      <c r="T18" s="774" t="s">
        <v>17</v>
      </c>
      <c r="U18" s="775">
        <f>H18</f>
        <v>100</v>
      </c>
      <c r="V18" s="774" t="s">
        <v>17</v>
      </c>
      <c r="W18" s="775">
        <f>J18</f>
        <v>100</v>
      </c>
      <c r="X18" s="1813"/>
      <c r="Y18" s="3242"/>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42"/>
      <c r="Q19" s="1810"/>
      <c r="R19" s="774"/>
      <c r="S19" s="775"/>
      <c r="T19" s="774"/>
      <c r="U19" s="775"/>
      <c r="V19" s="774"/>
      <c r="W19" s="775"/>
      <c r="X19" s="1813"/>
      <c r="Y19" s="3242"/>
      <c r="Z19" s="1814"/>
      <c r="AA19" s="1811">
        <v>1</v>
      </c>
      <c r="AB19" s="1811">
        <v>1</v>
      </c>
      <c r="AC19" s="1811">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2"/>
      <c r="Q20" s="1810" t="str">
        <f>B20</f>
        <v>自然及人文环境</v>
      </c>
      <c r="R20" s="774" t="s">
        <v>17</v>
      </c>
      <c r="S20" s="775">
        <f>F20</f>
        <v>100</v>
      </c>
      <c r="T20" s="774" t="s">
        <v>17</v>
      </c>
      <c r="U20" s="775">
        <f>H20</f>
        <v>100</v>
      </c>
      <c r="V20" s="774" t="s">
        <v>17</v>
      </c>
      <c r="W20" s="775">
        <f>J20</f>
        <v>100</v>
      </c>
      <c r="X20" s="1813"/>
      <c r="Y20" s="324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2"/>
      <c r="Q21" s="1810"/>
      <c r="R21" s="774"/>
      <c r="S21" s="775"/>
      <c r="T21" s="774"/>
      <c r="U21" s="775"/>
      <c r="V21" s="774"/>
      <c r="W21" s="775"/>
      <c r="X21" s="1813"/>
      <c r="Y21" s="3242"/>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2"/>
      <c r="Q22" s="1810" t="str">
        <f>B22</f>
        <v>楼层</v>
      </c>
      <c r="R22" s="774" t="s">
        <v>17</v>
      </c>
      <c r="S22" s="775">
        <f>F22</f>
        <v>100</v>
      </c>
      <c r="T22" s="774" t="s">
        <v>17</v>
      </c>
      <c r="U22" s="775">
        <f>H22</f>
        <v>100</v>
      </c>
      <c r="V22" s="774" t="s">
        <v>17</v>
      </c>
      <c r="W22" s="775">
        <f>J22</f>
        <v>100</v>
      </c>
      <c r="X22" s="1813"/>
      <c r="Y22" s="3242"/>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2"/>
      <c r="Q23" s="1810">
        <f>B23</f>
        <v>111</v>
      </c>
      <c r="R23" s="774" t="s">
        <v>17</v>
      </c>
      <c r="S23" s="775">
        <f>F23</f>
        <v>100</v>
      </c>
      <c r="T23" s="774" t="s">
        <v>17</v>
      </c>
      <c r="U23" s="775">
        <f>H23</f>
        <v>100</v>
      </c>
      <c r="V23" s="774" t="s">
        <v>17</v>
      </c>
      <c r="W23" s="775">
        <f>J23</f>
        <v>100</v>
      </c>
      <c r="X23" s="1813"/>
      <c r="Y23" s="3242"/>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2"/>
      <c r="Q24" s="1810">
        <f t="shared" ref="Q24:Q34" si="11">B24</f>
        <v>111</v>
      </c>
      <c r="R24" s="774" t="s">
        <v>17</v>
      </c>
      <c r="S24" s="775">
        <f>F24</f>
        <v>100</v>
      </c>
      <c r="T24" s="774" t="s">
        <v>17</v>
      </c>
      <c r="U24" s="775">
        <f>H24</f>
        <v>100</v>
      </c>
      <c r="V24" s="774" t="s">
        <v>17</v>
      </c>
      <c r="W24" s="775">
        <f>J24</f>
        <v>100</v>
      </c>
      <c r="X24" s="1813"/>
      <c r="Y24" s="3242"/>
      <c r="Z24" s="1814">
        <f>Q24</f>
        <v>111</v>
      </c>
      <c r="AA24" s="1811">
        <f t="shared" si="3"/>
        <v>1</v>
      </c>
      <c r="AB24" s="1811">
        <f t="shared" si="4"/>
        <v>1</v>
      </c>
      <c r="AC24" s="1811">
        <f t="shared" si="5"/>
        <v>1</v>
      </c>
    </row>
    <row r="25" spans="1:29" s="117" customFormat="1" ht="15.75" thickBot="1">
      <c r="A25" s="431"/>
      <c r="B25" s="2603">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42"/>
      <c r="Q25" s="1795">
        <f t="shared" si="11"/>
        <v>111</v>
      </c>
      <c r="R25" s="770" t="s">
        <v>17</v>
      </c>
      <c r="S25" s="771">
        <f>F25</f>
        <v>100</v>
      </c>
      <c r="T25" s="770" t="s">
        <v>17</v>
      </c>
      <c r="U25" s="771">
        <f>H25</f>
        <v>100</v>
      </c>
      <c r="V25" s="770" t="s">
        <v>17</v>
      </c>
      <c r="W25" s="771">
        <f>J25</f>
        <v>100</v>
      </c>
      <c r="X25" s="772"/>
      <c r="Y25" s="3242"/>
      <c r="Z25" s="55">
        <f>Q25</f>
        <v>111</v>
      </c>
      <c r="AA25" s="1811">
        <f>D25/F25</f>
        <v>1</v>
      </c>
      <c r="AB25" s="1811">
        <f>D25/H25</f>
        <v>1</v>
      </c>
      <c r="AC25" s="1811">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22"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6"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6"/>
      <c r="Q28" s="1810" t="str">
        <f t="shared" si="11"/>
        <v>物业等级</v>
      </c>
      <c r="R28" s="774" t="s">
        <v>17</v>
      </c>
      <c r="S28" s="775">
        <f t="shared" si="12"/>
        <v>100</v>
      </c>
      <c r="T28" s="774" t="s">
        <v>17</v>
      </c>
      <c r="U28" s="775">
        <f t="shared" si="13"/>
        <v>100</v>
      </c>
      <c r="V28" s="774" t="s">
        <v>17</v>
      </c>
      <c r="W28" s="775">
        <f t="shared" si="14"/>
        <v>100</v>
      </c>
      <c r="X28" s="1813"/>
      <c r="Y28" s="3246"/>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6"/>
      <c r="Q29" s="1810" t="str">
        <f t="shared" si="11"/>
        <v>有无电梯</v>
      </c>
      <c r="R29" s="774" t="s">
        <v>17</v>
      </c>
      <c r="S29" s="775">
        <f t="shared" si="12"/>
        <v>100</v>
      </c>
      <c r="T29" s="774" t="s">
        <v>17</v>
      </c>
      <c r="U29" s="775">
        <f t="shared" si="13"/>
        <v>100</v>
      </c>
      <c r="V29" s="774" t="s">
        <v>17</v>
      </c>
      <c r="W29" s="775">
        <f t="shared" si="14"/>
        <v>100</v>
      </c>
      <c r="X29" s="1813"/>
      <c r="Y29" s="3246"/>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6"/>
      <c r="Q30" s="1810" t="str">
        <f t="shared" si="11"/>
        <v>建筑面积</v>
      </c>
      <c r="R30" s="774" t="s">
        <v>17</v>
      </c>
      <c r="S30" s="775" t="e">
        <f t="shared" si="12"/>
        <v>#N/A</v>
      </c>
      <c r="T30" s="774" t="s">
        <v>17</v>
      </c>
      <c r="U30" s="775" t="e">
        <f t="shared" si="13"/>
        <v>#N/A</v>
      </c>
      <c r="V30" s="774" t="s">
        <v>17</v>
      </c>
      <c r="W30" s="775" t="e">
        <f t="shared" si="14"/>
        <v>#N/A</v>
      </c>
      <c r="X30" s="1813"/>
      <c r="Y30" s="3246"/>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6"/>
      <c r="Q31" s="1795"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6" t="s">
        <v>2566</v>
      </c>
      <c r="Q32" s="1810">
        <f t="shared" si="11"/>
        <v>111</v>
      </c>
      <c r="R32" s="774" t="s">
        <v>17</v>
      </c>
      <c r="S32" s="775">
        <f t="shared" si="12"/>
        <v>100</v>
      </c>
      <c r="T32" s="774" t="s">
        <v>17</v>
      </c>
      <c r="U32" s="775">
        <f t="shared" si="13"/>
        <v>100</v>
      </c>
      <c r="V32" s="774" t="s">
        <v>17</v>
      </c>
      <c r="W32" s="775">
        <f t="shared" si="14"/>
        <v>100</v>
      </c>
      <c r="X32" s="1813"/>
      <c r="Y32" s="3246" t="s">
        <v>2566</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6"/>
      <c r="Q33" s="1810">
        <f t="shared" si="11"/>
        <v>111</v>
      </c>
      <c r="R33" s="774" t="s">
        <v>17</v>
      </c>
      <c r="S33" s="775">
        <f t="shared" si="12"/>
        <v>100</v>
      </c>
      <c r="T33" s="774" t="s">
        <v>17</v>
      </c>
      <c r="U33" s="775">
        <f t="shared" si="13"/>
        <v>100</v>
      </c>
      <c r="V33" s="774" t="s">
        <v>17</v>
      </c>
      <c r="W33" s="775">
        <f t="shared" si="14"/>
        <v>100</v>
      </c>
      <c r="X33" s="1813"/>
      <c r="Y33" s="3246"/>
      <c r="Z33" s="1814">
        <f t="shared" si="15"/>
        <v>111</v>
      </c>
      <c r="AA33" s="1811">
        <f t="shared" si="3"/>
        <v>1</v>
      </c>
      <c r="AB33" s="1811">
        <f t="shared" si="4"/>
        <v>1</v>
      </c>
      <c r="AC33" s="1811">
        <f t="shared" si="5"/>
        <v>1</v>
      </c>
    </row>
    <row r="34" spans="1:29" ht="15.75" thickBot="1">
      <c r="A34" s="478"/>
      <c r="B34" s="2605">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6"/>
      <c r="Q34" s="1810">
        <f t="shared" si="11"/>
        <v>111</v>
      </c>
      <c r="R34" s="774" t="s">
        <v>17</v>
      </c>
      <c r="S34" s="775">
        <f t="shared" si="12"/>
        <v>100</v>
      </c>
      <c r="T34" s="774" t="s">
        <v>17</v>
      </c>
      <c r="U34" s="775">
        <f t="shared" si="13"/>
        <v>100</v>
      </c>
      <c r="V34" s="774" t="s">
        <v>17</v>
      </c>
      <c r="W34" s="775">
        <f t="shared" si="14"/>
        <v>100</v>
      </c>
      <c r="X34" s="1813"/>
      <c r="Y34" s="3246"/>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311" t="str">
        <f>A37</f>
        <v>估价对象XX用房的比较价值（楼面单价，元/平方米）</v>
      </c>
      <c r="Q37" s="3312"/>
      <c r="R37" s="3313" t="e">
        <f>IF(F1="售价",ROUND(AVERAGE(R36:V36),0),ROUND(AVERAGE(R36:V36),1))</f>
        <v>#DIV/0!</v>
      </c>
      <c r="S37" s="3313"/>
      <c r="T37" s="3313"/>
      <c r="U37" s="3313"/>
      <c r="V37" s="3313"/>
      <c r="W37" s="33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30"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30"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30" s="117" customFormat="1" ht="15.75" thickBot="1">
      <c r="A7" s="408" t="s">
        <v>2549</v>
      </c>
      <c r="B7" s="409"/>
      <c r="C7" s="410">
        <f>'数据-取费表'!B2</f>
        <v>43707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4"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234"/>
      <c r="Q10" s="1795" t="str">
        <f t="shared" si="6"/>
        <v>土地使用年限（年）</v>
      </c>
      <c r="R10" s="770" t="s">
        <v>17</v>
      </c>
      <c r="S10" s="771">
        <f t="shared" si="0"/>
        <v>111</v>
      </c>
      <c r="T10" s="770" t="s">
        <v>17</v>
      </c>
      <c r="U10" s="771">
        <f t="shared" si="1"/>
        <v>111</v>
      </c>
      <c r="V10" s="770" t="s">
        <v>17</v>
      </c>
      <c r="W10" s="771">
        <f t="shared" si="2"/>
        <v>111</v>
      </c>
      <c r="X10" s="772"/>
      <c r="Y10" s="3083"/>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4"/>
      <c r="Q12" s="1795" t="str">
        <f t="shared" si="6"/>
        <v>配建</v>
      </c>
      <c r="R12" s="770" t="s">
        <v>17</v>
      </c>
      <c r="S12" s="771">
        <f t="shared" si="0"/>
        <v>100</v>
      </c>
      <c r="T12" s="770" t="s">
        <v>17</v>
      </c>
      <c r="U12" s="771">
        <f t="shared" si="1"/>
        <v>100</v>
      </c>
      <c r="V12" s="770" t="s">
        <v>17</v>
      </c>
      <c r="W12" s="771">
        <f t="shared" si="2"/>
        <v>100</v>
      </c>
      <c r="X12" s="772"/>
      <c r="Y12" s="308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83"/>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1" t="s">
        <v>2561</v>
      </c>
      <c r="Q15" s="1810" t="str">
        <f t="shared" si="6"/>
        <v>居住社区成熟度</v>
      </c>
      <c r="R15" s="774" t="s">
        <v>17</v>
      </c>
      <c r="S15" s="775">
        <f t="shared" si="0"/>
        <v>100</v>
      </c>
      <c r="T15" s="774" t="s">
        <v>17</v>
      </c>
      <c r="U15" s="775">
        <f t="shared" si="1"/>
        <v>100</v>
      </c>
      <c r="V15" s="774" t="s">
        <v>17</v>
      </c>
      <c r="W15" s="775">
        <f t="shared" si="2"/>
        <v>100</v>
      </c>
      <c r="X15" s="1813"/>
      <c r="Y15" s="3241" t="s">
        <v>2561</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42"/>
      <c r="Q16" s="1810"/>
      <c r="R16" s="774"/>
      <c r="S16" s="775"/>
      <c r="T16" s="774"/>
      <c r="U16" s="775"/>
      <c r="V16" s="774"/>
      <c r="W16" s="775"/>
      <c r="X16" s="1813"/>
      <c r="Y16" s="3242"/>
      <c r="Z16" s="1814"/>
      <c r="AA16" s="1811">
        <v>1</v>
      </c>
      <c r="AB16" s="1811">
        <v>1</v>
      </c>
      <c r="AC16" s="1811">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2"/>
      <c r="Q17" s="1810" t="str">
        <f>B17</f>
        <v>商业繁华度</v>
      </c>
      <c r="R17" s="774" t="s">
        <v>17</v>
      </c>
      <c r="S17" s="775">
        <f>F17</f>
        <v>100</v>
      </c>
      <c r="T17" s="774" t="s">
        <v>17</v>
      </c>
      <c r="U17" s="775">
        <f>H17</f>
        <v>100</v>
      </c>
      <c r="V17" s="774" t="s">
        <v>17</v>
      </c>
      <c r="W17" s="775">
        <f>J17</f>
        <v>100</v>
      </c>
      <c r="X17" s="1813"/>
      <c r="Y17" s="3242"/>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42"/>
      <c r="Q18" s="1810"/>
      <c r="R18" s="774"/>
      <c r="S18" s="775"/>
      <c r="T18" s="774"/>
      <c r="U18" s="775"/>
      <c r="V18" s="774"/>
      <c r="W18" s="775"/>
      <c r="X18" s="1813"/>
      <c r="Y18" s="3242"/>
      <c r="Z18" s="1814"/>
      <c r="AA18" s="1811">
        <v>1</v>
      </c>
      <c r="AB18" s="1811">
        <v>1</v>
      </c>
      <c r="AC18" s="1811">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2"/>
      <c r="Q19" s="1810" t="str">
        <f>B19</f>
        <v>办公集聚程度</v>
      </c>
      <c r="R19" s="774" t="s">
        <v>17</v>
      </c>
      <c r="S19" s="775">
        <f>F19</f>
        <v>100</v>
      </c>
      <c r="T19" s="774" t="s">
        <v>17</v>
      </c>
      <c r="U19" s="775">
        <f>H19</f>
        <v>100</v>
      </c>
      <c r="V19" s="774" t="s">
        <v>17</v>
      </c>
      <c r="W19" s="775">
        <f>J19</f>
        <v>100</v>
      </c>
      <c r="X19" s="1813"/>
      <c r="Y19" s="3242"/>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42"/>
      <c r="Q20" s="1810"/>
      <c r="R20" s="774"/>
      <c r="S20" s="775"/>
      <c r="T20" s="774"/>
      <c r="U20" s="775"/>
      <c r="V20" s="774"/>
      <c r="W20" s="775"/>
      <c r="X20" s="1813"/>
      <c r="Y20" s="3242"/>
      <c r="Z20" s="1814"/>
      <c r="AA20" s="1811">
        <v>1</v>
      </c>
      <c r="AB20" s="1811">
        <v>1</v>
      </c>
      <c r="AC20" s="1811">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2"/>
      <c r="Q21" s="1810" t="str">
        <f>B21</f>
        <v>交通便捷度</v>
      </c>
      <c r="R21" s="774" t="s">
        <v>17</v>
      </c>
      <c r="S21" s="775">
        <f>F21</f>
        <v>100</v>
      </c>
      <c r="T21" s="774" t="s">
        <v>17</v>
      </c>
      <c r="U21" s="775">
        <f>H21</f>
        <v>100</v>
      </c>
      <c r="V21" s="774" t="s">
        <v>17</v>
      </c>
      <c r="W21" s="775">
        <f>J21</f>
        <v>100</v>
      </c>
      <c r="X21" s="1813"/>
      <c r="Y21" s="3242"/>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42"/>
      <c r="Q22" s="1810"/>
      <c r="R22" s="774"/>
      <c r="S22" s="775"/>
      <c r="T22" s="774"/>
      <c r="U22" s="775"/>
      <c r="V22" s="774"/>
      <c r="W22" s="775"/>
      <c r="X22" s="1813"/>
      <c r="Y22" s="3242"/>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2"/>
      <c r="Q23" s="1810" t="str">
        <f t="shared" ref="Q23:Q37" si="8">B23</f>
        <v>区域土地利用方向</v>
      </c>
      <c r="R23" s="774" t="s">
        <v>17</v>
      </c>
      <c r="S23" s="775">
        <f>F23</f>
        <v>100</v>
      </c>
      <c r="T23" s="774" t="s">
        <v>17</v>
      </c>
      <c r="U23" s="775">
        <f>H23</f>
        <v>100</v>
      </c>
      <c r="V23" s="774" t="s">
        <v>17</v>
      </c>
      <c r="W23" s="775">
        <f>J23</f>
        <v>100</v>
      </c>
      <c r="X23" s="1813"/>
      <c r="Y23" s="3242"/>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42"/>
      <c r="Q24" s="1810"/>
      <c r="R24" s="774"/>
      <c r="S24" s="775"/>
      <c r="T24" s="774"/>
      <c r="U24" s="775"/>
      <c r="V24" s="774"/>
      <c r="W24" s="775"/>
      <c r="X24" s="1813"/>
      <c r="Y24" s="3242"/>
      <c r="Z24" s="1814"/>
      <c r="AA24" s="1811"/>
      <c r="AB24" s="1811"/>
      <c r="AC24" s="1811"/>
    </row>
    <row r="25" spans="1:29" ht="57">
      <c r="A25" s="404"/>
      <c r="B25" s="1384"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2"/>
      <c r="Q25" s="1810" t="str">
        <f t="shared" si="8"/>
        <v>自然及人文环境状况</v>
      </c>
      <c r="R25" s="774" t="s">
        <v>17</v>
      </c>
      <c r="S25" s="775">
        <f>F25</f>
        <v>100</v>
      </c>
      <c r="T25" s="774" t="s">
        <v>17</v>
      </c>
      <c r="U25" s="775">
        <f>H25</f>
        <v>100</v>
      </c>
      <c r="V25" s="774" t="s">
        <v>17</v>
      </c>
      <c r="W25" s="775">
        <f>J25</f>
        <v>100</v>
      </c>
      <c r="X25" s="1813"/>
      <c r="Y25" s="3242"/>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42"/>
      <c r="Q26" s="1810"/>
      <c r="R26" s="774"/>
      <c r="S26" s="775"/>
      <c r="T26" s="774"/>
      <c r="U26" s="775"/>
      <c r="V26" s="774"/>
      <c r="W26" s="775"/>
      <c r="X26" s="1813"/>
      <c r="Y26" s="3242"/>
      <c r="Z26" s="1814"/>
      <c r="AA26" s="1811">
        <v>1</v>
      </c>
      <c r="AB26" s="1811">
        <v>1</v>
      </c>
      <c r="AC26" s="1811">
        <v>1</v>
      </c>
    </row>
    <row r="27" spans="1:29" s="117" customFormat="1" ht="42.75">
      <c r="A27" s="649"/>
      <c r="B27" s="1384"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2"/>
      <c r="Q27" s="1795" t="str">
        <f t="shared" si="8"/>
        <v>公共配套设施</v>
      </c>
      <c r="R27" s="770" t="s">
        <v>17</v>
      </c>
      <c r="S27" s="771">
        <f>F27</f>
        <v>100</v>
      </c>
      <c r="T27" s="770" t="s">
        <v>17</v>
      </c>
      <c r="U27" s="771">
        <f>H27</f>
        <v>100</v>
      </c>
      <c r="V27" s="770" t="s">
        <v>17</v>
      </c>
      <c r="W27" s="771">
        <f>J27</f>
        <v>100</v>
      </c>
      <c r="X27" s="772"/>
      <c r="Y27" s="3242"/>
      <c r="Z27" s="55" t="str">
        <f>Q27</f>
        <v>公共配套设施</v>
      </c>
      <c r="AA27" s="1811">
        <f>D27/F27</f>
        <v>1</v>
      </c>
      <c r="AB27" s="1811">
        <f>D27/H27</f>
        <v>1</v>
      </c>
      <c r="AC27" s="1811">
        <f>D27/J27</f>
        <v>1</v>
      </c>
    </row>
    <row r="28" spans="1:29" s="117" customFormat="1" ht="15">
      <c r="A28" s="649"/>
      <c r="B28" s="456"/>
      <c r="C28" s="2702"/>
      <c r="D28" s="448"/>
      <c r="E28" s="2614"/>
      <c r="F28" s="448"/>
      <c r="G28" s="2614"/>
      <c r="H28" s="448"/>
      <c r="I28" s="447"/>
      <c r="J28" s="448"/>
      <c r="K28" s="672"/>
      <c r="L28" s="1132"/>
      <c r="M28" s="1133"/>
      <c r="N28" s="1133"/>
      <c r="O28" s="1134"/>
      <c r="P28" s="3242"/>
      <c r="Q28" s="1795"/>
      <c r="R28" s="770"/>
      <c r="S28" s="771"/>
      <c r="T28" s="770"/>
      <c r="U28" s="771"/>
      <c r="V28" s="770"/>
      <c r="W28" s="771"/>
      <c r="X28" s="772"/>
      <c r="Y28" s="3242"/>
      <c r="Z28" s="55"/>
      <c r="AA28" s="1811">
        <v>1</v>
      </c>
      <c r="AB28" s="1811">
        <v>1</v>
      </c>
      <c r="AC28" s="1811">
        <v>1</v>
      </c>
    </row>
    <row r="29" spans="1:29" s="117" customFormat="1" ht="28.5">
      <c r="A29" s="649"/>
      <c r="B29" s="1384"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2"/>
      <c r="Q29" s="1795"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42"/>
      <c r="Q30" s="1795"/>
      <c r="R30" s="770"/>
      <c r="S30" s="771"/>
      <c r="T30" s="770"/>
      <c r="U30" s="771"/>
      <c r="V30" s="770"/>
      <c r="W30" s="771"/>
      <c r="X30" s="772"/>
      <c r="Y30" s="3242"/>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2"/>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2"/>
      <c r="Q32" s="1810" t="str">
        <f t="shared" si="8"/>
        <v>毗邻道路的类型与等级</v>
      </c>
      <c r="R32" s="774" t="s">
        <v>17</v>
      </c>
      <c r="S32" s="775">
        <f t="shared" si="10"/>
        <v>100</v>
      </c>
      <c r="T32" s="774" t="s">
        <v>17</v>
      </c>
      <c r="U32" s="775">
        <f t="shared" si="11"/>
        <v>100</v>
      </c>
      <c r="V32" s="774" t="s">
        <v>17</v>
      </c>
      <c r="W32" s="775">
        <f t="shared" si="12"/>
        <v>100</v>
      </c>
      <c r="X32" s="1813"/>
      <c r="Y32" s="3242"/>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42"/>
      <c r="Q33" s="1810"/>
      <c r="R33" s="774"/>
      <c r="S33" s="775"/>
      <c r="T33" s="774"/>
      <c r="U33" s="775"/>
      <c r="V33" s="774"/>
      <c r="W33" s="775"/>
      <c r="X33" s="1813"/>
      <c r="Y33" s="3242"/>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2"/>
      <c r="Q34" s="1810" t="str">
        <f t="shared" si="8"/>
        <v>土地级别</v>
      </c>
      <c r="R34" s="774" t="s">
        <v>17</v>
      </c>
      <c r="S34" s="775">
        <f t="shared" si="10"/>
        <v>100</v>
      </c>
      <c r="T34" s="774" t="s">
        <v>17</v>
      </c>
      <c r="U34" s="775">
        <f t="shared" si="11"/>
        <v>100</v>
      </c>
      <c r="V34" s="774" t="s">
        <v>17</v>
      </c>
      <c r="W34" s="775">
        <f t="shared" si="12"/>
        <v>100</v>
      </c>
      <c r="X34" s="1813"/>
      <c r="Y34" s="324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2"/>
      <c r="Q35" s="1810">
        <f t="shared" si="8"/>
        <v>111</v>
      </c>
      <c r="R35" s="774" t="s">
        <v>17</v>
      </c>
      <c r="S35" s="775">
        <f t="shared" si="10"/>
        <v>100</v>
      </c>
      <c r="T35" s="774" t="s">
        <v>17</v>
      </c>
      <c r="U35" s="775">
        <f t="shared" si="11"/>
        <v>100</v>
      </c>
      <c r="V35" s="774" t="s">
        <v>17</v>
      </c>
      <c r="W35" s="775">
        <f t="shared" si="12"/>
        <v>100</v>
      </c>
      <c r="X35" s="1813"/>
      <c r="Y35" s="324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2" t="s">
        <v>2566</v>
      </c>
      <c r="Q36" s="1810">
        <f t="shared" si="8"/>
        <v>111</v>
      </c>
      <c r="R36" s="774" t="s">
        <v>17</v>
      </c>
      <c r="S36" s="775">
        <f t="shared" si="10"/>
        <v>100</v>
      </c>
      <c r="T36" s="774" t="s">
        <v>17</v>
      </c>
      <c r="U36" s="775">
        <f t="shared" si="11"/>
        <v>100</v>
      </c>
      <c r="V36" s="774" t="s">
        <v>17</v>
      </c>
      <c r="W36" s="775">
        <f t="shared" si="12"/>
        <v>100</v>
      </c>
      <c r="X36" s="1813"/>
      <c r="Y36" s="3246"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6"/>
      <c r="Q37" s="1810">
        <f t="shared" si="8"/>
        <v>111</v>
      </c>
      <c r="R37" s="777" t="s">
        <v>17</v>
      </c>
      <c r="S37" s="778">
        <f t="shared" si="10"/>
        <v>100</v>
      </c>
      <c r="T37" s="777" t="s">
        <v>17</v>
      </c>
      <c r="U37" s="778">
        <f t="shared" si="11"/>
        <v>100</v>
      </c>
      <c r="V37" s="777" t="s">
        <v>17</v>
      </c>
      <c r="W37" s="778">
        <f t="shared" si="12"/>
        <v>100</v>
      </c>
      <c r="X37" s="779"/>
      <c r="Y37" s="3246"/>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6"/>
      <c r="Q38" s="1810" t="str">
        <f>B38</f>
        <v>宗地面积</v>
      </c>
      <c r="R38" s="774" t="s">
        <v>17</v>
      </c>
      <c r="S38" s="775" t="e">
        <f t="shared" si="10"/>
        <v>#N/A</v>
      </c>
      <c r="T38" s="774" t="s">
        <v>17</v>
      </c>
      <c r="U38" s="775" t="e">
        <f t="shared" si="11"/>
        <v>#N/A</v>
      </c>
      <c r="V38" s="774" t="s">
        <v>17</v>
      </c>
      <c r="W38" s="775" t="e">
        <f t="shared" si="12"/>
        <v>#N/A</v>
      </c>
      <c r="X38" s="1813"/>
      <c r="Y38" s="3246"/>
      <c r="Z38" s="1814" t="str">
        <f t="shared" si="13"/>
        <v>宗地面积</v>
      </c>
      <c r="AA38" s="1811" t="e">
        <f t="shared" si="3"/>
        <v>#N/A</v>
      </c>
      <c r="AB38" s="1811" t="e">
        <f t="shared" si="4"/>
        <v>#N/A</v>
      </c>
      <c r="AC38" s="1811"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46"/>
      <c r="Q39" s="1810" t="str">
        <f t="shared" ref="Q39:Q45" si="14">B39</f>
        <v>宗地形状</v>
      </c>
      <c r="R39" s="774" t="s">
        <v>17</v>
      </c>
      <c r="S39" s="775">
        <f t="shared" si="10"/>
        <v>100</v>
      </c>
      <c r="T39" s="774" t="s">
        <v>17</v>
      </c>
      <c r="U39" s="775">
        <f t="shared" si="11"/>
        <v>100</v>
      </c>
      <c r="V39" s="774" t="s">
        <v>17</v>
      </c>
      <c r="W39" s="775">
        <f t="shared" si="12"/>
        <v>100</v>
      </c>
      <c r="X39" s="1813"/>
      <c r="Y39" s="3246"/>
      <c r="Z39" s="1814" t="str">
        <f t="shared" si="13"/>
        <v>宗地形状</v>
      </c>
      <c r="AA39" s="1811">
        <f t="shared" si="3"/>
        <v>1</v>
      </c>
      <c r="AB39" s="1811">
        <f t="shared" si="4"/>
        <v>1</v>
      </c>
      <c r="AC39" s="1811">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46"/>
      <c r="Q40" s="1810" t="str">
        <f t="shared" si="14"/>
        <v>临街宽度及深度</v>
      </c>
      <c r="R40" s="774" t="s">
        <v>17</v>
      </c>
      <c r="S40" s="775">
        <f t="shared" si="10"/>
        <v>100</v>
      </c>
      <c r="T40" s="774" t="s">
        <v>17</v>
      </c>
      <c r="U40" s="775">
        <f t="shared" si="11"/>
        <v>100</v>
      </c>
      <c r="V40" s="774" t="s">
        <v>17</v>
      </c>
      <c r="W40" s="775">
        <f t="shared" si="12"/>
        <v>100</v>
      </c>
      <c r="X40" s="1813"/>
      <c r="Y40" s="3246"/>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6"/>
      <c r="Q41" s="1810"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46" t="s">
        <v>2566</v>
      </c>
      <c r="Q42" s="1810" t="str">
        <f t="shared" si="14"/>
        <v>工程地质条件</v>
      </c>
      <c r="R42" s="774" t="s">
        <v>17</v>
      </c>
      <c r="S42" s="775">
        <f t="shared" si="10"/>
        <v>100</v>
      </c>
      <c r="T42" s="774" t="s">
        <v>17</v>
      </c>
      <c r="U42" s="775">
        <f t="shared" si="11"/>
        <v>100</v>
      </c>
      <c r="V42" s="774" t="s">
        <v>17</v>
      </c>
      <c r="W42" s="775">
        <f t="shared" si="12"/>
        <v>100</v>
      </c>
      <c r="X42" s="1813"/>
      <c r="Y42" s="3246"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6"/>
      <c r="Q43" s="1810">
        <f t="shared" si="14"/>
        <v>111</v>
      </c>
      <c r="R43" s="774" t="s">
        <v>17</v>
      </c>
      <c r="S43" s="775">
        <f t="shared" si="10"/>
        <v>100</v>
      </c>
      <c r="T43" s="774" t="s">
        <v>17</v>
      </c>
      <c r="U43" s="775">
        <f t="shared" si="11"/>
        <v>100</v>
      </c>
      <c r="V43" s="774" t="s">
        <v>17</v>
      </c>
      <c r="W43" s="775">
        <f t="shared" si="12"/>
        <v>100</v>
      </c>
      <c r="X43" s="1813"/>
      <c r="Y43" s="324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6"/>
      <c r="Q44" s="1810">
        <f t="shared" si="14"/>
        <v>111</v>
      </c>
      <c r="R44" s="774" t="s">
        <v>17</v>
      </c>
      <c r="S44" s="775">
        <f t="shared" si="10"/>
        <v>100</v>
      </c>
      <c r="T44" s="774" t="s">
        <v>17</v>
      </c>
      <c r="U44" s="775">
        <f t="shared" si="11"/>
        <v>100</v>
      </c>
      <c r="V44" s="774" t="s">
        <v>17</v>
      </c>
      <c r="W44" s="775">
        <f t="shared" si="12"/>
        <v>100</v>
      </c>
      <c r="X44" s="1813"/>
      <c r="Y44" s="3246"/>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6"/>
      <c r="Q45" s="1810">
        <f t="shared" si="14"/>
        <v>111</v>
      </c>
      <c r="R45" s="777" t="s">
        <v>17</v>
      </c>
      <c r="S45" s="778">
        <f t="shared" si="10"/>
        <v>100</v>
      </c>
      <c r="T45" s="777" t="s">
        <v>17</v>
      </c>
      <c r="U45" s="778">
        <f t="shared" si="11"/>
        <v>100</v>
      </c>
      <c r="V45" s="777" t="s">
        <v>17</v>
      </c>
      <c r="W45" s="778">
        <f t="shared" si="12"/>
        <v>100</v>
      </c>
      <c r="X45" s="779"/>
      <c r="Y45" s="3246"/>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234" t="str">
        <f>A46</f>
        <v>成交单价</v>
      </c>
      <c r="Q46" s="3234"/>
      <c r="R46" s="3268">
        <f>E46</f>
        <v>0</v>
      </c>
      <c r="S46" s="3268"/>
      <c r="T46" s="3268">
        <f>G46</f>
        <v>0</v>
      </c>
      <c r="U46" s="3268"/>
      <c r="V46" s="3268">
        <f>I46</f>
        <v>0</v>
      </c>
      <c r="W46" s="326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34" t="str">
        <f>A47</f>
        <v>比较价值（元/平方米）</v>
      </c>
      <c r="Q47" s="3234"/>
      <c r="R47" s="3323" t="e">
        <f>ROUND(PRODUCT(R46,AA7:AA45),0)</f>
        <v>#DIV/0!</v>
      </c>
      <c r="S47" s="3323"/>
      <c r="T47" s="3323" t="e">
        <f>ROUND(PRODUCT(T46,AB7:AB45),0)</f>
        <v>#DIV/0!</v>
      </c>
      <c r="U47" s="3323"/>
      <c r="V47" s="3323" t="e">
        <f>ROUND(PRODUCT(V46,AC7:AC45),0)</f>
        <v>#DIV/0!</v>
      </c>
      <c r="W47" s="332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311" t="str">
        <f>A48</f>
        <v>估价对象XX用房的比较价值（楼面单价，元/平方米）</v>
      </c>
      <c r="Q48" s="3312"/>
      <c r="R48" s="3324" t="e">
        <f>ROUND(AVERAGE(R47:V47),0)</f>
        <v>#DIV/0!</v>
      </c>
      <c r="S48" s="3324"/>
      <c r="T48" s="3324"/>
      <c r="U48" s="3324"/>
      <c r="V48" s="3324"/>
      <c r="W48" s="332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251" t="s">
        <v>2765</v>
      </c>
      <c r="H55" s="3325"/>
      <c r="I55" s="144" t="s">
        <v>2766</v>
      </c>
      <c r="J55" s="2709">
        <f>项目基本情况!F35</f>
        <v>0</v>
      </c>
      <c r="K55" s="2710" t="s">
        <v>2767</v>
      </c>
      <c r="L55" s="1106"/>
      <c r="M55" s="1144"/>
      <c r="N55" s="1144"/>
      <c r="O55" s="1144"/>
    </row>
    <row r="56" spans="1:15" s="692" customFormat="1">
      <c r="A56" s="688" t="s">
        <v>2768</v>
      </c>
      <c r="B56" s="689" t="e">
        <f>C48</f>
        <v>#DIV/0!</v>
      </c>
      <c r="C56" s="690">
        <v>1</v>
      </c>
      <c r="D56" s="1163">
        <v>1</v>
      </c>
      <c r="E56" s="690">
        <f>'数据-汇总表'!E8+'数据-汇总表'!E9</f>
        <v>317.81</v>
      </c>
      <c r="F56" s="1103" t="e">
        <f t="shared" ref="F56:F65" si="15">ROUND(B56*E56/10000,0)</f>
        <v>#DIV/0!</v>
      </c>
      <c r="G56" s="3233"/>
      <c r="H56" s="3234"/>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26"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26"/>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26"/>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26"/>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1"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2"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317.81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327" t="s">
        <v>2798</v>
      </c>
      <c r="D6" s="3328"/>
      <c r="E6" s="3329" t="s">
        <v>2798</v>
      </c>
      <c r="F6" s="3330"/>
      <c r="G6" s="3327" t="s">
        <v>2798</v>
      </c>
      <c r="H6" s="3328"/>
      <c r="I6" s="3327" t="s">
        <v>2798</v>
      </c>
      <c r="J6" s="3328"/>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4"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5"/>
      <c r="M10" s="1136"/>
      <c r="N10" s="1136"/>
      <c r="O10" s="1137"/>
      <c r="P10" s="3234"/>
      <c r="Q10" s="1795" t="str">
        <f t="shared" si="6"/>
        <v>土地使用年限（年）</v>
      </c>
      <c r="R10" s="770" t="s">
        <v>17</v>
      </c>
      <c r="S10" s="771">
        <f t="shared" si="0"/>
        <v>111</v>
      </c>
      <c r="T10" s="770" t="s">
        <v>17</v>
      </c>
      <c r="U10" s="771">
        <f t="shared" si="1"/>
        <v>111</v>
      </c>
      <c r="V10" s="770" t="s">
        <v>17</v>
      </c>
      <c r="W10" s="771">
        <f t="shared" si="2"/>
        <v>111</v>
      </c>
      <c r="X10" s="772"/>
      <c r="Y10" s="3083"/>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1" t="s">
        <v>2561</v>
      </c>
      <c r="Q15" s="1810" t="str">
        <f t="shared" si="6"/>
        <v>产业集聚程度</v>
      </c>
      <c r="R15" s="774" t="s">
        <v>17</v>
      </c>
      <c r="S15" s="775">
        <f t="shared" si="0"/>
        <v>100</v>
      </c>
      <c r="T15" s="774" t="s">
        <v>17</v>
      </c>
      <c r="U15" s="775">
        <f t="shared" si="1"/>
        <v>100</v>
      </c>
      <c r="V15" s="774" t="s">
        <v>17</v>
      </c>
      <c r="W15" s="775">
        <f t="shared" si="2"/>
        <v>100</v>
      </c>
      <c r="X15" s="1813"/>
      <c r="Y15" s="3241" t="s">
        <v>2561</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42"/>
      <c r="Q16" s="1810"/>
      <c r="R16" s="774"/>
      <c r="S16" s="775"/>
      <c r="T16" s="774"/>
      <c r="U16" s="775"/>
      <c r="V16" s="774"/>
      <c r="W16" s="775"/>
      <c r="X16" s="1813"/>
      <c r="Y16" s="3242"/>
      <c r="Z16" s="1814"/>
      <c r="AA16" s="1811">
        <v>1</v>
      </c>
      <c r="AB16" s="1811">
        <v>1</v>
      </c>
      <c r="AC16" s="1811">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2"/>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42"/>
      <c r="Q18" s="1810"/>
      <c r="R18" s="774"/>
      <c r="S18" s="775"/>
      <c r="T18" s="774"/>
      <c r="U18" s="775"/>
      <c r="V18" s="774"/>
      <c r="W18" s="775"/>
      <c r="X18" s="1813"/>
      <c r="Y18" s="3242"/>
      <c r="Z18" s="1814"/>
      <c r="AA18" s="1811">
        <v>1</v>
      </c>
      <c r="AB18" s="1811">
        <v>1</v>
      </c>
      <c r="AC18" s="1811">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2"/>
      <c r="Q19" s="1810" t="str">
        <f t="shared" ref="Q19:Q33" si="8">B19</f>
        <v>区域土地利用方向</v>
      </c>
      <c r="R19" s="774" t="s">
        <v>17</v>
      </c>
      <c r="S19" s="775">
        <f>F19</f>
        <v>100</v>
      </c>
      <c r="T19" s="774" t="s">
        <v>17</v>
      </c>
      <c r="U19" s="775">
        <f>H19</f>
        <v>100</v>
      </c>
      <c r="V19" s="774" t="s">
        <v>17</v>
      </c>
      <c r="W19" s="775">
        <f>J19</f>
        <v>100</v>
      </c>
      <c r="X19" s="1813"/>
      <c r="Y19" s="3242"/>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42"/>
      <c r="Q20" s="1810"/>
      <c r="R20" s="774"/>
      <c r="S20" s="775"/>
      <c r="T20" s="774"/>
      <c r="U20" s="775"/>
      <c r="V20" s="774"/>
      <c r="W20" s="775"/>
      <c r="X20" s="1813"/>
      <c r="Y20" s="3242"/>
      <c r="Z20" s="1814"/>
      <c r="AA20" s="1811"/>
      <c r="AB20" s="1811"/>
      <c r="AC20" s="1811"/>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2"/>
      <c r="Q21" s="1810" t="str">
        <f t="shared" si="8"/>
        <v>环境状况</v>
      </c>
      <c r="R21" s="774" t="s">
        <v>17</v>
      </c>
      <c r="S21" s="775">
        <f>F21</f>
        <v>100</v>
      </c>
      <c r="T21" s="774" t="s">
        <v>17</v>
      </c>
      <c r="U21" s="775">
        <f>H21</f>
        <v>100</v>
      </c>
      <c r="V21" s="774" t="s">
        <v>17</v>
      </c>
      <c r="W21" s="775">
        <f>J21</f>
        <v>100</v>
      </c>
      <c r="X21" s="1813"/>
      <c r="Y21" s="3242"/>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42"/>
      <c r="Q22" s="1810"/>
      <c r="R22" s="774"/>
      <c r="S22" s="775"/>
      <c r="T22" s="774"/>
      <c r="U22" s="775"/>
      <c r="V22" s="774"/>
      <c r="W22" s="775"/>
      <c r="X22" s="1813"/>
      <c r="Y22" s="3242"/>
      <c r="Z22" s="1814"/>
      <c r="AA22" s="1811">
        <v>1</v>
      </c>
      <c r="AB22" s="1811">
        <v>1</v>
      </c>
      <c r="AC22" s="1811">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2"/>
      <c r="Q23" s="1795" t="str">
        <f t="shared" si="8"/>
        <v>公共配套设施</v>
      </c>
      <c r="R23" s="770" t="s">
        <v>17</v>
      </c>
      <c r="S23" s="771">
        <f>F23</f>
        <v>100</v>
      </c>
      <c r="T23" s="770" t="s">
        <v>17</v>
      </c>
      <c r="U23" s="771">
        <f>H23</f>
        <v>100</v>
      </c>
      <c r="V23" s="770" t="s">
        <v>17</v>
      </c>
      <c r="W23" s="771">
        <f>J23</f>
        <v>100</v>
      </c>
      <c r="X23" s="772"/>
      <c r="Y23" s="3242"/>
      <c r="Z23" s="55" t="str">
        <f>Q23</f>
        <v>公共配套设施</v>
      </c>
      <c r="AA23" s="1811">
        <f>D23/F23</f>
        <v>1</v>
      </c>
      <c r="AB23" s="1811">
        <f>D23/H23</f>
        <v>1</v>
      </c>
      <c r="AC23" s="1811">
        <f>D23/J23</f>
        <v>1</v>
      </c>
    </row>
    <row r="24" spans="1:29" s="117" customFormat="1" ht="15">
      <c r="A24" s="649"/>
      <c r="B24" s="632"/>
      <c r="C24" s="2702"/>
      <c r="D24" s="448"/>
      <c r="E24" s="2614"/>
      <c r="F24" s="448"/>
      <c r="G24" s="2614"/>
      <c r="H24" s="448"/>
      <c r="I24" s="447"/>
      <c r="J24" s="448"/>
      <c r="K24" s="672"/>
      <c r="L24" s="1132"/>
      <c r="M24" s="1133"/>
      <c r="N24" s="1133"/>
      <c r="O24" s="1134"/>
      <c r="P24" s="3242"/>
      <c r="Q24" s="1795"/>
      <c r="R24" s="770"/>
      <c r="S24" s="771"/>
      <c r="T24" s="770"/>
      <c r="U24" s="771"/>
      <c r="V24" s="770"/>
      <c r="W24" s="771"/>
      <c r="X24" s="772"/>
      <c r="Y24" s="3242"/>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2"/>
      <c r="Q25" s="1795"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42"/>
      <c r="Q26" s="1795"/>
      <c r="R26" s="770"/>
      <c r="S26" s="771"/>
      <c r="T26" s="770"/>
      <c r="U26" s="771"/>
      <c r="V26" s="770"/>
      <c r="W26" s="771"/>
      <c r="X26" s="772"/>
      <c r="Y26" s="324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2"/>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2"/>
      <c r="Q28" s="1810" t="str">
        <f t="shared" si="8"/>
        <v>毗邻道路的类型与等级</v>
      </c>
      <c r="R28" s="774" t="s">
        <v>17</v>
      </c>
      <c r="S28" s="775">
        <f t="shared" si="10"/>
        <v>100</v>
      </c>
      <c r="T28" s="774" t="s">
        <v>17</v>
      </c>
      <c r="U28" s="775">
        <f t="shared" si="11"/>
        <v>100</v>
      </c>
      <c r="V28" s="774" t="s">
        <v>17</v>
      </c>
      <c r="W28" s="775">
        <f t="shared" si="12"/>
        <v>100</v>
      </c>
      <c r="X28" s="1813"/>
      <c r="Y28" s="3242"/>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42"/>
      <c r="Q29" s="1810"/>
      <c r="R29" s="774"/>
      <c r="S29" s="775"/>
      <c r="T29" s="774"/>
      <c r="U29" s="775"/>
      <c r="V29" s="774"/>
      <c r="W29" s="775"/>
      <c r="X29" s="1813"/>
      <c r="Y29" s="3242"/>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2"/>
      <c r="Q30" s="1810" t="str">
        <f t="shared" si="8"/>
        <v>土地级别</v>
      </c>
      <c r="R30" s="774" t="s">
        <v>17</v>
      </c>
      <c r="S30" s="775">
        <f t="shared" si="10"/>
        <v>100</v>
      </c>
      <c r="T30" s="774" t="s">
        <v>17</v>
      </c>
      <c r="U30" s="775">
        <f t="shared" si="11"/>
        <v>100</v>
      </c>
      <c r="V30" s="774" t="s">
        <v>17</v>
      </c>
      <c r="W30" s="775">
        <f t="shared" si="12"/>
        <v>100</v>
      </c>
      <c r="X30" s="1813"/>
      <c r="Y30" s="3242"/>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2"/>
      <c r="Q31" s="1810">
        <f t="shared" si="8"/>
        <v>111</v>
      </c>
      <c r="R31" s="774" t="s">
        <v>17</v>
      </c>
      <c r="S31" s="775">
        <f t="shared" si="10"/>
        <v>100</v>
      </c>
      <c r="T31" s="774" t="s">
        <v>17</v>
      </c>
      <c r="U31" s="775">
        <f t="shared" si="11"/>
        <v>100</v>
      </c>
      <c r="V31" s="774" t="s">
        <v>17</v>
      </c>
      <c r="W31" s="775">
        <f t="shared" si="12"/>
        <v>100</v>
      </c>
      <c r="X31" s="1813"/>
      <c r="Y31" s="3242"/>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2" t="s">
        <v>2566</v>
      </c>
      <c r="Q32" s="1810">
        <f t="shared" si="8"/>
        <v>111</v>
      </c>
      <c r="R32" s="774" t="s">
        <v>17</v>
      </c>
      <c r="S32" s="775">
        <f t="shared" si="10"/>
        <v>100</v>
      </c>
      <c r="T32" s="774" t="s">
        <v>17</v>
      </c>
      <c r="U32" s="775">
        <f t="shared" si="11"/>
        <v>100</v>
      </c>
      <c r="V32" s="774" t="s">
        <v>17</v>
      </c>
      <c r="W32" s="775">
        <f t="shared" si="12"/>
        <v>100</v>
      </c>
      <c r="X32" s="1813"/>
      <c r="Y32" s="3246"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6"/>
      <c r="Q33" s="1810">
        <f t="shared" si="8"/>
        <v>111</v>
      </c>
      <c r="R33" s="777" t="s">
        <v>17</v>
      </c>
      <c r="S33" s="778">
        <f t="shared" si="10"/>
        <v>100</v>
      </c>
      <c r="T33" s="777" t="s">
        <v>17</v>
      </c>
      <c r="U33" s="778">
        <f t="shared" si="11"/>
        <v>100</v>
      </c>
      <c r="V33" s="777" t="s">
        <v>17</v>
      </c>
      <c r="W33" s="778">
        <f t="shared" si="12"/>
        <v>100</v>
      </c>
      <c r="X33" s="779"/>
      <c r="Y33" s="3246"/>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6"/>
      <c r="Q34" s="1810" t="str">
        <f>B34</f>
        <v>宗地面积</v>
      </c>
      <c r="R34" s="774" t="s">
        <v>17</v>
      </c>
      <c r="S34" s="775" t="e">
        <f t="shared" si="10"/>
        <v>#N/A</v>
      </c>
      <c r="T34" s="774" t="s">
        <v>17</v>
      </c>
      <c r="U34" s="775" t="e">
        <f t="shared" si="11"/>
        <v>#N/A</v>
      </c>
      <c r="V34" s="774" t="s">
        <v>17</v>
      </c>
      <c r="W34" s="775" t="e">
        <f t="shared" si="12"/>
        <v>#N/A</v>
      </c>
      <c r="X34" s="1813"/>
      <c r="Y34" s="3246"/>
      <c r="Z34" s="1814" t="str">
        <f t="shared" si="13"/>
        <v>宗地面积</v>
      </c>
      <c r="AA34" s="1811" t="e">
        <f t="shared" si="3"/>
        <v>#N/A</v>
      </c>
      <c r="AB34" s="1811" t="e">
        <f t="shared" si="4"/>
        <v>#N/A</v>
      </c>
      <c r="AC34" s="1811"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46"/>
      <c r="Q35" s="1810" t="str">
        <f t="shared" ref="Q35:Q40" si="14">B35</f>
        <v>宗地形状</v>
      </c>
      <c r="R35" s="774" t="s">
        <v>17</v>
      </c>
      <c r="S35" s="775">
        <f t="shared" si="10"/>
        <v>100</v>
      </c>
      <c r="T35" s="774" t="s">
        <v>17</v>
      </c>
      <c r="U35" s="775">
        <f t="shared" si="11"/>
        <v>100</v>
      </c>
      <c r="V35" s="774" t="s">
        <v>17</v>
      </c>
      <c r="W35" s="775">
        <f t="shared" si="12"/>
        <v>100</v>
      </c>
      <c r="X35" s="1813"/>
      <c r="Y35" s="3246"/>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6"/>
      <c r="Q36" s="1810"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46" t="s">
        <v>2566</v>
      </c>
      <c r="Q37" s="1810" t="str">
        <f t="shared" si="14"/>
        <v>工程地质条件</v>
      </c>
      <c r="R37" s="774" t="s">
        <v>17</v>
      </c>
      <c r="S37" s="775">
        <f t="shared" si="10"/>
        <v>100</v>
      </c>
      <c r="T37" s="774" t="s">
        <v>17</v>
      </c>
      <c r="U37" s="775">
        <f t="shared" si="11"/>
        <v>100</v>
      </c>
      <c r="V37" s="774" t="s">
        <v>17</v>
      </c>
      <c r="W37" s="775">
        <f t="shared" si="12"/>
        <v>100</v>
      </c>
      <c r="X37" s="1813"/>
      <c r="Y37" s="3246"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6"/>
      <c r="Q38" s="1810">
        <f t="shared" si="14"/>
        <v>111</v>
      </c>
      <c r="R38" s="774" t="s">
        <v>17</v>
      </c>
      <c r="S38" s="775">
        <f t="shared" si="10"/>
        <v>100</v>
      </c>
      <c r="T38" s="774" t="s">
        <v>17</v>
      </c>
      <c r="U38" s="775">
        <f t="shared" si="11"/>
        <v>100</v>
      </c>
      <c r="V38" s="774" t="s">
        <v>17</v>
      </c>
      <c r="W38" s="775">
        <f t="shared" si="12"/>
        <v>100</v>
      </c>
      <c r="X38" s="1813"/>
      <c r="Y38" s="324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6"/>
      <c r="Q39" s="1810">
        <f t="shared" si="14"/>
        <v>111</v>
      </c>
      <c r="R39" s="774" t="s">
        <v>17</v>
      </c>
      <c r="S39" s="775">
        <f t="shared" si="10"/>
        <v>100</v>
      </c>
      <c r="T39" s="774" t="s">
        <v>17</v>
      </c>
      <c r="U39" s="775">
        <f t="shared" si="11"/>
        <v>100</v>
      </c>
      <c r="V39" s="774" t="s">
        <v>17</v>
      </c>
      <c r="W39" s="775">
        <f t="shared" si="12"/>
        <v>100</v>
      </c>
      <c r="X39" s="1813"/>
      <c r="Y39" s="3246"/>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6"/>
      <c r="Q40" s="1810">
        <f t="shared" si="14"/>
        <v>111</v>
      </c>
      <c r="R40" s="777" t="s">
        <v>17</v>
      </c>
      <c r="S40" s="778">
        <f t="shared" si="10"/>
        <v>100</v>
      </c>
      <c r="T40" s="777" t="s">
        <v>17</v>
      </c>
      <c r="U40" s="778">
        <f t="shared" si="11"/>
        <v>100</v>
      </c>
      <c r="V40" s="777" t="s">
        <v>17</v>
      </c>
      <c r="W40" s="778">
        <f t="shared" si="12"/>
        <v>100</v>
      </c>
      <c r="X40" s="779"/>
      <c r="Y40" s="3246"/>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234" t="str">
        <f>A41</f>
        <v>成交单价</v>
      </c>
      <c r="Q41" s="3234"/>
      <c r="R41" s="3268">
        <f>E41</f>
        <v>0</v>
      </c>
      <c r="S41" s="3268"/>
      <c r="T41" s="3268">
        <f>G41</f>
        <v>0</v>
      </c>
      <c r="U41" s="3268"/>
      <c r="V41" s="3268">
        <f>I41</f>
        <v>0</v>
      </c>
      <c r="W41" s="326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34" t="str">
        <f>A42</f>
        <v>比较价值（元/平方米）</v>
      </c>
      <c r="Q42" s="3234"/>
      <c r="R42" s="3323" t="e">
        <f>ROUND(PRODUCT(R41,AA7:AA40),0)</f>
        <v>#DIV/0!</v>
      </c>
      <c r="S42" s="3323"/>
      <c r="T42" s="3323" t="e">
        <f>ROUND(PRODUCT(T41,AB7:AB40),0)</f>
        <v>#DIV/0!</v>
      </c>
      <c r="U42" s="3323"/>
      <c r="V42" s="3323" t="e">
        <f>ROUND(PRODUCT(V41,AC7:AC40),0)</f>
        <v>#DIV/0!</v>
      </c>
      <c r="W42" s="332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311" t="str">
        <f>A43</f>
        <v>估价对象XX用房的比较价值（楼面单价，元/平方米）</v>
      </c>
      <c r="Q43" s="3312"/>
      <c r="R43" s="3324" t="e">
        <f>ROUND(AVERAGE(R42:V42),0)</f>
        <v>#DIV/0!</v>
      </c>
      <c r="S43" s="3324"/>
      <c r="T43" s="3324"/>
      <c r="U43" s="3324"/>
      <c r="V43" s="3324"/>
      <c r="W43" s="332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251" t="s">
        <v>2765</v>
      </c>
      <c r="H50" s="3325"/>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317.81</v>
      </c>
      <c r="F51" s="691" t="e">
        <f t="shared" ref="F51:F60" si="15">ROUND(B51*E51/10000,0)</f>
        <v>#DIV/0!</v>
      </c>
      <c r="G51" s="3233"/>
      <c r="H51" s="3234"/>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26"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26"/>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26"/>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26"/>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1"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2"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56.93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3" t="s">
        <v>2820</v>
      </c>
      <c r="D3" s="2724" t="s">
        <v>2821</v>
      </c>
      <c r="E3" s="2729"/>
      <c r="F3" s="2730" t="s">
        <v>2822</v>
      </c>
      <c r="G3" s="916">
        <f>IF(F3="宗地容积率",'数据-汇总表'!I4,IF(F3="估价对象容积率",'数据-汇总表'!I6,'数据-汇总表'!I7))</f>
        <v>5.58</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t="e">
        <f>ROUND(IF(E2="商业",C6*C7+C16,(IF(E2="住宅",C6*C12+C16,C6+C16))),0)</f>
        <v>#DIV/0!</v>
      </c>
      <c r="D5" s="1787" t="e">
        <f>ROUND(C6+C16,0)</f>
        <v>#DIV/0!</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38"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5.58</v>
      </c>
      <c r="AA7" s="1606"/>
      <c r="AB7" s="1606"/>
      <c r="AC7" s="1607"/>
      <c r="AD7" s="1608"/>
      <c r="AE7" s="1608"/>
      <c r="AF7" s="1608"/>
      <c r="AG7" s="1608"/>
      <c r="AH7" s="1608"/>
      <c r="AI7" s="1608"/>
      <c r="AJ7" s="1609"/>
    </row>
    <row r="8" spans="1:36" ht="15">
      <c r="A8" s="3339"/>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31" t="s">
        <v>2841</v>
      </c>
      <c r="X8" s="3332"/>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39"/>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33"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9"/>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9"/>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33" t="s">
        <v>2865</v>
      </c>
      <c r="X11" s="1614" t="s">
        <v>2866</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38"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33"/>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0"/>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t="e">
        <f t="shared" si="0"/>
        <v>#DIV/0!</v>
      </c>
      <c r="U13" s="1603"/>
      <c r="V13" s="1602" t="e">
        <f t="shared" si="1"/>
        <v>#DIV/0!</v>
      </c>
      <c r="W13" s="3333"/>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40"/>
      <c r="B14" s="2770"/>
      <c r="C14" s="2771"/>
      <c r="D14" s="2772"/>
      <c r="E14" s="2772"/>
      <c r="F14" s="2773"/>
      <c r="G14" s="2774" t="s">
        <v>2878</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41"/>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38" t="s">
        <v>2884</v>
      </c>
      <c r="B16" s="2747" t="s">
        <v>2885</v>
      </c>
      <c r="C16" s="2934" t="e">
        <f>ROUND(IF(F17="与级别开发程度一致",0,(G17-E17)/C17),0)</f>
        <v>#DIV/0!</v>
      </c>
      <c r="D16" s="3352" t="s">
        <v>2889</v>
      </c>
      <c r="E16" s="3353"/>
      <c r="F16" s="3352" t="s">
        <v>2886</v>
      </c>
      <c r="G16" s="3353"/>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2"/>
      <c r="B17" s="2945" t="s">
        <v>2888</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2891</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2892</v>
      </c>
      <c r="C19" s="924" t="e">
        <f>ROUND(IF(H19="按公示增长率计算",SUMPRODUCT((地价!A3:A27=YEAR(G19)&amp;"-"&amp;ROUNDUP(MONTH(G19)/3,0))*(地价!X2:AB2=E2)*(地价!X3:AB27)),IF(H19="地价指数",M20/M19,(1+I19)^O19)),4)</f>
        <v>#VALUE!</v>
      </c>
      <c r="D19" s="2791" t="s">
        <v>2893</v>
      </c>
      <c r="E19" s="925">
        <v>41640</v>
      </c>
      <c r="F19" s="2791" t="s">
        <v>2894</v>
      </c>
      <c r="G19" s="926">
        <f>'数据-取费表'!B2</f>
        <v>43707</v>
      </c>
      <c r="H19" s="2792"/>
      <c r="I19" s="927" t="str">
        <f>IF(H19="季度增幅（自定义）",SUMIF(N21:N24,E2,O21:O24),"")</f>
        <v/>
      </c>
      <c r="J19" s="2789"/>
      <c r="K19" s="1377"/>
      <c r="L19" s="2793" t="s">
        <v>2895</v>
      </c>
      <c r="M19" s="1734">
        <f>ROUND(SUMIF(地价!B2:F2,E2,地价!B27:F27),0)</f>
        <v>0</v>
      </c>
      <c r="N19" s="2794" t="s">
        <v>2896</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8">
        <f ca="1">存贷款利率!D4/100</f>
        <v>4.3499999999999997E-2</v>
      </c>
      <c r="F20" s="2800" t="s">
        <v>2890</v>
      </c>
      <c r="G20" s="934">
        <f>SUMIF(M26:P26,E2,M28:P28)</f>
        <v>0</v>
      </c>
      <c r="H20" s="2800" t="s">
        <v>2899</v>
      </c>
      <c r="I20" s="935" t="e">
        <f>SUMIF('数据-取费表'!C6:C15,E2,'数据-取费表'!F6:F15)/COUNTIF('数据-取费表'!C6:C15,E2)</f>
        <v>#DIV/0!</v>
      </c>
      <c r="J20" s="936">
        <f>IF(E2="住宅",70,IF(E2="商业",40,50))</f>
        <v>50</v>
      </c>
      <c r="K20" s="1377"/>
      <c r="L20" s="2801" t="s">
        <v>2900</v>
      </c>
      <c r="M20" s="1735">
        <f>ROUND(SUMPRODUCT((地价!A4:A27=YEAR(G19)&amp;"-"&amp;ROUNDUP(MONTH(G19)/3,0))*(地价!B2:F2=E2)*(地价!B4:F27)),0)</f>
        <v>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2904</v>
      </c>
      <c r="C21" s="937">
        <f>IF(B21="容积率修正",IF(G3&lt;=10,D22,J22),C23)</f>
        <v>0</v>
      </c>
      <c r="D21" s="2807"/>
      <c r="E21" s="2807"/>
      <c r="F21" s="2807"/>
      <c r="G21" s="2807"/>
      <c r="H21" s="2807"/>
      <c r="I21" s="2807"/>
      <c r="J21" s="2808"/>
      <c r="K21" s="1377"/>
      <c r="N21" s="2809" t="s">
        <v>2905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7" t="s">
        <v>2906</v>
      </c>
      <c r="B22" s="2810" t="s">
        <v>2907</v>
      </c>
      <c r="C22" s="1810" t="s">
        <v>2908</v>
      </c>
      <c r="D22" s="1810">
        <f>IF(E22=G22,F22,IF(G3&lt;=10,ROUND(F22+(H22-F22)*(G3-E22)/(G22-E22),4),"——"))</f>
        <v>0</v>
      </c>
      <c r="E22" s="916">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2913</v>
      </c>
      <c r="C24" s="924">
        <f>SUMIF(A45:A88,E2,B45:B88)</f>
        <v>0</v>
      </c>
      <c r="D24" s="2788"/>
      <c r="E24" s="2817"/>
      <c r="F24" s="2817"/>
      <c r="G24" s="2817"/>
      <c r="H24" s="2817"/>
      <c r="I24" s="2817"/>
      <c r="J24" s="2818"/>
      <c r="K24" s="1377"/>
      <c r="N24" s="2819" t="s">
        <v>2914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2915</v>
      </c>
      <c r="C25" s="930"/>
      <c r="D25" s="2750"/>
      <c r="E25" s="2750"/>
      <c r="F25" s="2821"/>
      <c r="G25" s="2750"/>
      <c r="H25" s="2750"/>
      <c r="I25" s="2750"/>
      <c r="J25" s="2751"/>
      <c r="K25" s="1370"/>
      <c r="N25" s="2822" t="s">
        <v>2916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2917</v>
      </c>
      <c r="C26" s="206" t="e">
        <f>E29+SUM(E33:E39)</f>
        <v>#DIV/0!</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2918</v>
      </c>
      <c r="C27" s="931" t="e">
        <f>E30+SUM(I33:I39)</f>
        <v>#DIV/0!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2919</v>
      </c>
      <c r="C28" s="2834" t="s">
        <v>2920</v>
      </c>
      <c r="D28" s="2834" t="s">
        <v>2921</v>
      </c>
      <c r="E28" s="2835" t="s">
        <v>2922</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2923</v>
      </c>
      <c r="C29" s="206" t="e">
        <f>ROUND(C5*C18*C19*C20*C21*C24,0)</f>
        <v>#DIV/0!</v>
      </c>
      <c r="D29" s="2839"/>
      <c r="E29" s="942" t="e">
        <f>ROUND(C29*D29/10000,0)</f>
        <v>#DIV/0!</v>
      </c>
      <c r="F29" s="2840" t="s">
        <v>2924</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49"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0"/>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0"/>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51"/>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2937</v>
      </c>
      <c r="M37" s="2859"/>
      <c r="N37" s="1370"/>
      <c r="O37" s="1370"/>
      <c r="P37" s="1370"/>
      <c r="Q37" s="1370"/>
      <c r="R37" s="1370"/>
      <c r="S37" s="1370"/>
      <c r="T37" s="1370"/>
      <c r="U37" s="1370"/>
      <c r="V37" s="1370"/>
      <c r="W37" s="1370"/>
      <c r="X37" s="1370"/>
      <c r="Y37" s="1370"/>
      <c r="Z37" s="1371"/>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2939</v>
      </c>
      <c r="M38" s="2860">
        <v>0.25</v>
      </c>
      <c r="N38" s="1370"/>
      <c r="O38" s="1370"/>
      <c r="P38" s="1370"/>
      <c r="Q38" s="1370"/>
      <c r="R38" s="1370"/>
      <c r="S38" s="1370"/>
      <c r="T38" s="1370"/>
      <c r="U38" s="1370"/>
      <c r="V38" s="1370"/>
      <c r="W38" s="1370"/>
      <c r="X38" s="1370"/>
      <c r="Y38" s="1370"/>
      <c r="Z38" s="1371"/>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3049</v>
      </c>
      <c r="C41" s="388" t="e">
        <f>ROUND(POWER(1+E41,H41-G41)*(POWER(1+E41,G41)-1)/(POWER(1+E41,H41)-1),4)</f>
        <v>#DIV/0!</v>
      </c>
      <c r="D41" s="200" t="s">
        <v>2890</v>
      </c>
      <c r="E41" s="2931">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2941</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2942</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2943</v>
      </c>
      <c r="B47" s="1809" t="s">
        <v>2944</v>
      </c>
      <c r="C47" s="1809" t="s">
        <v>2945</v>
      </c>
      <c r="D47" s="1809" t="s">
        <v>2946</v>
      </c>
      <c r="E47" s="819" t="s">
        <v>2947</v>
      </c>
      <c r="F47" s="2873" t="s">
        <v>2948</v>
      </c>
      <c r="G47" s="1809" t="s">
        <v>754</v>
      </c>
      <c r="H47" s="2874" t="s">
        <v>2949</v>
      </c>
      <c r="I47" s="1809"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2951</v>
      </c>
      <c r="B48" s="2875" t="str">
        <f>估价对象房地状况!C4</f>
        <v>估价对象位于XX商圈，周边商业氛围成熟，人流量大，商业繁华度好</v>
      </c>
      <c r="C48" s="2772"/>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2952</v>
      </c>
      <c r="B49" s="2876" t="str">
        <f>估价对象房地状况!C18</f>
        <v>估价对象周边道路状况、公共交通通达情况、停车便捷程度，综合评价交通便捷度较好</v>
      </c>
      <c r="C49" s="2772"/>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2953</v>
      </c>
      <c r="B50" s="2876">
        <f>估价对象房地状况!C19</f>
        <v>0</v>
      </c>
      <c r="C50" s="2772"/>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2954</v>
      </c>
      <c r="B51" s="2877" t="s">
        <v>2955</v>
      </c>
      <c r="C51" s="2772"/>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2956</v>
      </c>
      <c r="B52" s="2876">
        <f>估价对象房地状况!C24</f>
        <v>0</v>
      </c>
      <c r="C52" s="2772"/>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2957</v>
      </c>
      <c r="B53" s="2878" t="s">
        <v>2958</v>
      </c>
      <c r="C53" s="2772"/>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2959</v>
      </c>
      <c r="B54" s="1725" t="str">
        <f>估价对象房地状况!C21</f>
        <v>估价对象所在区域公共配套设施齐备情况</v>
      </c>
      <c r="C54" s="2772"/>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2960</v>
      </c>
      <c r="B55" s="2876" t="str">
        <f>估价对象房地状况!C22</f>
        <v>估价对象所在区域基础设施水平</v>
      </c>
      <c r="C55" s="2772"/>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2961</v>
      </c>
      <c r="B56" s="2881" t="str">
        <f>估价对象房地状况!C20</f>
        <v>区域自然环境：；人文环境；综合评价环境状况一般</v>
      </c>
      <c r="C56" s="2772"/>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2962</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2943</v>
      </c>
      <c r="B58" s="1809"/>
      <c r="C58" s="1809" t="s">
        <v>2945</v>
      </c>
      <c r="D58" s="1809" t="s">
        <v>2946</v>
      </c>
      <c r="E58" s="819" t="s">
        <v>2947</v>
      </c>
      <c r="F58" s="2873" t="s">
        <v>2963</v>
      </c>
      <c r="G58" s="1809" t="s">
        <v>754</v>
      </c>
      <c r="H58" s="2874" t="s">
        <v>2949</v>
      </c>
      <c r="I58" s="1809"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2" t="s">
        <v>2964</v>
      </c>
      <c r="B59" s="2875" t="str">
        <f>估价对象房地状况!C17</f>
        <v>估价对象位于XX商圈，周边办公楼项目较多，入驻率高，办公集聚程度较好</v>
      </c>
      <c r="C59" s="2772"/>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2952</v>
      </c>
      <c r="B60" s="2876" t="str">
        <f>估价对象房地状况!C18</f>
        <v>估价对象周边道路状况、公共交通通达情况、停车便捷程度，综合评价交通便捷度较好</v>
      </c>
      <c r="C60" s="2772"/>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2953</v>
      </c>
      <c r="B61" s="2876">
        <f>估价对象房地状况!C19</f>
        <v>0</v>
      </c>
      <c r="C61" s="2772"/>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2954</v>
      </c>
      <c r="B62" s="2877" t="s">
        <v>2955</v>
      </c>
      <c r="C62" s="2772"/>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2956</v>
      </c>
      <c r="B63" s="2876">
        <f>估价对象房地状况!C24</f>
        <v>0</v>
      </c>
      <c r="C63" s="2772"/>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2957</v>
      </c>
      <c r="B64" s="2878" t="s">
        <v>2958</v>
      </c>
      <c r="C64" s="2772"/>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2959</v>
      </c>
      <c r="B65" s="1725" t="str">
        <f>估价对象房地状况!C21</f>
        <v>估价对象所在区域公共配套设施齐备情况</v>
      </c>
      <c r="C65" s="2772"/>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2960</v>
      </c>
      <c r="B66" s="1725" t="str">
        <f>估价对象房地状况!C22</f>
        <v>估价对象所在区域基础设施水平</v>
      </c>
      <c r="C66" s="2772"/>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2961</v>
      </c>
      <c r="B67" s="2882" t="str">
        <f>估价对象房地状况!C20</f>
        <v>区域自然环境：；人文环境；综合评价环境状况一般</v>
      </c>
      <c r="C67" s="2772"/>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2965</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2943</v>
      </c>
      <c r="B69" s="1809"/>
      <c r="C69" s="1809" t="s">
        <v>2945</v>
      </c>
      <c r="D69" s="1809" t="s">
        <v>2946</v>
      </c>
      <c r="E69" s="819" t="s">
        <v>2947</v>
      </c>
      <c r="F69" s="2873" t="s">
        <v>2963</v>
      </c>
      <c r="G69" s="1809" t="s">
        <v>754</v>
      </c>
      <c r="H69" s="2874" t="s">
        <v>2949</v>
      </c>
      <c r="I69" s="1809"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2966</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2952</v>
      </c>
      <c r="B71" s="2876" t="str">
        <f>估价对象房地状况!C18</f>
        <v>估价对象周边道路状况、公共交通通达情况、停车便捷程度，综合评价交通便捷度较好</v>
      </c>
      <c r="C71" s="2772"/>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2953</v>
      </c>
      <c r="B72" s="2876">
        <f>估价对象房地状况!C19</f>
        <v>0</v>
      </c>
      <c r="C72" s="2772"/>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2967</v>
      </c>
      <c r="B73" s="2876">
        <f>估价对象房地状况!C24</f>
        <v>0</v>
      </c>
      <c r="C73" s="2772"/>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2959</v>
      </c>
      <c r="B74" s="1725" t="str">
        <f>估价对象房地状况!C21</f>
        <v>估价对象所在区域公共配套设施齐备情况</v>
      </c>
      <c r="C74" s="2772"/>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2960</v>
      </c>
      <c r="B75" s="1725" t="str">
        <f>估价对象房地状况!C22</f>
        <v>估价对象所在区域基础设施水平</v>
      </c>
      <c r="C75" s="2772"/>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2957</v>
      </c>
      <c r="B76" s="2878" t="s">
        <v>2958</v>
      </c>
      <c r="C76" s="2772"/>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2961</v>
      </c>
      <c r="B77" s="2875" t="str">
        <f>估价对象房地状况!C20</f>
        <v>区域自然环境：；人文环境；综合评价环境状况一般</v>
      </c>
      <c r="C77" s="2772"/>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2968</v>
      </c>
      <c r="B78" s="2884"/>
      <c r="C78" s="2772"/>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2969</v>
      </c>
      <c r="B79" s="2869">
        <f>1+E81</f>
        <v>1</v>
      </c>
      <c r="C79" s="814"/>
      <c r="D79" s="814"/>
      <c r="E79" s="815"/>
      <c r="F79" s="2871"/>
      <c r="G79" s="6"/>
      <c r="H79" s="6"/>
      <c r="I79" s="6"/>
      <c r="J79" s="7"/>
      <c r="K79" s="7"/>
      <c r="L79" s="7"/>
      <c r="M79" s="7"/>
      <c r="N79" s="7"/>
      <c r="Z79" s="2722"/>
      <c r="AA79" s="2790"/>
      <c r="AG79" s="1372"/>
      <c r="AK79" s="2790"/>
    </row>
    <row r="80" spans="1:37" ht="24.75">
      <c r="A80" s="2872" t="s">
        <v>2943</v>
      </c>
      <c r="B80" s="1809"/>
      <c r="C80" s="1809" t="s">
        <v>2945</v>
      </c>
      <c r="D80" s="1809" t="s">
        <v>2946</v>
      </c>
      <c r="E80" s="819" t="s">
        <v>2947</v>
      </c>
      <c r="F80" s="2873" t="s">
        <v>2963</v>
      </c>
      <c r="G80" s="1809" t="s">
        <v>754</v>
      </c>
      <c r="H80" s="2874" t="s">
        <v>2949</v>
      </c>
      <c r="I80" s="1809" t="s">
        <v>2950</v>
      </c>
      <c r="J80" s="603" t="s">
        <v>2598</v>
      </c>
      <c r="K80" s="603" t="s">
        <v>2599</v>
      </c>
      <c r="L80" s="603" t="s">
        <v>2600</v>
      </c>
      <c r="M80" s="603" t="s">
        <v>2601</v>
      </c>
      <c r="N80" s="603" t="s">
        <v>2602</v>
      </c>
      <c r="Z80" s="2722"/>
      <c r="AA80" s="2790"/>
      <c r="AG80" s="1372"/>
      <c r="AK80" s="2790"/>
    </row>
    <row r="81" spans="1:37" ht="38.25">
      <c r="A81" s="2872" t="s">
        <v>2970</v>
      </c>
      <c r="B81" s="2876" t="str">
        <f>估价对象房地状况!G15</f>
        <v>估价对象位于XX开发区，园区建设成熟度XX，产业集聚程度XX</v>
      </c>
      <c r="C81" s="2772"/>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2952</v>
      </c>
      <c r="B82" s="2876" t="str">
        <f>估价对象房地状况!G16</f>
        <v>估价对象周边道路状况、公共交通通达情况、停车便捷程度，综合评价交通便捷度较好</v>
      </c>
      <c r="C82" s="2772"/>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2953</v>
      </c>
      <c r="B83" s="2876">
        <f>估价对象房地状况!G17</f>
        <v>0</v>
      </c>
      <c r="C83" s="2772"/>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2967</v>
      </c>
      <c r="B84" s="2876">
        <f>估价对象房地状况!G22</f>
        <v>0</v>
      </c>
      <c r="C84" s="2772"/>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2959</v>
      </c>
      <c r="B85" s="1725" t="str">
        <f>估价对象房地状况!G19</f>
        <v>估价对象所在区域公共配套设施齐备情况</v>
      </c>
      <c r="C85" s="2772"/>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2960</v>
      </c>
      <c r="B86" s="1725" t="str">
        <f>估价对象房地状况!G20</f>
        <v>估价对象所在区域基础设施水平</v>
      </c>
      <c r="C86" s="2772"/>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2957</v>
      </c>
      <c r="B87" s="2878" t="s">
        <v>2971</v>
      </c>
      <c r="C87" s="2772"/>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2972</v>
      </c>
      <c r="B88" s="2885" t="str">
        <f>估价对象房地状况!G18</f>
        <v>该园区内是否有污染型企业，绿化情况，卫生条件，整体环境状况判断</v>
      </c>
      <c r="C88" s="2772"/>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43" t="s">
        <v>2973</v>
      </c>
      <c r="B90" s="3343"/>
      <c r="C90" s="3343"/>
      <c r="D90" s="3343"/>
      <c r="E90" s="3343"/>
      <c r="F90" s="3343"/>
      <c r="G90" s="3343"/>
      <c r="H90" s="3343"/>
      <c r="I90" s="3343"/>
      <c r="J90" s="3343"/>
      <c r="K90" s="2886"/>
      <c r="L90" s="2886"/>
      <c r="M90" s="2886"/>
      <c r="N90" s="2886"/>
    </row>
    <row r="91" spans="1:37">
      <c r="A91" s="3345" t="s">
        <v>2974</v>
      </c>
      <c r="B91" s="3345" t="s">
        <v>2975</v>
      </c>
      <c r="C91" s="2840" t="s">
        <v>2976</v>
      </c>
      <c r="D91" s="2841"/>
      <c r="E91" s="2841"/>
      <c r="F91" s="2841"/>
      <c r="G91" s="2841"/>
      <c r="H91" s="2841"/>
      <c r="I91" s="2841"/>
      <c r="J91" s="2887"/>
      <c r="K91" s="2888"/>
      <c r="L91" s="2888"/>
      <c r="M91" s="2888"/>
      <c r="N91" s="2888"/>
    </row>
    <row r="92" spans="1:37">
      <c r="A92" s="3345"/>
      <c r="B92" s="334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46"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4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4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4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4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4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47"/>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4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46" t="s">
        <v>2978</v>
      </c>
      <c r="B101" s="2893" t="s">
        <v>2979</v>
      </c>
      <c r="C101" s="2894">
        <f>$G$3</f>
        <v>5.58</v>
      </c>
      <c r="D101" s="2894">
        <f t="shared" ref="D101:N101" si="31">$G$3</f>
        <v>5.58</v>
      </c>
      <c r="E101" s="2894">
        <f t="shared" si="31"/>
        <v>5.58</v>
      </c>
      <c r="F101" s="2894">
        <f t="shared" si="31"/>
        <v>5.58</v>
      </c>
      <c r="G101" s="2894">
        <f t="shared" si="31"/>
        <v>5.58</v>
      </c>
      <c r="H101" s="2894">
        <f t="shared" si="31"/>
        <v>5.58</v>
      </c>
      <c r="I101" s="2894">
        <f t="shared" si="31"/>
        <v>5.58</v>
      </c>
      <c r="J101" s="2894">
        <f t="shared" si="31"/>
        <v>5.58</v>
      </c>
      <c r="K101" s="2894">
        <f t="shared" si="31"/>
        <v>5.58</v>
      </c>
      <c r="L101" s="2894">
        <f t="shared" si="31"/>
        <v>5.58</v>
      </c>
      <c r="M101" s="2894">
        <f t="shared" si="31"/>
        <v>5.58</v>
      </c>
      <c r="N101" s="2894">
        <f t="shared" si="31"/>
        <v>5.58</v>
      </c>
    </row>
    <row r="102" spans="1:14">
      <c r="A102" s="3347"/>
      <c r="B102" s="2889">
        <v>1</v>
      </c>
      <c r="C102" s="2890">
        <f>1.9362/C101</f>
        <v>0.34698924731182795</v>
      </c>
      <c r="D102" s="2890">
        <f>1.9362/D101</f>
        <v>0.34698924731182795</v>
      </c>
      <c r="E102" s="2890">
        <f>1.8629/E101</f>
        <v>0.33385304659498205</v>
      </c>
      <c r="F102" s="2890">
        <f>1.8629/F101</f>
        <v>0.33385304659498205</v>
      </c>
      <c r="G102" s="2890">
        <f>1.8629/G101</f>
        <v>0.33385304659498205</v>
      </c>
      <c r="H102" s="2890">
        <f>1.8629/H101</f>
        <v>0.33385304659498205</v>
      </c>
      <c r="I102" s="2890">
        <f>1.8629/I101</f>
        <v>0.33385304659498205</v>
      </c>
      <c r="J102" s="2890">
        <f>1.942/J101</f>
        <v>0.34802867383512542</v>
      </c>
      <c r="K102" s="2890">
        <f>1.942/K101</f>
        <v>0.34802867383512542</v>
      </c>
      <c r="L102" s="2890">
        <f>1.942/L101</f>
        <v>0.34802867383512542</v>
      </c>
      <c r="M102" s="2890">
        <f>1.942/M101</f>
        <v>0.34802867383512542</v>
      </c>
      <c r="N102" s="2890">
        <f>1.942/N101</f>
        <v>0.34802867383512542</v>
      </c>
    </row>
    <row r="103" spans="1:14">
      <c r="A103" s="3347"/>
      <c r="B103" s="2889">
        <v>2</v>
      </c>
      <c r="C103" s="2890">
        <f>1.4198/C101</f>
        <v>0.25444444444444442</v>
      </c>
      <c r="D103" s="2890">
        <f>1.4198/D101</f>
        <v>0.25444444444444442</v>
      </c>
      <c r="E103" s="2890">
        <f>1.3372/E101</f>
        <v>0.23964157706093189</v>
      </c>
      <c r="F103" s="2890">
        <f>1.3372/F101</f>
        <v>0.23964157706093189</v>
      </c>
      <c r="G103" s="2890">
        <f>1.3372/G101</f>
        <v>0.23964157706093189</v>
      </c>
      <c r="H103" s="2890">
        <f>1.3372/H101</f>
        <v>0.23964157706093189</v>
      </c>
      <c r="I103" s="2890">
        <f>1.3372/I101</f>
        <v>0.23964157706093189</v>
      </c>
      <c r="J103" s="2890">
        <f>1.2799/J101</f>
        <v>0.22937275985663083</v>
      </c>
      <c r="K103" s="2890">
        <f>1.2799/K101</f>
        <v>0.22937275985663083</v>
      </c>
      <c r="L103" s="2890">
        <f>1.2799/L101</f>
        <v>0.22937275985663083</v>
      </c>
      <c r="M103" s="2890">
        <f>1.2799/M101</f>
        <v>0.22937275985663083</v>
      </c>
      <c r="N103" s="2890">
        <f>1.2799/N101</f>
        <v>0.22937275985663083</v>
      </c>
    </row>
    <row r="104" spans="1:14">
      <c r="A104" s="3347"/>
      <c r="B104" s="2889">
        <v>3</v>
      </c>
      <c r="C104" s="2890">
        <f>1.1594/C101</f>
        <v>0.20777777777777778</v>
      </c>
      <c r="D104" s="2890">
        <f>1.1594/D101</f>
        <v>0.20777777777777778</v>
      </c>
      <c r="E104" s="2890">
        <f>1.0788/E101</f>
        <v>0.19333333333333333</v>
      </c>
      <c r="F104" s="2890">
        <f>1.0788/F101</f>
        <v>0.19333333333333333</v>
      </c>
      <c r="G104" s="2890">
        <f>1.0788/G101</f>
        <v>0.19333333333333333</v>
      </c>
      <c r="H104" s="2890">
        <f>1.0788/H101</f>
        <v>0.19333333333333333</v>
      </c>
      <c r="I104" s="2890">
        <f>1.0788/I101</f>
        <v>0.19333333333333333</v>
      </c>
      <c r="J104" s="2890">
        <f>1.0072/J101</f>
        <v>0.18050179211469536</v>
      </c>
      <c r="K104" s="2890">
        <f>1.0072/K101</f>
        <v>0.18050179211469536</v>
      </c>
      <c r="L104" s="2890">
        <f>1.0072/L101</f>
        <v>0.18050179211469536</v>
      </c>
      <c r="M104" s="2890">
        <f>1.0072/M101</f>
        <v>0.18050179211469536</v>
      </c>
      <c r="N104" s="2890">
        <f>1.0072/N101</f>
        <v>0.18050179211469536</v>
      </c>
    </row>
    <row r="105" spans="1:14">
      <c r="A105" s="3347"/>
      <c r="B105" s="2889">
        <v>4</v>
      </c>
      <c r="C105" s="2890">
        <f>0.9622/C101</f>
        <v>0.17243727598566308</v>
      </c>
      <c r="D105" s="2890">
        <f>0.9622/D101</f>
        <v>0.17243727598566308</v>
      </c>
      <c r="E105" s="2890">
        <f>0.8656/E101</f>
        <v>0.15512544802867384</v>
      </c>
      <c r="F105" s="2890">
        <f>0.8656/F101</f>
        <v>0.15512544802867384</v>
      </c>
      <c r="G105" s="2890">
        <f>0.8656/G101</f>
        <v>0.15512544802867384</v>
      </c>
      <c r="H105" s="2890">
        <f>0.8656/H101</f>
        <v>0.15512544802867384</v>
      </c>
      <c r="I105" s="2890">
        <f>0.8656/I101</f>
        <v>0.15512544802867384</v>
      </c>
      <c r="J105" s="2890">
        <f>0.7525/J101</f>
        <v>0.13485663082437274</v>
      </c>
      <c r="K105" s="2890">
        <f>0.7525/K101</f>
        <v>0.13485663082437274</v>
      </c>
      <c r="L105" s="2890">
        <f>0.7525/L101</f>
        <v>0.13485663082437274</v>
      </c>
      <c r="M105" s="2890">
        <f>0.7525/M101</f>
        <v>0.13485663082437274</v>
      </c>
      <c r="N105" s="2890">
        <f>0.7525/N101</f>
        <v>0.13485663082437274</v>
      </c>
    </row>
    <row r="106" spans="1:14">
      <c r="A106" s="3347"/>
      <c r="B106" s="2889">
        <v>5</v>
      </c>
      <c r="C106" s="2890">
        <f>0.8417/C101</f>
        <v>0.15084229390681003</v>
      </c>
      <c r="D106" s="2890">
        <f>0.8417/D101</f>
        <v>0.15084229390681003</v>
      </c>
      <c r="E106" s="2890">
        <f>0.7371/E101</f>
        <v>0.13209677419354837</v>
      </c>
      <c r="F106" s="2890">
        <f>0.7371/F101</f>
        <v>0.13209677419354837</v>
      </c>
      <c r="G106" s="2890">
        <f>0.7371/G101</f>
        <v>0.13209677419354837</v>
      </c>
      <c r="H106" s="2890">
        <f>0.7371/H101</f>
        <v>0.13209677419354837</v>
      </c>
      <c r="I106" s="2890">
        <f>0.7371/I101</f>
        <v>0.13209677419354837</v>
      </c>
      <c r="J106" s="2890">
        <f>0.5659/J101</f>
        <v>0.10141577060931899</v>
      </c>
      <c r="K106" s="2890">
        <f>0.5659/K101</f>
        <v>0.10141577060931899</v>
      </c>
      <c r="L106" s="2890">
        <f>0.5659/L101</f>
        <v>0.10141577060931899</v>
      </c>
      <c r="M106" s="2890">
        <f>0.5659/M101</f>
        <v>0.10141577060931899</v>
      </c>
      <c r="N106" s="2890">
        <f>0.5659/N101</f>
        <v>0.10141577060931899</v>
      </c>
    </row>
    <row r="107" spans="1:14">
      <c r="A107" s="3347"/>
      <c r="B107" s="2889">
        <v>6</v>
      </c>
      <c r="C107" s="2890">
        <f>0.7608/C101</f>
        <v>0.13634408602150538</v>
      </c>
      <c r="D107" s="2890">
        <f>0.7608/D101</f>
        <v>0.13634408602150538</v>
      </c>
      <c r="E107" s="2890">
        <f>0.6482/E101</f>
        <v>0.11616487455197133</v>
      </c>
      <c r="F107" s="2890">
        <f>0.6482/F101</f>
        <v>0.11616487455197133</v>
      </c>
      <c r="G107" s="2890">
        <f>0.6482/G101</f>
        <v>0.11616487455197133</v>
      </c>
      <c r="H107" s="2890">
        <f>0.6482/H101</f>
        <v>0.11616487455197133</v>
      </c>
      <c r="I107" s="2890">
        <f>0.6482/I101</f>
        <v>0.11616487455197133</v>
      </c>
      <c r="J107" s="2890">
        <f>0.4525/J101</f>
        <v>8.1093189964157708E-2</v>
      </c>
      <c r="K107" s="2890">
        <f>0.4525/K101</f>
        <v>8.1093189964157708E-2</v>
      </c>
      <c r="L107" s="2890">
        <f>0.4525/L101</f>
        <v>8.1093189964157708E-2</v>
      </c>
      <c r="M107" s="2890">
        <f>0.4525/M101</f>
        <v>8.1093189964157708E-2</v>
      </c>
      <c r="N107" s="2890">
        <f>0.4525/N101</f>
        <v>8.1093189964157708E-2</v>
      </c>
    </row>
    <row r="108" spans="1:14">
      <c r="A108" s="3347"/>
      <c r="B108" s="3198"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48"/>
      <c r="B109" s="3199"/>
      <c r="C109" s="2892">
        <f>(-0.163*(C108^2)-0.59*C108+7617)*(10^(-4))/C101</f>
        <v>0.13650537634408602</v>
      </c>
      <c r="D109" s="2892">
        <f>(-0.163*(D108^2)-0.59*D108+7617)*(10^(-4))/D101</f>
        <v>0.13650537634408602</v>
      </c>
      <c r="E109" s="2892">
        <f>(-0.161*(E108^2)-7.509*E108+6533)*(10^(-4))/E101</f>
        <v>0.11707885304659497</v>
      </c>
      <c r="F109" s="2892">
        <f>(-0.161*(F108^2)-7.509*F108+6533)*(10^(-4))/F101</f>
        <v>0.11707885304659497</v>
      </c>
      <c r="G109" s="2892">
        <f>(-0.161*(G108^2)-7.509*G108+6533)*(10^(-4))/G101</f>
        <v>0.11707885304659497</v>
      </c>
      <c r="H109" s="2892">
        <f>(-0.161*(H108^2)-7.509*H108+6533)*(10^(-4))/H101</f>
        <v>0.11707885304659497</v>
      </c>
      <c r="I109" s="2892">
        <f>(-0.161*(I108^2)-7.509*I108+6533)*(10^(-4))/I101</f>
        <v>0.11707885304659497</v>
      </c>
      <c r="J109" s="2892">
        <f>(-0.214*(J108^2)-21.991*J108+4665)*(10^(-4))/J101</f>
        <v>8.3602150537634409E-2</v>
      </c>
      <c r="K109" s="2892">
        <f>(-0.214*(K108^2)-21.991*K108+4665)*(10^(-4))/K101</f>
        <v>8.3602150537634409E-2</v>
      </c>
      <c r="L109" s="2892">
        <f>(-0.214*(L108^2)-21.991*L108+4665)*(10^(-4))/L101</f>
        <v>8.3602150537634409E-2</v>
      </c>
      <c r="M109" s="2892">
        <f>(-0.214*(M108^2)-21.991*M108+4665)*(10^(-4))/M101</f>
        <v>8.3602150537634409E-2</v>
      </c>
      <c r="N109" s="2892">
        <f>(-0.214*(N108^2)-21.991*N108+4665)*(10^(-4))/N101</f>
        <v>8.3602150537634409E-2</v>
      </c>
    </row>
    <row r="110" spans="1:14">
      <c r="A110" s="3344" t="s">
        <v>2981</v>
      </c>
      <c r="B110" s="3344"/>
      <c r="C110" s="3344"/>
      <c r="D110" s="3344"/>
      <c r="E110" s="3344"/>
      <c r="F110" s="3344"/>
      <c r="G110" s="3344"/>
      <c r="H110" s="3344"/>
      <c r="I110" s="3344"/>
      <c r="J110" s="3344"/>
      <c r="K110" s="2895"/>
      <c r="L110" s="2895"/>
      <c r="M110" s="2895"/>
      <c r="N110" s="2895"/>
    </row>
    <row r="112" spans="1:14" ht="13.5" thickBot="1"/>
    <row r="113" spans="1:13" ht="25.5" thickBot="1">
      <c r="A113" s="903" t="s">
        <v>2982</v>
      </c>
      <c r="B113" s="1287">
        <f>G3</f>
        <v>5.58</v>
      </c>
      <c r="C113" s="904" t="s">
        <v>2983</v>
      </c>
      <c r="D113" s="905">
        <f>SUMPRODUCT((A115:A118=F113)*(B114:M114=H113)*B115:M118)</f>
        <v>0</v>
      </c>
      <c r="E113" s="2726" t="s">
        <v>2815</v>
      </c>
      <c r="F113" s="2897">
        <f>E2</f>
        <v>0</v>
      </c>
      <c r="G113" s="2726" t="s">
        <v>2816</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2880</v>
      </c>
      <c r="B115" s="910">
        <f>ROUND(0.9335-0.0094*B113,4)</f>
        <v>0.88100000000000001</v>
      </c>
      <c r="C115" s="910">
        <f>B115</f>
        <v>0.88100000000000001</v>
      </c>
      <c r="D115" s="910">
        <f>ROUND(0.8331-0.0109*B113,4)</f>
        <v>0.77229999999999999</v>
      </c>
      <c r="E115" s="910">
        <f>D115</f>
        <v>0.77229999999999999</v>
      </c>
      <c r="F115" s="910">
        <f>E115</f>
        <v>0.77229999999999999</v>
      </c>
      <c r="G115" s="910">
        <f>F115</f>
        <v>0.77229999999999999</v>
      </c>
      <c r="H115" s="910">
        <f>G115</f>
        <v>0.77229999999999999</v>
      </c>
      <c r="I115" s="910">
        <f>ROUND(0.689-0.0155*B113,4)</f>
        <v>0.60250000000000004</v>
      </c>
      <c r="J115" s="910">
        <f t="shared" ref="J115:M118" si="33">I115</f>
        <v>0.60250000000000004</v>
      </c>
      <c r="K115" s="910">
        <f t="shared" si="33"/>
        <v>0.60250000000000004</v>
      </c>
      <c r="L115" s="910">
        <f t="shared" si="33"/>
        <v>0.60250000000000004</v>
      </c>
      <c r="M115" s="911">
        <f t="shared" si="33"/>
        <v>0.60250000000000004</v>
      </c>
    </row>
    <row r="116" spans="1:13">
      <c r="A116" s="909" t="s">
        <v>2881</v>
      </c>
      <c r="B116" s="910">
        <f>ROUND(0.949-0.012*B113,4)</f>
        <v>0.88200000000000001</v>
      </c>
      <c r="C116" s="910">
        <f>B116</f>
        <v>0.88200000000000001</v>
      </c>
      <c r="D116" s="910">
        <f>ROUND(0.8567-0.013*B113,4)</f>
        <v>0.78420000000000001</v>
      </c>
      <c r="E116" s="910">
        <f t="shared" ref="E116:H117" si="34">D116</f>
        <v>0.78420000000000001</v>
      </c>
      <c r="F116" s="910">
        <f t="shared" si="34"/>
        <v>0.78420000000000001</v>
      </c>
      <c r="G116" s="910">
        <f t="shared" si="34"/>
        <v>0.78420000000000001</v>
      </c>
      <c r="H116" s="910">
        <f t="shared" si="34"/>
        <v>0.78420000000000001</v>
      </c>
      <c r="I116" s="910">
        <f>ROUND(0.7694-0.014*B113,4)</f>
        <v>0.69130000000000003</v>
      </c>
      <c r="J116" s="910">
        <f t="shared" si="33"/>
        <v>0.69130000000000003</v>
      </c>
      <c r="K116" s="910">
        <f t="shared" si="33"/>
        <v>0.69130000000000003</v>
      </c>
      <c r="L116" s="910">
        <f t="shared" si="33"/>
        <v>0.69130000000000003</v>
      </c>
      <c r="M116" s="911">
        <f t="shared" si="33"/>
        <v>0.69130000000000003</v>
      </c>
    </row>
    <row r="117" spans="1:13">
      <c r="A117" s="909" t="s">
        <v>2882</v>
      </c>
      <c r="B117" s="910">
        <f>ROUND(0.8808-0.006*B113,4)</f>
        <v>0.84730000000000005</v>
      </c>
      <c r="C117" s="910">
        <f>B117</f>
        <v>0.84730000000000005</v>
      </c>
      <c r="D117" s="910">
        <f>ROUND(0.8748-0.008*B113,4)</f>
        <v>0.83020000000000005</v>
      </c>
      <c r="E117" s="910">
        <f t="shared" si="34"/>
        <v>0.83020000000000005</v>
      </c>
      <c r="F117" s="910">
        <f t="shared" si="34"/>
        <v>0.83020000000000005</v>
      </c>
      <c r="G117" s="910">
        <f t="shared" si="34"/>
        <v>0.83020000000000005</v>
      </c>
      <c r="H117" s="910">
        <f t="shared" si="34"/>
        <v>0.83020000000000005</v>
      </c>
      <c r="I117" s="910">
        <f>ROUND(0.7412-0.0095*B113,4)</f>
        <v>0.68820000000000003</v>
      </c>
      <c r="J117" s="910">
        <f t="shared" si="33"/>
        <v>0.68820000000000003</v>
      </c>
      <c r="K117" s="910">
        <f t="shared" si="33"/>
        <v>0.68820000000000003</v>
      </c>
      <c r="L117" s="910">
        <f t="shared" si="33"/>
        <v>0.68820000000000003</v>
      </c>
      <c r="M117" s="911">
        <f t="shared" si="33"/>
        <v>0.68820000000000003</v>
      </c>
    </row>
    <row r="118" spans="1:13" ht="13.5" thickBot="1">
      <c r="A118" s="714" t="s">
        <v>2883</v>
      </c>
      <c r="B118" s="912">
        <f>ROUND(0.7275-0.01*B113,4)</f>
        <v>0.67169999999999996</v>
      </c>
      <c r="C118" s="912">
        <f>B118</f>
        <v>0.67169999999999996</v>
      </c>
      <c r="D118" s="912">
        <f>ROUND(0.7043-0.012*B113,4)</f>
        <v>0.63729999999999998</v>
      </c>
      <c r="E118" s="912">
        <f>D118</f>
        <v>0.63729999999999998</v>
      </c>
      <c r="F118" s="912">
        <f>E118</f>
        <v>0.63729999999999998</v>
      </c>
      <c r="G118" s="912">
        <f>ROUND(0.6299-0.0122*B113,4)</f>
        <v>0.56179999999999997</v>
      </c>
      <c r="H118" s="912">
        <f>G118</f>
        <v>0.56179999999999997</v>
      </c>
      <c r="I118" s="912">
        <f>ROUND(0.5667-0.0136*B113,4)</f>
        <v>0.49080000000000001</v>
      </c>
      <c r="J118" s="912">
        <f t="shared" si="33"/>
        <v>0.49080000000000001</v>
      </c>
      <c r="K118" s="912">
        <f t="shared" si="33"/>
        <v>0.49080000000000001</v>
      </c>
      <c r="L118" s="912">
        <f t="shared" si="33"/>
        <v>0.49080000000000001</v>
      </c>
      <c r="M118" s="913">
        <f t="shared" si="33"/>
        <v>0.49080000000000001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60"/>
      <c r="B4" s="3043" t="s">
        <v>1625</v>
      </c>
      <c r="C4" s="3043"/>
      <c r="D4" s="3043"/>
      <c r="E4" s="1960"/>
    </row>
    <row r="5" spans="1:5" ht="16.5" thickTop="1">
      <c r="A5" s="1958"/>
      <c r="B5" s="3041" t="s">
        <v>1617</v>
      </c>
      <c r="C5" s="1961" t="s">
        <v>1618</v>
      </c>
      <c r="D5" s="1040">
        <f ca="1">结果表!H101</f>
        <v>1868</v>
      </c>
      <c r="E5" s="1958"/>
    </row>
    <row r="6" spans="1:5" ht="15.75">
      <c r="A6" s="1958"/>
      <c r="B6" s="3041"/>
      <c r="C6" s="1961" t="s">
        <v>1619</v>
      </c>
      <c r="D6" s="1040" t="str">
        <f ca="1">NUMBERSTRING(INT(D5*10000),2)&amp;"元整"</f>
        <v>壹仟捌佰陆拾捌万元整</v>
      </c>
      <c r="E6" s="1958"/>
    </row>
    <row r="7" spans="1:5" ht="15.75">
      <c r="A7" s="1958"/>
      <c r="B7" s="3046"/>
      <c r="C7" s="1962" t="s">
        <v>1620</v>
      </c>
      <c r="D7" s="1041">
        <f ca="1">结果表!H102</f>
        <v>58777</v>
      </c>
      <c r="E7" s="1958"/>
    </row>
    <row r="8" spans="1:5" ht="15.75">
      <c r="A8" s="1958"/>
      <c r="B8" s="3047" t="str">
        <f>结果表!E103</f>
        <v>2.估价师知悉的法定优先受偿款</v>
      </c>
      <c r="C8" s="1963" t="s">
        <v>1621</v>
      </c>
      <c r="D8" s="1041">
        <f>结果表!H103</f>
        <v>0</v>
      </c>
      <c r="E8" s="1958"/>
    </row>
    <row r="9" spans="1:5" ht="15.75">
      <c r="A9" s="1958"/>
      <c r="B9" s="3049"/>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40" t="str">
        <f>结果表!E107</f>
        <v>3.房地产抵押价值</v>
      </c>
      <c r="C13" s="1966" t="s">
        <v>1618</v>
      </c>
      <c r="D13" s="1043">
        <f ca="1">结果表!H107</f>
        <v>1868</v>
      </c>
      <c r="E13" s="1958"/>
    </row>
    <row r="14" spans="1:5" ht="15.75">
      <c r="A14" s="1958"/>
      <c r="B14" s="3041"/>
      <c r="C14" s="1961" t="s">
        <v>1619</v>
      </c>
      <c r="D14" s="1040" t="str">
        <f ca="1">NUMBERSTRING(INT(D13*10000),2)&amp;"元整"</f>
        <v>壹仟捌佰陆拾捌万元整</v>
      </c>
      <c r="E14" s="1958"/>
    </row>
    <row r="15" spans="1:5" ht="15">
      <c r="A15" s="1958"/>
      <c r="B15" s="3046"/>
      <c r="C15" s="1962" t="s">
        <v>1629</v>
      </c>
      <c r="D15" s="1052">
        <f ca="1">结果表!H108</f>
        <v>58777</v>
      </c>
      <c r="E15" s="1958"/>
    </row>
    <row r="16" spans="1:5" ht="15">
      <c r="A16" s="1958"/>
      <c r="B16" s="3047" t="str">
        <f>结果表!E109</f>
        <v>——</v>
      </c>
      <c r="C16" s="1966" t="s">
        <v>1630</v>
      </c>
      <c r="D16" s="1967" t="str">
        <f>结果表!H109</f>
        <v>——</v>
      </c>
      <c r="E16" s="1958"/>
    </row>
    <row r="17" spans="1:5" ht="15.75">
      <c r="A17" s="1958"/>
      <c r="B17" s="3048"/>
      <c r="C17" s="1961" t="s">
        <v>1631</v>
      </c>
      <c r="D17" s="1040" t="e">
        <f>NUMBERSTRING(INT(D16*10000),2)&amp;"元整"</f>
        <v>#VALUE!</v>
      </c>
      <c r="E17" s="1958"/>
    </row>
    <row r="18" spans="1:5" ht="15">
      <c r="A18" s="1958"/>
      <c r="B18" s="3049"/>
      <c r="C18" s="1962" t="s">
        <v>1620</v>
      </c>
      <c r="D18" s="1052" t="str">
        <f>结果表!H110</f>
        <v>——</v>
      </c>
      <c r="E18" s="1958"/>
    </row>
    <row r="19" spans="1:5" ht="15.75">
      <c r="A19" s="1958"/>
      <c r="B19" s="3040" t="str">
        <f>结果表!E111</f>
        <v>——</v>
      </c>
      <c r="C19" s="1966" t="s">
        <v>1618</v>
      </c>
      <c r="D19" s="1041" t="str">
        <f>结果表!H111</f>
        <v>——</v>
      </c>
      <c r="E19" s="1958"/>
    </row>
    <row r="20" spans="1:5" ht="15.75">
      <c r="A20" s="1958"/>
      <c r="B20" s="3041"/>
      <c r="C20" s="1961" t="s">
        <v>1631</v>
      </c>
      <c r="D20" s="1040" t="e">
        <f>NUMBERSTRING(INT(D19*10000),2)&amp;"元整"</f>
        <v>#VALUE!</v>
      </c>
      <c r="E20" s="1958"/>
    </row>
    <row r="21" spans="1:5" ht="15.75" thickBot="1">
      <c r="A21" s="1958"/>
      <c r="B21" s="304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8">
        <f ca="1">SUMIF(INDIRECT("'"&amp;A6&amp;"'"&amp;"!C:C"),"建筑面积",INDIRECT("'"&amp;A6&amp;"'"&amp;"!D:D"))</f>
        <v>0</v>
      </c>
    </row>
    <row r="7" spans="1:5" ht="15.75">
      <c r="A7" s="2909"/>
      <c r="B7" s="2905" t="e">
        <f ca="1">SUMIF(INDIRECT("'"&amp;A7&amp;"'"&amp;"!A:A"),"总价",INDIRECT("'"&amp;A7&amp;"'"&amp;"!B:B"))</f>
        <v>#REF!</v>
      </c>
      <c r="C7" s="2904" t="s">
        <v>2997</v>
      </c>
      <c r="D7" s="2906"/>
      <c r="E7" s="2578"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8" t="e">
        <f t="shared" ca="1" si="0"/>
        <v>#REF!</v>
      </c>
    </row>
    <row r="9" spans="1:5" ht="15.75">
      <c r="A9" s="2909"/>
      <c r="B9" s="2905" t="e">
        <f t="shared" ca="1" si="1"/>
        <v>#REF!</v>
      </c>
      <c r="C9" s="2904" t="s">
        <v>2997</v>
      </c>
      <c r="D9" s="2906"/>
      <c r="E9" s="2578" t="e">
        <f t="shared" ca="1" si="0"/>
        <v>#REF!</v>
      </c>
    </row>
    <row r="10" spans="1:5" ht="15.75">
      <c r="A10" s="2909"/>
      <c r="B10" s="2905" t="e">
        <f t="shared" ca="1" si="1"/>
        <v>#REF!</v>
      </c>
      <c r="C10" s="2904" t="s">
        <v>2997</v>
      </c>
      <c r="D10" s="2906"/>
      <c r="E10" s="2578" t="e">
        <f t="shared" ca="1" si="0"/>
        <v>#REF!</v>
      </c>
    </row>
    <row r="11" spans="1:5" ht="15.75">
      <c r="A11" s="2909"/>
      <c r="B11" s="2905" t="e">
        <f t="shared" ca="1" si="1"/>
        <v>#REF!</v>
      </c>
      <c r="C11" s="2904" t="s">
        <v>2997</v>
      </c>
      <c r="D11" s="2906"/>
      <c r="E11" s="2578" t="e">
        <f t="shared" ca="1" si="0"/>
        <v>#REF!</v>
      </c>
    </row>
    <row r="12" spans="1:5" ht="15.75">
      <c r="A12" s="2909"/>
      <c r="B12" s="2905" t="e">
        <f t="shared" ca="1" si="1"/>
        <v>#REF!</v>
      </c>
      <c r="C12" s="2904" t="s">
        <v>2997</v>
      </c>
      <c r="D12" s="2906"/>
      <c r="E12" s="2578" t="e">
        <f t="shared" ca="1" si="0"/>
        <v>#REF!</v>
      </c>
    </row>
    <row r="13" spans="1:5" ht="15.75">
      <c r="A13" s="2909"/>
      <c r="B13" s="2905" t="e">
        <f t="shared" ca="1" si="1"/>
        <v>#REF!</v>
      </c>
      <c r="C13" s="2904" t="s">
        <v>2997</v>
      </c>
      <c r="D13" s="2906"/>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0" t="s">
        <v>1146</v>
      </c>
      <c r="C1" s="3360"/>
      <c r="D1" s="3360"/>
      <c r="E1" s="3360"/>
      <c r="F1" s="3360"/>
      <c r="G1" s="3359" t="s">
        <v>1147</v>
      </c>
      <c r="H1" s="3359"/>
      <c r="I1" s="3359"/>
      <c r="J1" s="3359"/>
      <c r="K1" s="3359"/>
      <c r="L1" s="3359"/>
      <c r="N1" s="3359" t="s">
        <v>1148</v>
      </c>
      <c r="O1" s="3359"/>
      <c r="P1" s="3359"/>
      <c r="Q1" s="3359"/>
      <c r="R1" s="1446"/>
      <c r="S1" s="3359" t="s">
        <v>1149</v>
      </c>
      <c r="T1" s="3359"/>
      <c r="U1" s="3359"/>
      <c r="V1" s="3359"/>
      <c r="X1" s="3358" t="s">
        <v>1150</v>
      </c>
      <c r="Y1" s="3359"/>
      <c r="Z1" s="3359"/>
      <c r="AA1" s="3359"/>
      <c r="AB1" s="3359"/>
      <c r="AD1" s="3358" t="s">
        <v>1151</v>
      </c>
      <c r="AE1" s="3359"/>
      <c r="AF1" s="3359"/>
      <c r="AG1" s="3359"/>
      <c r="AH1" s="335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3037</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76">
        <v>1.53</v>
      </c>
      <c r="J6" s="2976">
        <v>1.01</v>
      </c>
      <c r="K6" s="2976">
        <v>1.62</v>
      </c>
      <c r="L6" s="297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35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5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5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65"/>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361">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5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5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65"/>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61">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5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5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5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5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5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5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5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5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5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5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5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62">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63"/>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63"/>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64"/>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5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5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5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5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5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5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5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5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5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5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5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5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5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5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5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5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5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5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5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5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5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5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5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5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5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5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5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5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5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5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5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5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5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5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5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5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5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5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5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5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5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5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5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5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30888</v>
      </c>
      <c r="C2" s="2" t="s">
        <v>133</v>
      </c>
      <c r="D2" s="243"/>
      <c r="E2" s="243"/>
      <c r="F2" s="243"/>
      <c r="G2" s="243"/>
    </row>
    <row r="3" spans="1:7" s="244" customFormat="1" ht="18" customHeight="1" thickBot="1">
      <c r="A3" s="247" t="s">
        <v>85</v>
      </c>
      <c r="B3" s="248">
        <f ca="1">ROUND(B2*10000/'数据-汇总表'!E3,0)</f>
        <v>971901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v>
      </c>
      <c r="D10" s="1032">
        <f>'数据-汇总表'!E6</f>
        <v>317.81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v>
      </c>
      <c r="D19" s="1036">
        <f>'数据-汇总表'!E3</f>
        <v>317.81</v>
      </c>
      <c r="E19" s="255">
        <f>'数据-取费表'!B31</f>
        <v>200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5257</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5257</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v>
      </c>
      <c r="D37" s="261">
        <f>'数据-汇总表'!E3</f>
        <v>317.81</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v>
      </c>
      <c r="D42" s="282"/>
      <c r="E42" s="282"/>
      <c r="F42" s="283"/>
      <c r="G42" s="3225" t="s">
        <v>121</v>
      </c>
    </row>
    <row r="43" spans="1:7" ht="13.5" customHeight="1">
      <c r="A43" s="951" t="s">
        <v>792</v>
      </c>
      <c r="B43" s="259" t="s">
        <v>1061</v>
      </c>
      <c r="C43" s="282">
        <f ca="1">ROUND(IF('数据-取费表'!B22&lt;=1,C39*F22*'数据-取费表'!B21/2,C39*(POWER((1+F22),'数据-取费表'!B21/2)-1)),0)</f>
        <v>0</v>
      </c>
      <c r="D43" s="282"/>
      <c r="E43" s="282"/>
      <c r="F43" s="283"/>
      <c r="G43" s="3226"/>
    </row>
    <row r="44" spans="1:7" ht="13.5" customHeight="1">
      <c r="A44" s="951" t="s">
        <v>793</v>
      </c>
      <c r="B44" s="259" t="s">
        <v>1063</v>
      </c>
      <c r="C44" s="282">
        <f ca="1">ROUND(IF('数据-取费表'!B22&lt;=1,C40*F22*'数据-取费表'!B21/2,C40*(POWER((1+F22),'数据-取费表'!B21/2)-1)),4)</f>
        <v>1E-3</v>
      </c>
      <c r="D44" s="282"/>
      <c r="E44" s="282"/>
      <c r="F44" s="283"/>
      <c r="G44" s="3227"/>
    </row>
    <row r="45" spans="1:7" s="258" customFormat="1" ht="13.5" customHeight="1">
      <c r="A45" s="948" t="s">
        <v>786</v>
      </c>
      <c r="B45" s="288" t="s">
        <v>112</v>
      </c>
      <c r="C45" s="289">
        <f>C46</f>
        <v>27</v>
      </c>
      <c r="D45" s="279">
        <f>C47</f>
        <v>5.0000000000000001E-3</v>
      </c>
      <c r="E45" s="280" t="s">
        <v>129</v>
      </c>
      <c r="F45" s="290"/>
      <c r="G45" s="291" t="s">
        <v>1069</v>
      </c>
    </row>
    <row r="46" spans="1:7" s="258" customFormat="1" ht="13.5" customHeight="1">
      <c r="A46" s="951" t="s">
        <v>794</v>
      </c>
      <c r="B46" s="292" t="s">
        <v>1062</v>
      </c>
      <c r="C46" s="293">
        <f>ROUND((C33+C39)*F27,0)</f>
        <v>27</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151</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139</v>
      </c>
      <c r="D51" s="276"/>
      <c r="E51" s="276"/>
      <c r="F51" s="308"/>
      <c r="G51" s="278" t="s">
        <v>64</v>
      </c>
    </row>
    <row r="52" spans="1:7" s="252" customFormat="1" ht="16.5" thickBot="1">
      <c r="A52" s="309" t="s">
        <v>65</v>
      </c>
      <c r="B52" s="310"/>
      <c r="C52" s="311">
        <f ca="1">C31+C51</f>
        <v>30888</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6" t="s">
        <v>156</v>
      </c>
      <c r="B1" s="3366"/>
      <c r="C1" s="3366"/>
      <c r="D1" s="3366"/>
      <c r="E1" s="3366"/>
      <c r="F1" s="336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7" t="s">
        <v>169</v>
      </c>
      <c r="B2" s="3367"/>
      <c r="C2" s="3367"/>
      <c r="D2" s="3367"/>
      <c r="E2" s="3367"/>
      <c r="F2" s="336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6" t="s">
        <v>868</v>
      </c>
      <c r="B1" s="336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43707</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workbookViewId="0">
      <selection activeCell="N22" sqref="N22"/>
    </sheetView>
  </sheetViews>
  <sheetFormatPr defaultRowHeight="13.5"/>
  <sheetData>
    <row r="1" spans="1:12" ht="30" thickBot="1">
      <c r="A1" s="3380" t="s">
        <v>3072</v>
      </c>
      <c r="B1" s="3380"/>
      <c r="C1" s="3380"/>
      <c r="D1" s="3380"/>
      <c r="E1" s="3380"/>
      <c r="F1" s="3380"/>
      <c r="G1" s="3380"/>
      <c r="H1" s="3380"/>
      <c r="I1" s="3380"/>
      <c r="J1" s="3380"/>
      <c r="K1" s="2980"/>
    </row>
    <row r="2" spans="1:12">
      <c r="A2" s="3381" t="s">
        <v>3073</v>
      </c>
      <c r="B2" s="3381" t="s">
        <v>3074</v>
      </c>
      <c r="C2" s="3383" t="s">
        <v>3075</v>
      </c>
      <c r="D2" s="3385" t="s">
        <v>3076</v>
      </c>
      <c r="E2" s="3387"/>
      <c r="F2" s="3387"/>
      <c r="G2" s="3387"/>
      <c r="H2" s="3387"/>
      <c r="I2" s="3388" t="s">
        <v>3077</v>
      </c>
      <c r="J2" s="3390" t="s">
        <v>3078</v>
      </c>
      <c r="K2" s="2981"/>
    </row>
    <row r="3" spans="1:12" ht="24">
      <c r="A3" s="3382"/>
      <c r="B3" s="3382"/>
      <c r="C3" s="3384"/>
      <c r="D3" s="3386"/>
      <c r="E3" s="2982" t="s">
        <v>3079</v>
      </c>
      <c r="F3" s="2982" t="s">
        <v>3080</v>
      </c>
      <c r="G3" s="2982" t="s">
        <v>3081</v>
      </c>
      <c r="H3" s="2982" t="s">
        <v>3082</v>
      </c>
      <c r="I3" s="3389"/>
      <c r="J3" s="3391"/>
      <c r="K3" s="2981"/>
    </row>
    <row r="4" spans="1:12">
      <c r="A4" s="3370" t="s">
        <v>3083</v>
      </c>
      <c r="B4" s="2983">
        <v>1</v>
      </c>
      <c r="C4" s="2984">
        <v>1021</v>
      </c>
      <c r="D4" s="2984">
        <v>2</v>
      </c>
      <c r="E4" s="2985">
        <v>724.71</v>
      </c>
      <c r="F4" s="2985">
        <v>453.94</v>
      </c>
      <c r="G4" s="2986">
        <v>0</v>
      </c>
      <c r="H4" s="2986"/>
      <c r="I4" s="2984" t="s">
        <v>3084</v>
      </c>
      <c r="J4" s="2987" t="s">
        <v>3085</v>
      </c>
      <c r="K4" s="2985">
        <f>ROUND(E4/85965.7*15400,2)</f>
        <v>129.83000000000001</v>
      </c>
    </row>
    <row r="5" spans="1:12">
      <c r="A5" s="3371"/>
      <c r="B5" s="2983">
        <v>2</v>
      </c>
      <c r="C5" s="2984">
        <v>1023</v>
      </c>
      <c r="D5" s="2984">
        <v>2</v>
      </c>
      <c r="E5" s="2985">
        <v>815.04</v>
      </c>
      <c r="F5" s="2985">
        <v>510.52</v>
      </c>
      <c r="G5" s="2986">
        <v>0</v>
      </c>
      <c r="H5" s="2986"/>
      <c r="I5" s="2984" t="s">
        <v>3084</v>
      </c>
      <c r="J5" s="2987" t="s">
        <v>3085</v>
      </c>
      <c r="K5" s="2985">
        <f t="shared" ref="K5:K41" si="0">ROUND(E5/85965.7*15400,2)</f>
        <v>146.01</v>
      </c>
    </row>
    <row r="6" spans="1:12">
      <c r="A6" s="3371"/>
      <c r="B6" s="2988">
        <v>3</v>
      </c>
      <c r="C6" s="2984">
        <v>12201</v>
      </c>
      <c r="D6" s="2984">
        <v>19</v>
      </c>
      <c r="E6" s="2985">
        <v>105.91</v>
      </c>
      <c r="F6" s="2985">
        <v>66.34</v>
      </c>
      <c r="G6" s="2986">
        <v>0</v>
      </c>
      <c r="H6" s="2986"/>
      <c r="I6" s="2984" t="s">
        <v>3086</v>
      </c>
      <c r="J6" s="2987" t="s">
        <v>3087</v>
      </c>
      <c r="K6" s="2985">
        <f t="shared" si="0"/>
        <v>18.97</v>
      </c>
    </row>
    <row r="7" spans="1:12">
      <c r="A7" s="3371"/>
      <c r="B7" s="2988">
        <v>4</v>
      </c>
      <c r="C7" s="2984">
        <v>12202</v>
      </c>
      <c r="D7" s="2984">
        <v>19</v>
      </c>
      <c r="E7" s="2985">
        <v>317.81</v>
      </c>
      <c r="F7" s="2985">
        <v>199.07</v>
      </c>
      <c r="G7" s="2986">
        <v>0</v>
      </c>
      <c r="H7" s="2986"/>
      <c r="I7" s="2984" t="s">
        <v>3086</v>
      </c>
      <c r="J7" s="2987" t="s">
        <v>3087</v>
      </c>
      <c r="K7" s="2985">
        <f t="shared" si="0"/>
        <v>56.93</v>
      </c>
      <c r="L7" s="3018" t="s">
        <v>3119</v>
      </c>
    </row>
    <row r="8" spans="1:12">
      <c r="A8" s="3371"/>
      <c r="B8" s="2988">
        <v>5</v>
      </c>
      <c r="C8" s="2984">
        <v>12203</v>
      </c>
      <c r="D8" s="2984">
        <v>19</v>
      </c>
      <c r="E8" s="2985">
        <v>160.43</v>
      </c>
      <c r="F8" s="2985">
        <v>100.49</v>
      </c>
      <c r="G8" s="2986">
        <v>0</v>
      </c>
      <c r="H8" s="2986"/>
      <c r="I8" s="2984" t="s">
        <v>3086</v>
      </c>
      <c r="J8" s="2987" t="s">
        <v>3087</v>
      </c>
      <c r="K8" s="2985">
        <f t="shared" si="0"/>
        <v>28.74</v>
      </c>
      <c r="L8" s="3019" t="s">
        <v>3120</v>
      </c>
    </row>
    <row r="9" spans="1:12">
      <c r="A9" s="3371"/>
      <c r="B9" s="2988">
        <v>6</v>
      </c>
      <c r="C9" s="2984">
        <v>12206</v>
      </c>
      <c r="D9" s="2984">
        <v>19</v>
      </c>
      <c r="E9" s="2985">
        <v>160.43</v>
      </c>
      <c r="F9" s="2985">
        <v>100.49</v>
      </c>
      <c r="G9" s="2986">
        <v>0</v>
      </c>
      <c r="H9" s="2986"/>
      <c r="I9" s="2984" t="s">
        <v>3086</v>
      </c>
      <c r="J9" s="2987" t="s">
        <v>3087</v>
      </c>
      <c r="K9" s="2985">
        <f t="shared" si="0"/>
        <v>28.74</v>
      </c>
      <c r="L9" s="3020" t="s">
        <v>3121</v>
      </c>
    </row>
    <row r="10" spans="1:12">
      <c r="A10" s="3371"/>
      <c r="B10" s="2988">
        <v>7</v>
      </c>
      <c r="C10" s="2984">
        <v>12207</v>
      </c>
      <c r="D10" s="2984">
        <v>19</v>
      </c>
      <c r="E10" s="2985">
        <v>160.43</v>
      </c>
      <c r="F10" s="2985">
        <v>100.49</v>
      </c>
      <c r="G10" s="2986">
        <v>0</v>
      </c>
      <c r="H10" s="2986"/>
      <c r="I10" s="2984" t="s">
        <v>3086</v>
      </c>
      <c r="J10" s="2987" t="s">
        <v>3087</v>
      </c>
      <c r="K10" s="2985">
        <f t="shared" si="0"/>
        <v>28.74</v>
      </c>
      <c r="L10" s="3021" t="s">
        <v>3122</v>
      </c>
    </row>
    <row r="11" spans="1:12">
      <c r="A11" s="3371"/>
      <c r="B11" s="2988">
        <v>8</v>
      </c>
      <c r="C11" s="2984">
        <v>12208</v>
      </c>
      <c r="D11" s="2984">
        <v>19</v>
      </c>
      <c r="E11" s="2985">
        <v>160.43</v>
      </c>
      <c r="F11" s="2985">
        <v>100.49</v>
      </c>
      <c r="G11" s="2986">
        <v>0</v>
      </c>
      <c r="H11" s="2986"/>
      <c r="I11" s="2984" t="s">
        <v>3086</v>
      </c>
      <c r="J11" s="2987" t="s">
        <v>3087</v>
      </c>
      <c r="K11" s="2985">
        <f t="shared" si="0"/>
        <v>28.74</v>
      </c>
      <c r="L11" s="3022" t="s">
        <v>3122</v>
      </c>
    </row>
    <row r="12" spans="1:12">
      <c r="A12" s="3371"/>
      <c r="B12" s="2988">
        <v>9</v>
      </c>
      <c r="C12" s="2984">
        <v>12209</v>
      </c>
      <c r="D12" s="2984">
        <v>19</v>
      </c>
      <c r="E12" s="2985">
        <v>160.43</v>
      </c>
      <c r="F12" s="2985">
        <v>100.49</v>
      </c>
      <c r="G12" s="2986">
        <v>0</v>
      </c>
      <c r="H12" s="2986"/>
      <c r="I12" s="2984" t="s">
        <v>3086</v>
      </c>
      <c r="J12" s="2987" t="s">
        <v>3087</v>
      </c>
      <c r="K12" s="2985">
        <f t="shared" si="0"/>
        <v>28.74</v>
      </c>
      <c r="L12" s="3023" t="s">
        <v>3123</v>
      </c>
    </row>
    <row r="13" spans="1:12">
      <c r="A13" s="3371"/>
      <c r="B13" s="2988">
        <v>10</v>
      </c>
      <c r="C13" s="2984">
        <v>12210</v>
      </c>
      <c r="D13" s="2984">
        <v>19</v>
      </c>
      <c r="E13" s="2985">
        <v>160.43</v>
      </c>
      <c r="F13" s="2985">
        <v>100.49</v>
      </c>
      <c r="G13" s="2986">
        <v>0</v>
      </c>
      <c r="H13" s="2986"/>
      <c r="I13" s="2984" t="s">
        <v>3086</v>
      </c>
      <c r="J13" s="2987" t="s">
        <v>3087</v>
      </c>
      <c r="K13" s="2985">
        <f t="shared" si="0"/>
        <v>28.74</v>
      </c>
      <c r="L13" s="3014"/>
    </row>
    <row r="14" spans="1:12">
      <c r="A14" s="3371"/>
      <c r="B14" s="2988">
        <v>11</v>
      </c>
      <c r="C14" s="2984">
        <v>12211</v>
      </c>
      <c r="D14" s="2984">
        <v>19</v>
      </c>
      <c r="E14" s="2985">
        <v>171.18</v>
      </c>
      <c r="F14" s="2985">
        <v>107.22</v>
      </c>
      <c r="G14" s="2986">
        <v>0</v>
      </c>
      <c r="H14" s="2986"/>
      <c r="I14" s="2984" t="s">
        <v>3086</v>
      </c>
      <c r="J14" s="2987" t="s">
        <v>3087</v>
      </c>
      <c r="K14" s="2985">
        <f t="shared" si="0"/>
        <v>30.67</v>
      </c>
      <c r="L14" s="3014"/>
    </row>
    <row r="15" spans="1:12">
      <c r="A15" s="3371"/>
      <c r="B15" s="2988">
        <v>12</v>
      </c>
      <c r="C15" s="2984">
        <v>1225</v>
      </c>
      <c r="D15" s="2984">
        <v>19</v>
      </c>
      <c r="E15" s="2985">
        <v>94.14</v>
      </c>
      <c r="F15" s="2985">
        <v>58.97</v>
      </c>
      <c r="G15" s="2986">
        <v>0</v>
      </c>
      <c r="H15" s="2986"/>
      <c r="I15" s="2984" t="s">
        <v>3086</v>
      </c>
      <c r="J15" s="2987" t="s">
        <v>3087</v>
      </c>
      <c r="K15" s="2985">
        <f t="shared" si="0"/>
        <v>16.86</v>
      </c>
      <c r="L15" s="3014" t="s">
        <v>3124</v>
      </c>
    </row>
    <row r="16" spans="1:12">
      <c r="A16" s="3371"/>
      <c r="B16" s="2989">
        <v>13</v>
      </c>
      <c r="C16" s="2984">
        <v>12301</v>
      </c>
      <c r="D16" s="2984">
        <v>20</v>
      </c>
      <c r="E16" s="2985">
        <v>105.91</v>
      </c>
      <c r="F16" s="2985">
        <v>66.34</v>
      </c>
      <c r="G16" s="2986">
        <v>0</v>
      </c>
      <c r="H16" s="2986"/>
      <c r="I16" s="2984" t="s">
        <v>3086</v>
      </c>
      <c r="J16" s="2987" t="s">
        <v>3087</v>
      </c>
      <c r="K16" s="2985">
        <f t="shared" si="0"/>
        <v>18.97</v>
      </c>
      <c r="L16" s="3014" t="s">
        <v>3125</v>
      </c>
    </row>
    <row r="17" spans="1:12">
      <c r="A17" s="3371"/>
      <c r="B17" s="2989">
        <v>14</v>
      </c>
      <c r="C17" s="2984">
        <v>12302</v>
      </c>
      <c r="D17" s="2984">
        <v>20</v>
      </c>
      <c r="E17" s="2985">
        <v>317.81</v>
      </c>
      <c r="F17" s="2985">
        <v>199.07</v>
      </c>
      <c r="G17" s="2986">
        <v>0</v>
      </c>
      <c r="H17" s="2986"/>
      <c r="I17" s="2984" t="s">
        <v>3086</v>
      </c>
      <c r="J17" s="2987" t="s">
        <v>3087</v>
      </c>
      <c r="K17" s="2985">
        <f t="shared" si="0"/>
        <v>56.93</v>
      </c>
      <c r="L17" s="3014" t="s">
        <v>3126</v>
      </c>
    </row>
    <row r="18" spans="1:12">
      <c r="A18" s="3371"/>
      <c r="B18" s="2989">
        <v>15</v>
      </c>
      <c r="C18" s="2984">
        <v>12303</v>
      </c>
      <c r="D18" s="2984">
        <v>20</v>
      </c>
      <c r="E18" s="2985">
        <v>160.43</v>
      </c>
      <c r="F18" s="2985">
        <v>100.49</v>
      </c>
      <c r="G18" s="2986">
        <v>0</v>
      </c>
      <c r="H18" s="2986"/>
      <c r="I18" s="2984" t="s">
        <v>3086</v>
      </c>
      <c r="J18" s="2987" t="s">
        <v>3087</v>
      </c>
      <c r="K18" s="2985">
        <f t="shared" si="0"/>
        <v>28.74</v>
      </c>
    </row>
    <row r="19" spans="1:12">
      <c r="A19" s="3371"/>
      <c r="B19" s="2989">
        <v>16</v>
      </c>
      <c r="C19" s="2984">
        <v>12306</v>
      </c>
      <c r="D19" s="2984">
        <v>20</v>
      </c>
      <c r="E19" s="2985">
        <v>160.43</v>
      </c>
      <c r="F19" s="2985">
        <v>100.49</v>
      </c>
      <c r="G19" s="2986">
        <v>0</v>
      </c>
      <c r="H19" s="2986"/>
      <c r="I19" s="2984" t="s">
        <v>3086</v>
      </c>
      <c r="J19" s="2987" t="s">
        <v>3087</v>
      </c>
      <c r="K19" s="2985">
        <f t="shared" si="0"/>
        <v>28.74</v>
      </c>
    </row>
    <row r="20" spans="1:12">
      <c r="A20" s="3371"/>
      <c r="B20" s="2989">
        <v>17</v>
      </c>
      <c r="C20" s="2984">
        <v>12307</v>
      </c>
      <c r="D20" s="2984">
        <v>20</v>
      </c>
      <c r="E20" s="2985">
        <v>160.43</v>
      </c>
      <c r="F20" s="2985">
        <v>100.49</v>
      </c>
      <c r="G20" s="2986">
        <v>0</v>
      </c>
      <c r="H20" s="2986"/>
      <c r="I20" s="2984" t="s">
        <v>3086</v>
      </c>
      <c r="J20" s="2987" t="s">
        <v>3087</v>
      </c>
      <c r="K20" s="2985">
        <f t="shared" si="0"/>
        <v>28.74</v>
      </c>
    </row>
    <row r="21" spans="1:12">
      <c r="A21" s="3371"/>
      <c r="B21" s="2989">
        <v>18</v>
      </c>
      <c r="C21" s="2984">
        <v>12308</v>
      </c>
      <c r="D21" s="2984">
        <v>20</v>
      </c>
      <c r="E21" s="2985">
        <v>160.43</v>
      </c>
      <c r="F21" s="2985">
        <v>100.49</v>
      </c>
      <c r="G21" s="2986">
        <v>0</v>
      </c>
      <c r="H21" s="2986"/>
      <c r="I21" s="2984" t="s">
        <v>3086</v>
      </c>
      <c r="J21" s="2987" t="s">
        <v>3087</v>
      </c>
      <c r="K21" s="2985">
        <f t="shared" si="0"/>
        <v>28.74</v>
      </c>
    </row>
    <row r="22" spans="1:12">
      <c r="A22" s="3371"/>
      <c r="B22" s="2989">
        <v>19</v>
      </c>
      <c r="C22" s="2984">
        <v>12309</v>
      </c>
      <c r="D22" s="2984">
        <v>20</v>
      </c>
      <c r="E22" s="2985">
        <v>160.43</v>
      </c>
      <c r="F22" s="2985">
        <v>100.49</v>
      </c>
      <c r="G22" s="2986">
        <v>0</v>
      </c>
      <c r="H22" s="2986"/>
      <c r="I22" s="2984" t="s">
        <v>3086</v>
      </c>
      <c r="J22" s="2987" t="s">
        <v>3087</v>
      </c>
      <c r="K22" s="2985">
        <f t="shared" si="0"/>
        <v>28.74</v>
      </c>
    </row>
    <row r="23" spans="1:12">
      <c r="A23" s="3371"/>
      <c r="B23" s="2989">
        <v>20</v>
      </c>
      <c r="C23" s="2984">
        <v>12310</v>
      </c>
      <c r="D23" s="2984">
        <v>20</v>
      </c>
      <c r="E23" s="2985">
        <v>160.43</v>
      </c>
      <c r="F23" s="2985">
        <v>100.49</v>
      </c>
      <c r="G23" s="2986">
        <v>0</v>
      </c>
      <c r="H23" s="2986"/>
      <c r="I23" s="2984" t="s">
        <v>3086</v>
      </c>
      <c r="J23" s="2987" t="s">
        <v>3087</v>
      </c>
      <c r="K23" s="2985">
        <f t="shared" si="0"/>
        <v>28.74</v>
      </c>
    </row>
    <row r="24" spans="1:12">
      <c r="A24" s="3371"/>
      <c r="B24" s="2989">
        <v>21</v>
      </c>
      <c r="C24" s="2984">
        <v>12311</v>
      </c>
      <c r="D24" s="2984">
        <v>20</v>
      </c>
      <c r="E24" s="2985">
        <v>171.18</v>
      </c>
      <c r="F24" s="2985">
        <v>107.22</v>
      </c>
      <c r="G24" s="2986">
        <v>0</v>
      </c>
      <c r="H24" s="2986"/>
      <c r="I24" s="2984" t="s">
        <v>3086</v>
      </c>
      <c r="J24" s="2987" t="s">
        <v>3087</v>
      </c>
      <c r="K24" s="2985">
        <f t="shared" si="0"/>
        <v>30.67</v>
      </c>
    </row>
    <row r="25" spans="1:12">
      <c r="A25" s="3371"/>
      <c r="B25" s="2989">
        <v>22</v>
      </c>
      <c r="C25" s="2984">
        <v>1235</v>
      </c>
      <c r="D25" s="2984">
        <v>20</v>
      </c>
      <c r="E25" s="2985">
        <v>94.14</v>
      </c>
      <c r="F25" s="2985">
        <v>58.97</v>
      </c>
      <c r="G25" s="2986">
        <v>0</v>
      </c>
      <c r="H25" s="2986"/>
      <c r="I25" s="2984" t="s">
        <v>3086</v>
      </c>
      <c r="J25" s="2987" t="s">
        <v>3087</v>
      </c>
      <c r="K25" s="2985">
        <f t="shared" si="0"/>
        <v>16.86</v>
      </c>
    </row>
    <row r="26" spans="1:12">
      <c r="A26" s="3371"/>
      <c r="B26" s="2990">
        <v>23</v>
      </c>
      <c r="C26" s="2984">
        <v>12501</v>
      </c>
      <c r="D26" s="2984">
        <v>21</v>
      </c>
      <c r="E26" s="2985">
        <v>105.91</v>
      </c>
      <c r="F26" s="2985">
        <v>66.34</v>
      </c>
      <c r="G26" s="2986">
        <v>0</v>
      </c>
      <c r="H26" s="2986"/>
      <c r="I26" s="2984" t="s">
        <v>3086</v>
      </c>
      <c r="J26" s="2987" t="s">
        <v>3087</v>
      </c>
      <c r="K26" s="2985">
        <f t="shared" si="0"/>
        <v>18.97</v>
      </c>
    </row>
    <row r="27" spans="1:12">
      <c r="A27" s="3371"/>
      <c r="B27" s="2990">
        <v>24</v>
      </c>
      <c r="C27" s="2984">
        <v>12502</v>
      </c>
      <c r="D27" s="2984">
        <v>21</v>
      </c>
      <c r="E27" s="2985">
        <v>317.81</v>
      </c>
      <c r="F27" s="2985">
        <v>199.07</v>
      </c>
      <c r="G27" s="2986">
        <v>0</v>
      </c>
      <c r="H27" s="2986"/>
      <c r="I27" s="2984" t="s">
        <v>3086</v>
      </c>
      <c r="J27" s="2987" t="s">
        <v>3087</v>
      </c>
      <c r="K27" s="2985">
        <f t="shared" si="0"/>
        <v>56.93</v>
      </c>
    </row>
    <row r="28" spans="1:12">
      <c r="A28" s="3371"/>
      <c r="B28" s="2990">
        <v>25</v>
      </c>
      <c r="C28" s="2984">
        <v>12503</v>
      </c>
      <c r="D28" s="2984">
        <v>21</v>
      </c>
      <c r="E28" s="2985">
        <v>160.43</v>
      </c>
      <c r="F28" s="2985">
        <v>100.49</v>
      </c>
      <c r="G28" s="2986">
        <v>0</v>
      </c>
      <c r="H28" s="2986"/>
      <c r="I28" s="2984" t="s">
        <v>3086</v>
      </c>
      <c r="J28" s="2987" t="s">
        <v>3087</v>
      </c>
      <c r="K28" s="2985">
        <f t="shared" si="0"/>
        <v>28.74</v>
      </c>
    </row>
    <row r="29" spans="1:12">
      <c r="A29" s="3371"/>
      <c r="B29" s="2990">
        <v>26</v>
      </c>
      <c r="C29" s="2984">
        <v>12506</v>
      </c>
      <c r="D29" s="2984">
        <v>21</v>
      </c>
      <c r="E29" s="2985">
        <v>160.43</v>
      </c>
      <c r="F29" s="2985">
        <v>100.49</v>
      </c>
      <c r="G29" s="2986">
        <v>0</v>
      </c>
      <c r="H29" s="2986"/>
      <c r="I29" s="2984" t="s">
        <v>3086</v>
      </c>
      <c r="J29" s="2987" t="s">
        <v>3087</v>
      </c>
      <c r="K29" s="2985">
        <f t="shared" si="0"/>
        <v>28.74</v>
      </c>
    </row>
    <row r="30" spans="1:12">
      <c r="A30" s="3371"/>
      <c r="B30" s="2990">
        <v>27</v>
      </c>
      <c r="C30" s="2984">
        <v>12507</v>
      </c>
      <c r="D30" s="2984">
        <v>21</v>
      </c>
      <c r="E30" s="2985">
        <v>160.43</v>
      </c>
      <c r="F30" s="2985">
        <v>100.49</v>
      </c>
      <c r="G30" s="2986">
        <v>0</v>
      </c>
      <c r="H30" s="2986"/>
      <c r="I30" s="2984" t="s">
        <v>3086</v>
      </c>
      <c r="J30" s="2987" t="s">
        <v>3087</v>
      </c>
      <c r="K30" s="2985">
        <f t="shared" si="0"/>
        <v>28.74</v>
      </c>
    </row>
    <row r="31" spans="1:12">
      <c r="A31" s="3371"/>
      <c r="B31" s="2990">
        <v>28</v>
      </c>
      <c r="C31" s="2984">
        <v>12508</v>
      </c>
      <c r="D31" s="2984">
        <v>21</v>
      </c>
      <c r="E31" s="2985">
        <v>160.43</v>
      </c>
      <c r="F31" s="2985">
        <v>100.49</v>
      </c>
      <c r="G31" s="2986">
        <v>0</v>
      </c>
      <c r="H31" s="2986"/>
      <c r="I31" s="2984" t="s">
        <v>3086</v>
      </c>
      <c r="J31" s="2987" t="s">
        <v>3087</v>
      </c>
      <c r="K31" s="2985">
        <f t="shared" si="0"/>
        <v>28.74</v>
      </c>
    </row>
    <row r="32" spans="1:12">
      <c r="A32" s="3371"/>
      <c r="B32" s="2990">
        <v>29</v>
      </c>
      <c r="C32" s="2984">
        <v>12509</v>
      </c>
      <c r="D32" s="2984">
        <v>21</v>
      </c>
      <c r="E32" s="2985">
        <v>160.43</v>
      </c>
      <c r="F32" s="2985">
        <v>100.49</v>
      </c>
      <c r="G32" s="2986">
        <v>0</v>
      </c>
      <c r="H32" s="2986"/>
      <c r="I32" s="2984" t="s">
        <v>3086</v>
      </c>
      <c r="J32" s="2987" t="s">
        <v>3087</v>
      </c>
      <c r="K32" s="2985">
        <f t="shared" si="0"/>
        <v>28.74</v>
      </c>
    </row>
    <row r="33" spans="1:11">
      <c r="A33" s="3371"/>
      <c r="B33" s="2990">
        <v>30</v>
      </c>
      <c r="C33" s="2984">
        <v>12510</v>
      </c>
      <c r="D33" s="2984">
        <v>12</v>
      </c>
      <c r="E33" s="2985">
        <v>160.43</v>
      </c>
      <c r="F33" s="2985">
        <v>100.49</v>
      </c>
      <c r="G33" s="2986">
        <v>0</v>
      </c>
      <c r="H33" s="2986"/>
      <c r="I33" s="2984" t="s">
        <v>3086</v>
      </c>
      <c r="J33" s="2987" t="s">
        <v>3087</v>
      </c>
      <c r="K33" s="2985">
        <f t="shared" si="0"/>
        <v>28.74</v>
      </c>
    </row>
    <row r="34" spans="1:11">
      <c r="A34" s="3371"/>
      <c r="B34" s="2990">
        <v>31</v>
      </c>
      <c r="C34" s="2984">
        <v>12511</v>
      </c>
      <c r="D34" s="2984">
        <v>21</v>
      </c>
      <c r="E34" s="2985">
        <v>171.18</v>
      </c>
      <c r="F34" s="2985">
        <v>107.22</v>
      </c>
      <c r="G34" s="2986">
        <v>0</v>
      </c>
      <c r="H34" s="2986"/>
      <c r="I34" s="2984" t="s">
        <v>3086</v>
      </c>
      <c r="J34" s="2987" t="s">
        <v>3087</v>
      </c>
      <c r="K34" s="2985">
        <f t="shared" si="0"/>
        <v>30.67</v>
      </c>
    </row>
    <row r="35" spans="1:11">
      <c r="A35" s="3372"/>
      <c r="B35" s="2990">
        <v>32</v>
      </c>
      <c r="C35" s="2984">
        <v>1255</v>
      </c>
      <c r="D35" s="2984">
        <v>21</v>
      </c>
      <c r="E35" s="2985">
        <v>94.14</v>
      </c>
      <c r="F35" s="2985">
        <v>58.97</v>
      </c>
      <c r="G35" s="2986">
        <v>0</v>
      </c>
      <c r="H35" s="2986"/>
      <c r="I35" s="2984" t="s">
        <v>3086</v>
      </c>
      <c r="J35" s="2987" t="s">
        <v>3087</v>
      </c>
      <c r="K35" s="2985">
        <f t="shared" si="0"/>
        <v>16.86</v>
      </c>
    </row>
    <row r="36" spans="1:11" ht="14.25" thickBot="1">
      <c r="A36" s="3373" t="s">
        <v>3088</v>
      </c>
      <c r="B36" s="3374"/>
      <c r="C36" s="3374"/>
      <c r="D36" s="2991"/>
      <c r="E36" s="2992">
        <f t="shared" ref="E36:F36" si="1">SUM(E4:E35)</f>
        <v>6494.6100000000024</v>
      </c>
      <c r="F36" s="2992">
        <f t="shared" si="1"/>
        <v>4068.0799999999972</v>
      </c>
      <c r="G36" s="2993"/>
      <c r="H36" s="2993"/>
      <c r="I36" s="2994" t="s">
        <v>3089</v>
      </c>
      <c r="J36" s="2995" t="s">
        <v>3089</v>
      </c>
      <c r="K36" s="2985"/>
    </row>
    <row r="37" spans="1:11">
      <c r="A37" s="3375" t="s">
        <v>3090</v>
      </c>
      <c r="B37" s="2996">
        <v>33</v>
      </c>
      <c r="C37" s="2997">
        <v>2253</v>
      </c>
      <c r="D37" s="2997">
        <v>21</v>
      </c>
      <c r="E37" s="2998">
        <v>808.97</v>
      </c>
      <c r="F37" s="2998">
        <v>547.1</v>
      </c>
      <c r="G37" s="2999">
        <v>0</v>
      </c>
      <c r="H37" s="2999"/>
      <c r="I37" s="2997" t="s">
        <v>3086</v>
      </c>
      <c r="J37" s="3000" t="s">
        <v>3087</v>
      </c>
      <c r="K37" s="2985">
        <f t="shared" si="0"/>
        <v>144.91999999999999</v>
      </c>
    </row>
    <row r="38" spans="1:11">
      <c r="A38" s="3371"/>
      <c r="B38" s="3001">
        <v>34</v>
      </c>
      <c r="C38" s="3002">
        <v>2261</v>
      </c>
      <c r="D38" s="3002">
        <v>22</v>
      </c>
      <c r="E38" s="2985">
        <v>368.33</v>
      </c>
      <c r="F38" s="2985">
        <v>249.1</v>
      </c>
      <c r="G38" s="3003">
        <v>0</v>
      </c>
      <c r="H38" s="3003"/>
      <c r="I38" s="3002" t="s">
        <v>3086</v>
      </c>
      <c r="J38" s="3004" t="s">
        <v>3087</v>
      </c>
      <c r="K38" s="2985">
        <f t="shared" si="0"/>
        <v>65.98</v>
      </c>
    </row>
    <row r="39" spans="1:11">
      <c r="A39" s="3371"/>
      <c r="B39" s="3001">
        <v>35</v>
      </c>
      <c r="C39" s="3002">
        <v>2262</v>
      </c>
      <c r="D39" s="3002">
        <v>22</v>
      </c>
      <c r="E39" s="2985">
        <v>292.74</v>
      </c>
      <c r="F39" s="2985">
        <v>197.98</v>
      </c>
      <c r="G39" s="3003">
        <v>0</v>
      </c>
      <c r="H39" s="3003"/>
      <c r="I39" s="3002" t="s">
        <v>3086</v>
      </c>
      <c r="J39" s="3004" t="s">
        <v>3087</v>
      </c>
      <c r="K39" s="2985">
        <f t="shared" si="0"/>
        <v>52.44</v>
      </c>
    </row>
    <row r="40" spans="1:11">
      <c r="A40" s="3371"/>
      <c r="B40" s="3001">
        <v>36</v>
      </c>
      <c r="C40" s="3002">
        <v>2263</v>
      </c>
      <c r="D40" s="3002">
        <v>22</v>
      </c>
      <c r="E40" s="2985">
        <v>812.05</v>
      </c>
      <c r="F40" s="2985">
        <v>549.17999999999995</v>
      </c>
      <c r="G40" s="3003">
        <v>0</v>
      </c>
      <c r="H40" s="3003"/>
      <c r="I40" s="3002" t="s">
        <v>3086</v>
      </c>
      <c r="J40" s="3004" t="s">
        <v>3087</v>
      </c>
      <c r="K40" s="2985">
        <f t="shared" si="0"/>
        <v>145.47</v>
      </c>
    </row>
    <row r="41" spans="1:11">
      <c r="A41" s="3372"/>
      <c r="B41" s="3001">
        <v>37</v>
      </c>
      <c r="C41" s="3002">
        <v>2265</v>
      </c>
      <c r="D41" s="3002">
        <v>22</v>
      </c>
      <c r="E41" s="2985">
        <v>88.53</v>
      </c>
      <c r="F41" s="2985">
        <v>59.87</v>
      </c>
      <c r="G41" s="3003">
        <v>0</v>
      </c>
      <c r="H41" s="3003"/>
      <c r="I41" s="3002" t="s">
        <v>3086</v>
      </c>
      <c r="J41" s="3004" t="s">
        <v>3087</v>
      </c>
      <c r="K41" s="2985">
        <f t="shared" si="0"/>
        <v>15.86</v>
      </c>
    </row>
    <row r="42" spans="1:11" ht="14.25" thickBot="1">
      <c r="A42" s="3376" t="s">
        <v>3088</v>
      </c>
      <c r="B42" s="3377"/>
      <c r="C42" s="3377"/>
      <c r="D42" s="3005"/>
      <c r="E42" s="3006">
        <f t="shared" ref="E42:F42" si="2">SUM(E37:E41)</f>
        <v>2370.6200000000003</v>
      </c>
      <c r="F42" s="3006">
        <f t="shared" si="2"/>
        <v>1603.23</v>
      </c>
      <c r="G42" s="3007"/>
      <c r="H42" s="3007"/>
      <c r="I42" s="3008" t="s">
        <v>3089</v>
      </c>
      <c r="J42" s="3009" t="s">
        <v>3089</v>
      </c>
      <c r="K42" s="2985">
        <f>SUM(K4:K41)</f>
        <v>1588.1200000000001</v>
      </c>
    </row>
    <row r="43" spans="1:11" ht="14.25" thickBot="1">
      <c r="A43" s="3378" t="s">
        <v>3091</v>
      </c>
      <c r="B43" s="3379"/>
      <c r="C43" s="3379"/>
      <c r="D43" s="3005"/>
      <c r="E43" s="3010">
        <f t="shared" ref="E43:F43" si="3">E36+E42</f>
        <v>8865.2300000000032</v>
      </c>
      <c r="F43" s="3010">
        <f t="shared" si="3"/>
        <v>5671.3099999999977</v>
      </c>
      <c r="G43" s="3011"/>
      <c r="H43" s="3011"/>
      <c r="I43" s="3012"/>
      <c r="J43" s="3013"/>
      <c r="K43" s="3014"/>
    </row>
  </sheetData>
  <mergeCells count="13">
    <mergeCell ref="A1:J1"/>
    <mergeCell ref="A2:A3"/>
    <mergeCell ref="B2:B3"/>
    <mergeCell ref="C2:C3"/>
    <mergeCell ref="D2:D3"/>
    <mergeCell ref="E2:H2"/>
    <mergeCell ref="I2:I3"/>
    <mergeCell ref="J2:J3"/>
    <mergeCell ref="A4:A35"/>
    <mergeCell ref="A36:C36"/>
    <mergeCell ref="A37:A41"/>
    <mergeCell ref="A42:C42"/>
    <mergeCell ref="A43:C43"/>
  </mergeCells>
  <phoneticPr fontId="143" type="noConversion"/>
  <pageMargins left="0.7" right="0.7" top="0.75" bottom="0.75" header="0.3" footer="0.3"/>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146" sqref="A1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1636</v>
      </c>
      <c r="B2" s="3060" t="s">
        <v>1637</v>
      </c>
      <c r="C2" s="3060" t="s">
        <v>1638</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44" t="s">
        <v>1633</v>
      </c>
      <c r="E3" s="1044" t="s">
        <v>1639</v>
      </c>
      <c r="F3" s="1044" t="s">
        <v>1633</v>
      </c>
      <c r="G3" s="1044" t="s">
        <v>1634</v>
      </c>
      <c r="H3" s="1044" t="s">
        <v>1633</v>
      </c>
      <c r="I3" s="1044" t="s">
        <v>1634</v>
      </c>
    </row>
    <row r="4" spans="1:9" ht="15">
      <c r="A4" s="1972" t="str">
        <f>项目基本情况!S2</f>
        <v>北京市房地产</v>
      </c>
      <c r="B4" s="1044">
        <f>项目基本情况!C17</f>
        <v>317.81</v>
      </c>
      <c r="C4" s="1044">
        <f>项目基本情况!C18</f>
        <v>56.93</v>
      </c>
      <c r="D4" s="1044" t="e">
        <f ca="1">结果表!D118</f>
        <v>#REF!</v>
      </c>
      <c r="E4" s="1044" t="e">
        <f ca="1">结果表!E118</f>
        <v>#REF!</v>
      </c>
      <c r="F4" s="1044" t="e">
        <f ca="1">结果表!F118</f>
        <v>#REF!</v>
      </c>
      <c r="G4" s="1044" t="e">
        <f ca="1">结果表!G118</f>
        <v>#REF!</v>
      </c>
      <c r="H4" s="1044">
        <f ca="1">结果表!H118</f>
        <v>1868</v>
      </c>
      <c r="I4" s="1044">
        <f ca="1">结果表!I118</f>
        <v>58777</v>
      </c>
    </row>
    <row r="5" spans="1:9" ht="30" customHeight="1">
      <c r="A5" s="3054" t="s">
        <v>1635</v>
      </c>
      <c r="B5" s="3054"/>
      <c r="C5" s="3054"/>
      <c r="D5" s="3055" t="e">
        <f ca="1">结果表!D119</f>
        <v>#REF!</v>
      </c>
      <c r="E5" s="3055"/>
      <c r="F5" s="3055" t="e">
        <f ca="1">结果表!F119</f>
        <v>#REF!</v>
      </c>
      <c r="G5" s="3055"/>
      <c r="H5" s="3055" t="str">
        <f ca="1">结果表!H119</f>
        <v>壹仟捌佰陆拾捌万元整</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1635</v>
      </c>
      <c r="B7" s="3054"/>
      <c r="C7" s="3054"/>
      <c r="D7" s="3056" t="str">
        <f>结果表!D121</f>
        <v>零元整</v>
      </c>
      <c r="E7" s="3057"/>
      <c r="F7" s="3057"/>
      <c r="G7" s="3057"/>
      <c r="H7" s="3057"/>
      <c r="I7" s="3058"/>
    </row>
    <row r="8" spans="1:9" ht="15.75">
      <c r="A8" s="3053" t="str">
        <f>结果表!A122</f>
        <v>房地产抵押价值</v>
      </c>
      <c r="B8" s="3053"/>
      <c r="C8" s="3053"/>
      <c r="D8" s="3053">
        <f ca="1">结果表!D122</f>
        <v>1868</v>
      </c>
      <c r="E8" s="3053"/>
      <c r="F8" s="3053"/>
      <c r="G8" s="3053"/>
      <c r="H8" s="3053"/>
      <c r="I8" s="3053"/>
    </row>
    <row r="9" spans="1:9" ht="15">
      <c r="A9" s="3054" t="s">
        <v>1635</v>
      </c>
      <c r="B9" s="3054"/>
      <c r="C9" s="3054"/>
      <c r="D9" s="3055" t="str">
        <f ca="1">结果表!D123</f>
        <v>壹仟捌佰陆拾捌万元整</v>
      </c>
      <c r="E9" s="3055"/>
      <c r="F9" s="3055"/>
      <c r="G9" s="3055"/>
      <c r="H9" s="3055"/>
      <c r="I9" s="3055"/>
    </row>
    <row r="10" spans="1:9" ht="15.75">
      <c r="A10" s="3053" t="str">
        <f>结果表!A124</f>
        <v/>
      </c>
      <c r="B10" s="3053"/>
      <c r="C10" s="3053"/>
      <c r="D10" s="3053" t="str">
        <f>结果表!D124</f>
        <v>——</v>
      </c>
      <c r="E10" s="3053"/>
      <c r="F10" s="3053"/>
      <c r="G10" s="3053"/>
      <c r="H10" s="3053"/>
      <c r="I10" s="3053"/>
    </row>
    <row r="11" spans="1:9" ht="15">
      <c r="A11" s="3054" t="s">
        <v>1635</v>
      </c>
      <c r="B11" s="3054"/>
      <c r="C11" s="3054"/>
      <c r="D11" s="3055" t="e">
        <f>结果表!D125</f>
        <v>#VALUE!</v>
      </c>
      <c r="E11" s="3055"/>
      <c r="F11" s="3055"/>
      <c r="G11" s="3055"/>
      <c r="H11" s="3055"/>
      <c r="I11" s="3055"/>
    </row>
    <row r="12" spans="1:9" ht="15.75">
      <c r="A12" s="3053" t="str">
        <f>结果表!A126</f>
        <v/>
      </c>
      <c r="B12" s="3053"/>
      <c r="C12" s="3053"/>
      <c r="D12" s="3053" t="str">
        <f>结果表!D126</f>
        <v>——</v>
      </c>
      <c r="E12" s="3053"/>
      <c r="F12" s="3053"/>
      <c r="G12" s="3053"/>
      <c r="H12" s="3053"/>
      <c r="I12" s="3053"/>
    </row>
    <row r="13" spans="1:9" ht="15.75" thickBot="1">
      <c r="A13" s="3050" t="s">
        <v>1635</v>
      </c>
      <c r="B13" s="3050"/>
      <c r="C13" s="3050"/>
      <c r="D13" s="3051" t="e">
        <f>结果表!D127</f>
        <v>#VALUE!</v>
      </c>
      <c r="E13" s="3051"/>
      <c r="F13" s="3051"/>
      <c r="G13" s="3051"/>
      <c r="H13" s="3051"/>
      <c r="I13" s="3051"/>
    </row>
    <row r="14" spans="1:9" ht="15" thickTop="1">
      <c r="A14" s="3052" t="s">
        <v>1640</v>
      </c>
      <c r="B14" s="3052"/>
      <c r="C14" s="3052"/>
      <c r="D14" s="3052"/>
      <c r="E14" s="3052"/>
      <c r="F14" s="3052"/>
      <c r="G14" s="3052"/>
      <c r="H14" s="3052"/>
      <c r="I14" s="305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7" t="s">
        <v>1657</v>
      </c>
      <c r="B1" s="3067"/>
      <c r="C1" s="3067"/>
      <c r="D1" s="3067"/>
    </row>
    <row r="2" spans="1:4" ht="18">
      <c r="A2" s="3068" t="s">
        <v>1641</v>
      </c>
      <c r="B2" s="3068"/>
      <c r="C2" s="3068"/>
      <c r="D2" s="3068"/>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068" t="s">
        <v>1647</v>
      </c>
      <c r="B6" s="3068"/>
      <c r="C6" s="3068"/>
      <c r="D6" s="306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69" t="s">
        <v>1650</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3" t="s">
        <v>1651</v>
      </c>
      <c r="B16" s="3063"/>
      <c r="C16" s="3063"/>
      <c r="D16" s="3063"/>
    </row>
    <row r="17" spans="1:4" ht="144" customHeight="1">
      <c r="A17" s="3063" t="s">
        <v>1652</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1653</v>
      </c>
      <c r="B22" s="3065"/>
      <c r="C22" s="3065"/>
      <c r="D22" s="306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75" t="s">
        <v>1664</v>
      </c>
      <c r="B15" s="3070" t="s">
        <v>136</v>
      </c>
      <c r="C15" s="3071"/>
    </row>
    <row r="16" spans="1:7" ht="13.5">
      <c r="A16" s="3076"/>
      <c r="B16" s="3070" t="s">
        <v>69</v>
      </c>
      <c r="C16" s="3071"/>
    </row>
    <row r="17" spans="1:3" ht="13.5">
      <c r="A17" s="3076"/>
      <c r="B17" s="3073" t="s">
        <v>1665</v>
      </c>
      <c r="C17" s="1999" t="s">
        <v>1664</v>
      </c>
    </row>
    <row r="18" spans="1:3" ht="13.5">
      <c r="A18" s="3076"/>
      <c r="B18" s="3073"/>
      <c r="C18" s="1999" t="s">
        <v>1666</v>
      </c>
    </row>
    <row r="19" spans="1:3" ht="13.5">
      <c r="A19" s="3076"/>
      <c r="B19" s="3073"/>
      <c r="C19" s="1999" t="s">
        <v>1667</v>
      </c>
    </row>
    <row r="20" spans="1:3" ht="13.5">
      <c r="A20" s="3077"/>
      <c r="B20" s="3072" t="s">
        <v>1668</v>
      </c>
      <c r="C20" s="3071"/>
    </row>
    <row r="21" spans="1:3" ht="13.5">
      <c r="A21" s="2000" t="s">
        <v>1669</v>
      </c>
      <c r="B21" s="2001"/>
      <c r="C21" s="2002"/>
    </row>
    <row r="22" spans="1:3" ht="13.5">
      <c r="A22" s="3074" t="s">
        <v>1670</v>
      </c>
      <c r="B22" s="3072" t="s">
        <v>1671</v>
      </c>
      <c r="C22" s="3071"/>
    </row>
    <row r="23" spans="1:3" ht="13.5">
      <c r="A23" s="3074"/>
      <c r="B23" s="3072" t="s">
        <v>1672</v>
      </c>
      <c r="C23" s="3071"/>
    </row>
    <row r="24" spans="1:3" ht="13.5">
      <c r="A24" s="3074"/>
      <c r="B24" s="3072" t="s">
        <v>1673</v>
      </c>
      <c r="C24" s="3071"/>
    </row>
    <row r="25" spans="1:3" ht="13.5">
      <c r="A25" s="3074"/>
      <c r="B25" s="3073" t="s">
        <v>1674</v>
      </c>
      <c r="C25" s="1999" t="s">
        <v>1675</v>
      </c>
    </row>
    <row r="26" spans="1:3" ht="13.5">
      <c r="A26" s="3074"/>
      <c r="B26" s="3073"/>
      <c r="C26" s="1999" t="s">
        <v>1676</v>
      </c>
    </row>
    <row r="27" spans="1:3" ht="13.5">
      <c r="A27" s="3074"/>
      <c r="B27" s="3073"/>
      <c r="C27" s="1999" t="s">
        <v>1677</v>
      </c>
    </row>
    <row r="28" spans="1:3" ht="13.5">
      <c r="A28" s="3074"/>
      <c r="B28" s="3073"/>
      <c r="C28" s="1999" t="s">
        <v>1678</v>
      </c>
    </row>
    <row r="29" spans="1:3" ht="13.5">
      <c r="A29" s="3074"/>
      <c r="B29" s="3073"/>
      <c r="C29" s="1999" t="s">
        <v>1679</v>
      </c>
    </row>
    <row r="30" spans="1:3" ht="13.5">
      <c r="A30" s="3074"/>
      <c r="B30" s="3073"/>
      <c r="C30" s="1999" t="s">
        <v>1680</v>
      </c>
    </row>
    <row r="31" spans="1:3" ht="13.5">
      <c r="A31" s="3074"/>
      <c r="B31" s="3073"/>
      <c r="C31" s="1999" t="s">
        <v>1681</v>
      </c>
    </row>
    <row r="32" spans="1:3" ht="13.5">
      <c r="A32" s="3074"/>
      <c r="B32" s="3073"/>
      <c r="C32" s="1999" t="s">
        <v>1682</v>
      </c>
    </row>
    <row r="33" spans="1:3" ht="13.5">
      <c r="A33" s="3074"/>
      <c r="B33" s="307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43710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0">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78" t="s">
        <v>843</v>
      </c>
      <c r="B25" s="3078"/>
      <c r="C25" s="3078"/>
      <c r="D25" s="3078"/>
      <c r="E25" s="3078"/>
      <c r="F25" s="3078"/>
      <c r="G25" s="3078"/>
    </row>
    <row r="26" spans="1:7" s="1025" customFormat="1" ht="24" customHeight="1">
      <c r="A26" s="3079" t="s">
        <v>844</v>
      </c>
      <c r="B26" s="3079"/>
      <c r="C26" s="3080"/>
      <c r="D26" s="3081" t="s">
        <v>845</v>
      </c>
      <c r="E26" s="3079"/>
      <c r="F26" s="3079"/>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典型户型修正</vt:lpstr>
      <vt:lpstr>结果表 (2)</vt:lpstr>
      <vt:lpstr>比较法-办公 (2)</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2019-09-02T04:17:11Z</cp:lastPrinted>
  <dcterms:created xsi:type="dcterms:W3CDTF">2015-07-13T07:17:23Z</dcterms:created>
  <dcterms:modified xsi:type="dcterms:W3CDTF">2019-09-02T07:51:22Z</dcterms:modified>
</cp:coreProperties>
</file>