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工程进度" sheetId="80" r:id="rId23"/>
    <sheet name="土地案例" sheetId="79" r:id="rId24"/>
    <sheet name="收益法" sheetId="15" r:id="rId25"/>
    <sheet name="收益法 (商业)" sheetId="81"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(商业)'!$A$1:$AK$69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52" i="1" l="1"/>
  <c r="R39" i="1"/>
  <c r="R40" i="1"/>
  <c r="R41" i="1"/>
  <c r="R42" i="1"/>
  <c r="R43" i="1"/>
  <c r="R44" i="1"/>
  <c r="R45" i="1"/>
  <c r="R46" i="1"/>
  <c r="R47" i="1"/>
  <c r="R48" i="1"/>
  <c r="R49" i="1"/>
  <c r="R50" i="1"/>
  <c r="R51" i="1"/>
  <c r="R38" i="1"/>
  <c r="R53" i="1" s="1"/>
  <c r="O52" i="1"/>
  <c r="P43" i="1"/>
  <c r="P42" i="1"/>
  <c r="P41" i="1"/>
  <c r="P40" i="1"/>
  <c r="P38" i="1"/>
  <c r="P39" i="1"/>
  <c r="R21" i="1"/>
  <c r="R20" i="1"/>
  <c r="L7" i="80"/>
  <c r="L8" i="80"/>
  <c r="L9" i="80"/>
  <c r="L32" i="80"/>
  <c r="L33" i="80"/>
  <c r="L34" i="80" s="1"/>
  <c r="T24" i="1"/>
  <c r="T25" i="1"/>
  <c r="R25" i="1"/>
  <c r="Q32" i="1" l="1"/>
  <c r="Q25" i="1"/>
  <c r="P32" i="1"/>
  <c r="P25" i="1"/>
  <c r="O33" i="1"/>
  <c r="O30" i="1"/>
  <c r="O31" i="1"/>
  <c r="O32" i="1"/>
  <c r="O27" i="1"/>
  <c r="O28" i="1"/>
  <c r="O29" i="1"/>
  <c r="O26" i="1"/>
  <c r="O21" i="1"/>
  <c r="O22" i="1"/>
  <c r="O23" i="1"/>
  <c r="O24" i="1"/>
  <c r="O25" i="1"/>
  <c r="O20" i="1"/>
  <c r="Q72" i="81"/>
  <c r="Q59" i="81"/>
  <c r="K59" i="81"/>
  <c r="P74" i="81" s="1"/>
  <c r="F59" i="81"/>
  <c r="Q58" i="81"/>
  <c r="Q51" i="81"/>
  <c r="J50" i="81"/>
  <c r="M47" i="81"/>
  <c r="D46" i="81"/>
  <c r="F33" i="81"/>
  <c r="F61" i="81" s="1"/>
  <c r="F32" i="81"/>
  <c r="F60" i="81" s="1"/>
  <c r="F31" i="81"/>
  <c r="F28" i="81"/>
  <c r="C28" i="81" s="1"/>
  <c r="F23" i="81"/>
  <c r="D23" i="81" s="1"/>
  <c r="F21" i="81"/>
  <c r="F20" i="81"/>
  <c r="M19" i="81"/>
  <c r="M18" i="81"/>
  <c r="F18" i="81"/>
  <c r="M17" i="81"/>
  <c r="F17" i="81"/>
  <c r="F15" i="81"/>
  <c r="G1" i="81"/>
  <c r="D24" i="81" l="1"/>
  <c r="P61" i="81"/>
  <c r="D22" i="81"/>
  <c r="J51" i="81"/>
  <c r="C76" i="81"/>
  <c r="F42" i="81"/>
  <c r="M22" i="81"/>
  <c r="F7" i="81"/>
  <c r="F37" i="81"/>
  <c r="F26" i="81"/>
  <c r="L48" i="81"/>
  <c r="F40" i="81"/>
  <c r="F8" i="81"/>
  <c r="M9" i="81"/>
  <c r="F36" i="81"/>
  <c r="M26" i="81"/>
  <c r="F16" i="81"/>
  <c r="F6" i="81"/>
  <c r="L47" i="81"/>
  <c r="M28" i="81"/>
  <c r="F9" i="81"/>
  <c r="M8" i="81"/>
  <c r="M27" i="81"/>
  <c r="F13" i="81"/>
  <c r="F43" i="81"/>
  <c r="M24" i="81"/>
  <c r="J15" i="81"/>
  <c r="F38" i="81"/>
  <c r="M29" i="81"/>
  <c r="M23" i="81"/>
  <c r="M6" i="81"/>
  <c r="C6" i="81" l="1"/>
  <c r="F64" i="81"/>
  <c r="F66" i="81"/>
  <c r="F51" i="81"/>
  <c r="F68" i="81"/>
  <c r="F71" i="81"/>
  <c r="L56" i="81"/>
  <c r="C27" i="81"/>
  <c r="F65" i="81"/>
  <c r="F50" i="81"/>
  <c r="M7" i="81"/>
  <c r="J6" i="81" s="1"/>
  <c r="N59" i="81"/>
  <c r="L58" i="81"/>
  <c r="Q71" i="81"/>
  <c r="I54" i="81"/>
  <c r="J57" i="81"/>
  <c r="J55" i="81" s="1"/>
  <c r="J58" i="81" s="1"/>
  <c r="Q50" i="81" s="1"/>
  <c r="C17" i="81"/>
  <c r="C16" i="81"/>
  <c r="Q60" i="81" l="1"/>
  <c r="Q73" i="81"/>
  <c r="C49" i="81"/>
  <c r="AL18" i="3" l="1"/>
  <c r="AL17" i="3"/>
  <c r="AL16" i="3"/>
  <c r="AL15" i="3"/>
  <c r="AL14" i="3"/>
  <c r="AL13" i="3"/>
  <c r="G21" i="6" l="1"/>
  <c r="F20" i="6"/>
  <c r="F19" i="6"/>
  <c r="AL26" i="3"/>
  <c r="AD17" i="3"/>
  <c r="AD19" i="3"/>
  <c r="AL25" i="3"/>
  <c r="AL24" i="3"/>
  <c r="I7" i="39"/>
  <c r="G7" i="39"/>
  <c r="E7" i="39"/>
  <c r="I46" i="39"/>
  <c r="G46" i="39"/>
  <c r="E46" i="39"/>
  <c r="I6" i="39"/>
  <c r="G6" i="39"/>
  <c r="E6" i="39"/>
  <c r="D3" i="4"/>
  <c r="C37" i="80" l="1"/>
  <c r="E38" i="39" l="1"/>
  <c r="I38" i="39" l="1"/>
  <c r="G38" i="39"/>
  <c r="C38" i="39"/>
  <c r="J8" i="1"/>
  <c r="J7" i="1"/>
  <c r="C19" i="6"/>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3" i="76"/>
  <c r="E12" i="76"/>
  <c r="B11" i="76"/>
  <c r="B12" i="76"/>
  <c r="B7" i="76"/>
  <c r="E11" i="76"/>
  <c r="E8" i="76"/>
  <c r="B8" i="76"/>
  <c r="B9" i="76"/>
  <c r="E10" i="76"/>
  <c r="E7" i="76"/>
  <c r="E9" i="76"/>
  <c r="E13"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6" i="73"/>
  <c r="D6" i="73"/>
  <c r="D3" i="73"/>
  <c r="D5" i="73"/>
  <c r="F5" i="73"/>
  <c r="F3" i="73"/>
  <c r="I1" i="73" l="1"/>
  <c r="B39" i="1" s="1"/>
  <c r="D7" i="73"/>
  <c r="D4" i="73"/>
  <c r="F11" i="81" l="1"/>
  <c r="M11" i="81"/>
  <c r="J10" i="81" s="1"/>
  <c r="J5" i="81"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1" l="1"/>
  <c r="J24" i="81"/>
  <c r="J18" i="81"/>
  <c r="C53" i="81"/>
  <c r="C48" i="81" s="1"/>
  <c r="C10" i="81"/>
  <c r="C5" i="81" s="1"/>
  <c r="AA10" i="43"/>
  <c r="AC10" i="43"/>
  <c r="AE10" i="43"/>
  <c r="AG10" i="43"/>
  <c r="AI10" i="43"/>
  <c r="Z10" i="43"/>
  <c r="AB10" i="43"/>
  <c r="AD10" i="43"/>
  <c r="AF10" i="43"/>
  <c r="AH10" i="43"/>
  <c r="AJ10" i="43"/>
  <c r="C38" i="81" l="1"/>
  <c r="C32" i="81"/>
  <c r="C66" i="81"/>
  <c r="C60" i="8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L25" i="3" s="1"/>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10" i="1" s="1"/>
  <c r="M10" i="1" s="1"/>
  <c r="O10" i="1"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W27" i="39" l="1"/>
  <c r="M20" i="15"/>
  <c r="M20" i="81"/>
  <c r="F34" i="81"/>
  <c r="F62" i="81" s="1"/>
  <c r="BA25" i="3"/>
  <c r="G26" i="3"/>
  <c r="AZ25" i="3"/>
  <c r="BA22" i="3"/>
  <c r="AZ22" i="3" s="1"/>
  <c r="F29" i="6"/>
  <c r="G28" i="6"/>
  <c r="BL20" i="3"/>
  <c r="AZ20" i="3" s="1"/>
  <c r="G19" i="3"/>
  <c r="BA19" i="3"/>
  <c r="G18" i="3"/>
  <c r="AZ18" i="3"/>
  <c r="G14" i="3"/>
  <c r="K13" i="1"/>
  <c r="M13" i="1" s="1"/>
  <c r="O13" i="1" s="1"/>
  <c r="P13" i="1" s="1"/>
  <c r="S38" i="39"/>
  <c r="S11" i="39"/>
  <c r="U40" i="39"/>
  <c r="BL15" i="3"/>
  <c r="AZ15" i="3" s="1"/>
  <c r="E8" i="6"/>
  <c r="F27" i="6" s="1"/>
  <c r="I4" i="6"/>
  <c r="G3" i="43" s="1"/>
  <c r="B113" i="43" s="1"/>
  <c r="D93" i="9"/>
  <c r="E12" i="6"/>
  <c r="E57" i="40" s="1"/>
  <c r="E15" i="6"/>
  <c r="E60" i="40" s="1"/>
  <c r="K6" i="1"/>
  <c r="AP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J56" i="9"/>
  <c r="J57" i="9" s="1"/>
  <c r="A24" i="51"/>
  <c r="B18" i="72" s="1"/>
  <c r="U29" i="34"/>
  <c r="E14" i="6"/>
  <c r="E64" i="39" s="1"/>
  <c r="E5" i="6"/>
  <c r="D9" i="11" s="1"/>
  <c r="C9" i="11" s="1"/>
  <c r="P10" i="1"/>
  <c r="E32" i="6"/>
  <c r="G1" i="68"/>
  <c r="K1" i="12"/>
  <c r="E28" i="6"/>
  <c r="E19" i="69"/>
  <c r="E19" i="68"/>
  <c r="E19" i="11"/>
  <c r="E1" i="73"/>
  <c r="K1" i="73" s="1"/>
  <c r="G41" i="69"/>
  <c r="G22" i="69"/>
  <c r="G41" i="68"/>
  <c r="G22" i="68"/>
  <c r="G27" i="12"/>
  <c r="G26" i="12"/>
  <c r="G41" i="11"/>
  <c r="G22" i="11"/>
  <c r="G25" i="12"/>
  <c r="C100" i="43"/>
  <c r="E11" i="43"/>
  <c r="E10" i="43"/>
  <c r="E9" i="43"/>
  <c r="E8" i="43"/>
  <c r="C7" i="43" s="1"/>
  <c r="E81" i="43"/>
  <c r="B79" i="43" s="1"/>
  <c r="AC11" i="43"/>
  <c r="AC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56"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6" i="67"/>
  <c r="F8" i="15"/>
  <c r="F43" i="15"/>
  <c r="M24" i="15"/>
  <c r="F8" i="67"/>
  <c r="M29" i="67"/>
  <c r="F9" i="67"/>
  <c r="C76" i="15"/>
  <c r="M28" i="15"/>
  <c r="L48" i="15"/>
  <c r="M22" i="15"/>
  <c r="M23" i="67"/>
  <c r="M22" i="67"/>
  <c r="F37" i="15"/>
  <c r="F16" i="15"/>
  <c r="F7" i="15"/>
  <c r="F40" i="67"/>
  <c r="F40" i="15"/>
  <c r="F36" i="67"/>
  <c r="F26" i="67"/>
  <c r="F36" i="15"/>
  <c r="M9" i="15"/>
  <c r="M23" i="15"/>
  <c r="G1" i="73"/>
  <c r="L47" i="67"/>
  <c r="M29" i="15"/>
  <c r="M9" i="67"/>
  <c r="F6" i="15"/>
  <c r="F43" i="67"/>
  <c r="F6" i="67"/>
  <c r="F42" i="15"/>
  <c r="J15" i="15"/>
  <c r="J15" i="67"/>
  <c r="F9" i="15"/>
  <c r="M8" i="15"/>
  <c r="C76" i="67"/>
  <c r="L48" i="67"/>
  <c r="L47" i="15"/>
  <c r="M8" i="67"/>
  <c r="M28" i="67"/>
  <c r="F26" i="15"/>
  <c r="F38" i="15"/>
  <c r="F37" i="67"/>
  <c r="M26" i="15"/>
  <c r="F7" i="67"/>
  <c r="F38" i="67"/>
  <c r="M6" i="15"/>
  <c r="F13" i="15"/>
  <c r="F13" i="67"/>
  <c r="M6" i="67"/>
  <c r="M24" i="67"/>
  <c r="F16" i="67"/>
  <c r="F42" i="67"/>
  <c r="AZ14" i="3" l="1"/>
  <c r="E62" i="39"/>
  <c r="AF11" i="43"/>
  <c r="AF13" i="43" s="1"/>
  <c r="E101" i="43"/>
  <c r="E104" i="43" s="1"/>
  <c r="G30" i="6"/>
  <c r="G31" i="6" s="1"/>
  <c r="F22" i="43"/>
  <c r="Z7" i="43"/>
  <c r="H101" i="43"/>
  <c r="H107" i="43" s="1"/>
  <c r="Y11" i="43"/>
  <c r="Y13" i="43" s="1"/>
  <c r="AG11" i="43"/>
  <c r="AG13" i="43" s="1"/>
  <c r="AB11" i="43"/>
  <c r="AB13" i="43" s="1"/>
  <c r="AJ11" i="43"/>
  <c r="AJ13" i="43" s="1"/>
  <c r="E56" i="40"/>
  <c r="L20" i="6"/>
  <c r="M101" i="43"/>
  <c r="M109" i="43" s="1"/>
  <c r="H22" i="43"/>
  <c r="L19" i="6"/>
  <c r="L21" i="6"/>
  <c r="L27" i="6" s="1"/>
  <c r="BA5" i="3"/>
  <c r="E27" i="6" s="1"/>
  <c r="J101" i="43"/>
  <c r="J106" i="43" s="1"/>
  <c r="N101" i="43"/>
  <c r="N107" i="43" s="1"/>
  <c r="G101" i="43"/>
  <c r="G109" i="43" s="1"/>
  <c r="K101" i="43"/>
  <c r="K109" i="43" s="1"/>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11" i="43"/>
  <c r="AA13" i="43" s="1"/>
  <c r="AE11" i="43"/>
  <c r="AE13" i="43" s="1"/>
  <c r="AI11" i="43"/>
  <c r="AI13" i="43" s="1"/>
  <c r="Z11" i="43"/>
  <c r="Z13" i="43" s="1"/>
  <c r="AD11" i="43"/>
  <c r="AD13" i="43" s="1"/>
  <c r="AH11" i="43"/>
  <c r="AH13" i="43" s="1"/>
  <c r="N105" i="43"/>
  <c r="G22" i="43"/>
  <c r="I101" i="43"/>
  <c r="I109" i="43" s="1"/>
  <c r="D101" i="43"/>
  <c r="D109" i="43" s="1"/>
  <c r="L101" i="43"/>
  <c r="L109" i="43" s="1"/>
  <c r="N104" i="46"/>
  <c r="C101" i="43"/>
  <c r="E22" i="43"/>
  <c r="D22" i="43" s="1"/>
  <c r="F101" i="43"/>
  <c r="C10" i="15"/>
  <c r="C53" i="15"/>
  <c r="C10" i="67"/>
  <c r="C53" i="67"/>
  <c r="L58" i="67"/>
  <c r="L58" i="15"/>
  <c r="Q73" i="15" s="1"/>
  <c r="N59" i="67"/>
  <c r="L59" i="67" s="1"/>
  <c r="J53" i="67"/>
  <c r="I54" i="67"/>
  <c r="N59" i="15"/>
  <c r="I54" i="15"/>
  <c r="AZ13" i="3"/>
  <c r="AZ5" i="3" s="1"/>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6" i="43"/>
  <c r="E103" i="43"/>
  <c r="M102" i="43"/>
  <c r="M104" i="43"/>
  <c r="M106" i="43"/>
  <c r="M107" i="43"/>
  <c r="M103" i="43"/>
  <c r="M105" i="43"/>
  <c r="H102" i="43"/>
  <c r="H103" i="43"/>
  <c r="H104" i="43"/>
  <c r="K19" i="6"/>
  <c r="S6" i="1" s="1"/>
  <c r="AQ6" i="1" s="1"/>
  <c r="K25" i="6"/>
  <c r="M25" i="6" s="1"/>
  <c r="I25" i="6" s="1"/>
  <c r="S25" i="6" s="1"/>
  <c r="K23" i="6"/>
  <c r="M23" i="6" s="1"/>
  <c r="I23" i="6" s="1"/>
  <c r="S23" i="6" s="1"/>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67"/>
  <c r="M17" i="15"/>
  <c r="F31" i="15"/>
  <c r="F59" i="67"/>
  <c r="M17" i="67"/>
  <c r="D9" i="68"/>
  <c r="C16" i="67"/>
  <c r="C16" i="15"/>
  <c r="C9" i="68" l="1"/>
  <c r="C24" i="81"/>
  <c r="E109" i="43"/>
  <c r="H105" i="43"/>
  <c r="H106" i="43"/>
  <c r="E105" i="43"/>
  <c r="E107" i="43"/>
  <c r="D105" i="43"/>
  <c r="AY6" i="3"/>
  <c r="E3" i="6"/>
  <c r="D102" i="43"/>
  <c r="D106" i="43"/>
  <c r="J107" i="43"/>
  <c r="G106" i="43"/>
  <c r="M19" i="6"/>
  <c r="D107" i="43"/>
  <c r="D104" i="43"/>
  <c r="D103" i="43"/>
  <c r="D113" i="43"/>
  <c r="J22" i="43" s="1"/>
  <c r="G107" i="43"/>
  <c r="J109" i="43"/>
  <c r="J102" i="43"/>
  <c r="G104" i="43"/>
  <c r="S7" i="1"/>
  <c r="K16" i="1"/>
  <c r="K102" i="43"/>
  <c r="K105" i="43"/>
  <c r="J104" i="43"/>
  <c r="J105" i="43"/>
  <c r="J103" i="43"/>
  <c r="N102" i="43"/>
  <c r="N106" i="43"/>
  <c r="N103" i="43"/>
  <c r="N104" i="43"/>
  <c r="N109" i="43"/>
  <c r="K103" i="43"/>
  <c r="K107" i="43"/>
  <c r="K106" i="43"/>
  <c r="K104" i="43"/>
  <c r="G105" i="43"/>
  <c r="G103" i="43"/>
  <c r="G102" i="43"/>
  <c r="F104" i="43"/>
  <c r="F102" i="43"/>
  <c r="F103" i="43"/>
  <c r="F109" i="43"/>
  <c r="F107" i="43"/>
  <c r="F106" i="43"/>
  <c r="F105" i="43"/>
  <c r="C104" i="43"/>
  <c r="C106" i="43"/>
  <c r="C107" i="43"/>
  <c r="C103" i="43"/>
  <c r="C105" i="43"/>
  <c r="C102" i="43"/>
  <c r="S5" i="43" s="1"/>
  <c r="T5" i="43" s="1"/>
  <c r="V5" i="43" s="1"/>
  <c r="C109" i="43"/>
  <c r="M21" i="6"/>
  <c r="I21" i="6" s="1"/>
  <c r="S21" i="6" s="1"/>
  <c r="S9" i="1"/>
  <c r="S12" i="1"/>
  <c r="S10" i="1"/>
  <c r="S11" i="1"/>
  <c r="S8" i="1"/>
  <c r="S13" i="1"/>
  <c r="S7" i="43"/>
  <c r="S6" i="43"/>
  <c r="T6" i="43" s="1"/>
  <c r="V6" i="43" s="1"/>
  <c r="S3" i="43"/>
  <c r="C23" i="43"/>
  <c r="C21" i="43" s="1"/>
  <c r="S2" i="43"/>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B21" i="1" s="1"/>
  <c r="Q60" i="67"/>
  <c r="Q73" i="67"/>
  <c r="F27" i="11"/>
  <c r="Q61" i="67"/>
  <c r="Q74" i="67"/>
  <c r="C49" i="67"/>
  <c r="F1" i="67"/>
  <c r="Q52" i="67"/>
  <c r="F27" i="68"/>
  <c r="C14" i="81"/>
  <c r="C17" i="15"/>
  <c r="C15" i="81" l="1"/>
  <c r="C18" i="81"/>
  <c r="E7" i="70"/>
  <c r="AQ7" i="1"/>
  <c r="S4" i="43"/>
  <c r="T4" i="43" s="1"/>
  <c r="V4" i="43" s="1"/>
  <c r="AQ8" i="1"/>
  <c r="AR8" i="1"/>
  <c r="T8" i="1"/>
  <c r="AQ10" i="1"/>
  <c r="AR10" i="1"/>
  <c r="T10" i="1"/>
  <c r="AR9" i="1"/>
  <c r="AQ9" i="1"/>
  <c r="T9" i="1"/>
  <c r="AR13" i="1"/>
  <c r="AQ13" i="1"/>
  <c r="T13" i="1"/>
  <c r="AQ11" i="1"/>
  <c r="T11" i="1"/>
  <c r="AR11" i="1"/>
  <c r="AR12" i="1"/>
  <c r="T12" i="1"/>
  <c r="AQ12" i="1"/>
  <c r="B24" i="1"/>
  <c r="B23" i="1"/>
  <c r="C26" i="68" s="1"/>
  <c r="D22" i="68" s="1"/>
  <c r="C29" i="68"/>
  <c r="D27" i="68" s="1"/>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F34" i="11"/>
  <c r="C37" i="11" s="1"/>
  <c r="AC10" i="40"/>
  <c r="C44" i="68"/>
  <c r="D41" i="68" s="1"/>
  <c r="C26" i="69"/>
  <c r="D22" i="69" s="1"/>
  <c r="C44" i="69"/>
  <c r="D41" i="69" s="1"/>
  <c r="C26" i="11"/>
  <c r="D22" i="11" s="1"/>
  <c r="C24" i="11"/>
  <c r="C44" i="11"/>
  <c r="D41" i="11"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69"/>
  <c r="C47" i="11"/>
  <c r="D45" i="11" s="1"/>
  <c r="C29" i="11"/>
  <c r="D27" i="11" s="1"/>
  <c r="C28" i="11"/>
  <c r="C27" i="11" s="1"/>
  <c r="L16" i="1"/>
  <c r="D10" i="68"/>
  <c r="F34" i="68"/>
  <c r="C19" i="81" l="1"/>
  <c r="C20" i="81" s="1"/>
  <c r="C26" i="81" s="1"/>
  <c r="C29" i="12"/>
  <c r="D28" i="12" s="1"/>
  <c r="J53" i="81"/>
  <c r="M59" i="81"/>
  <c r="L59" i="81" s="1"/>
  <c r="J53" i="15"/>
  <c r="C34" i="11"/>
  <c r="F50" i="68"/>
  <c r="F50" i="11"/>
  <c r="F11" i="12"/>
  <c r="C14" i="12" s="1"/>
  <c r="C26" i="12"/>
  <c r="D25" i="12" s="1"/>
  <c r="C23" i="11"/>
  <c r="C25" i="11"/>
  <c r="M59" i="15"/>
  <c r="L59" i="15" s="1"/>
  <c r="M59" i="67"/>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B29" i="1" s="1"/>
  <c r="C8" i="68" s="1"/>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36" i="68"/>
  <c r="C34" i="68"/>
  <c r="E6" i="76"/>
  <c r="C18" i="12" l="1"/>
  <c r="C23" i="81"/>
  <c r="C29" i="81" s="1"/>
  <c r="L56" i="15"/>
  <c r="F1" i="15"/>
  <c r="Q52" i="15"/>
  <c r="Q52" i="81"/>
  <c r="F1" i="81"/>
  <c r="Q61" i="81"/>
  <c r="Q74" i="81"/>
  <c r="Q74" i="15"/>
  <c r="Q61" i="15"/>
  <c r="C22" i="11"/>
  <c r="C31" i="11" s="1"/>
  <c r="R8" i="1"/>
  <c r="R12" i="1"/>
  <c r="R10" i="1"/>
  <c r="R13" i="1"/>
  <c r="R11" i="1"/>
  <c r="R9" i="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1"/>
  <c r="B6" i="76"/>
  <c r="M21" i="67"/>
  <c r="M21" i="81"/>
  <c r="F35" i="67"/>
  <c r="F35" i="15"/>
  <c r="M21" i="15"/>
  <c r="J59" i="81" l="1"/>
  <c r="J60" i="81" s="1"/>
  <c r="Q48" i="81" s="1"/>
  <c r="Q49" i="81"/>
  <c r="C33" i="81"/>
  <c r="J19" i="81"/>
  <c r="C57" i="81"/>
  <c r="J14" i="81"/>
  <c r="C36" i="81"/>
  <c r="C13" i="81"/>
  <c r="F63" i="81"/>
  <c r="C62" i="81" s="1"/>
  <c r="C34" i="81"/>
  <c r="J20" i="81"/>
  <c r="I5" i="6"/>
  <c r="B2" i="76"/>
  <c r="B3" i="76" s="1"/>
  <c r="B3" i="43"/>
  <c r="C49" i="21"/>
  <c r="F63" i="67"/>
  <c r="C62" i="67" s="1"/>
  <c r="C34" i="67"/>
  <c r="J20" i="67"/>
  <c r="C24" i="68"/>
  <c r="J20" i="15"/>
  <c r="F63" i="15"/>
  <c r="C62" i="15" s="1"/>
  <c r="C34" i="15"/>
  <c r="R16" i="1"/>
  <c r="C22" i="12"/>
  <c r="C33" i="68"/>
  <c r="I63" i="40"/>
  <c r="H65" i="40"/>
  <c r="C39" i="11"/>
  <c r="C43" i="11" s="1"/>
  <c r="C41" i="11" s="1"/>
  <c r="I70" i="39"/>
  <c r="J17" i="81" l="1"/>
  <c r="C31" i="81"/>
  <c r="Q70" i="81"/>
  <c r="C37" i="81"/>
  <c r="C75" i="81"/>
  <c r="C56" i="81"/>
  <c r="C65" i="81" s="1"/>
  <c r="J22" i="81"/>
  <c r="J13" i="81"/>
  <c r="J23" i="81" s="1"/>
  <c r="C61" i="81"/>
  <c r="C59" i="81" s="1"/>
  <c r="C64" i="81"/>
  <c r="C39" i="68"/>
  <c r="C43" i="68" s="1"/>
  <c r="C42" i="68"/>
  <c r="J63" i="40"/>
  <c r="I65" i="40"/>
  <c r="C46" i="11"/>
  <c r="C45" i="11" s="1"/>
  <c r="C49" i="11" s="1"/>
  <c r="C51" i="11" s="1"/>
  <c r="C52" i="11" s="1"/>
  <c r="B2" i="11" s="1"/>
  <c r="B3" i="11" s="1"/>
  <c r="J70" i="39"/>
  <c r="J16" i="81" l="1"/>
  <c r="J25" i="81" s="1"/>
  <c r="C58" i="81"/>
  <c r="C67" i="81" s="1"/>
  <c r="C30" i="81"/>
  <c r="C39" i="81" s="1"/>
  <c r="L57" i="81"/>
  <c r="L60" i="81" s="1"/>
  <c r="C41" i="68"/>
  <c r="C46" i="68"/>
  <c r="C45" i="68" s="1"/>
  <c r="K63" i="40"/>
  <c r="J65" i="40"/>
  <c r="K70" i="39"/>
  <c r="C56" i="11"/>
  <c r="C57" i="11" s="1"/>
  <c r="L51" i="81"/>
  <c r="Q67" i="81" l="1"/>
  <c r="C80" i="81"/>
  <c r="C79" i="81" s="1"/>
  <c r="Q69" i="81"/>
  <c r="Q68" i="81" s="1"/>
  <c r="Q66" i="81"/>
  <c r="Q57" i="81"/>
  <c r="L46" i="8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81"/>
  <c r="AE8" i="1"/>
  <c r="L51" i="15"/>
  <c r="F69" i="81" l="1"/>
  <c r="C68" i="81" s="1"/>
  <c r="J29" i="81"/>
  <c r="C40" i="81"/>
  <c r="C66" i="15"/>
  <c r="C60" i="15"/>
  <c r="C59" i="15" s="1"/>
  <c r="AG6" i="1"/>
  <c r="C80" i="15"/>
  <c r="C79" i="15" s="1"/>
  <c r="C65" i="15"/>
  <c r="Q68" i="15"/>
  <c r="L57" i="15"/>
  <c r="L60" i="15" s="1"/>
  <c r="Q67" i="15"/>
  <c r="F41" i="67"/>
  <c r="M27" i="15"/>
  <c r="M27" i="67"/>
  <c r="F41" i="15"/>
  <c r="Q47" i="81" l="1"/>
  <c r="Q53" i="81" s="1"/>
  <c r="B2" i="81"/>
  <c r="B3" i="81" s="1"/>
  <c r="D8" i="12" s="1"/>
  <c r="Q65" i="81"/>
  <c r="Q75" i="81" s="1"/>
  <c r="Q56" i="81"/>
  <c r="Q62" i="81" s="1"/>
  <c r="C43" i="81"/>
  <c r="C83" i="81"/>
  <c r="C82" i="81" s="1"/>
  <c r="C71" i="81"/>
  <c r="C46" i="8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E6" i="12" s="1"/>
  <c r="E8" i="12" s="1"/>
  <c r="C4" i="12" s="1"/>
  <c r="C43" i="67"/>
  <c r="C45" i="67"/>
  <c r="C46" i="67" s="1"/>
  <c r="Q65" i="67"/>
  <c r="Q75" i="67" s="1"/>
  <c r="Q56" i="67"/>
  <c r="Q62" i="67" s="1"/>
  <c r="Q47" i="67"/>
  <c r="Q53" i="67" s="1"/>
  <c r="D2" i="67"/>
  <c r="B2" i="67" s="1"/>
  <c r="AO8" i="1"/>
  <c r="E2" i="69"/>
  <c r="AO7" i="1"/>
  <c r="AO6" i="1"/>
  <c r="C31" i="12" l="1"/>
  <c r="C23" i="12"/>
  <c r="B8" i="70"/>
  <c r="B7" i="70"/>
  <c r="B6" i="70"/>
  <c r="C46" i="15"/>
  <c r="B2" i="69"/>
  <c r="B3" i="69" s="1"/>
  <c r="B3" i="67"/>
  <c r="D2" i="36"/>
  <c r="D2" i="34"/>
  <c r="D2" i="21"/>
  <c r="D2" i="33"/>
  <c r="E2" i="68"/>
  <c r="F20" i="31"/>
  <c r="D2" i="37"/>
  <c r="D2" i="35"/>
  <c r="C30" i="12" l="1"/>
  <c r="C28" i="12" s="1"/>
  <c r="C27" i="12"/>
  <c r="C25" i="12" s="1"/>
  <c r="B20" i="31"/>
  <c r="B2" i="36"/>
  <c r="B3" i="36" s="1"/>
  <c r="B2" i="35"/>
  <c r="B3" i="35" s="1"/>
  <c r="B2" i="37"/>
  <c r="B3" i="37" s="1"/>
  <c r="B2" i="34"/>
  <c r="B3" i="34" s="1"/>
  <c r="B2" i="21"/>
  <c r="B3" i="21" s="1"/>
  <c r="B2" i="70"/>
  <c r="B3" i="70"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0" i="68" l="1"/>
  <c r="C23" i="68"/>
  <c r="C25" i="68" l="1"/>
  <c r="C22" i="68" s="1"/>
  <c r="C28" i="68"/>
  <c r="C27" i="68" s="1"/>
  <c r="H112" i="9"/>
  <c r="D21" i="53" s="1"/>
  <c r="B39" i="72" s="1"/>
  <c r="H111" i="9"/>
  <c r="D126" i="9" s="1"/>
  <c r="D19" i="53"/>
  <c r="D59" i="9"/>
  <c r="M55" i="9"/>
  <c r="C31" i="68" l="1"/>
  <c r="C52" i="68" s="1"/>
  <c r="B38" i="72"/>
  <c r="D20" i="53"/>
  <c r="B40" i="72" s="1"/>
  <c r="I14" i="74"/>
  <c r="B8" i="74" s="1"/>
  <c r="D127" i="9"/>
  <c r="D13" i="52" s="1"/>
  <c r="D12" i="52"/>
  <c r="C57" i="68" l="1"/>
  <c r="C56" i="68" s="1"/>
  <c r="B2" i="68"/>
  <c r="D8" i="74"/>
  <c r="C8" i="74"/>
  <c r="C19" i="9"/>
  <c r="D22" i="9" l="1"/>
  <c r="G19" i="9"/>
  <c r="C21" i="9"/>
  <c r="C102" i="9"/>
  <c r="B3" i="68"/>
  <c r="C20" i="9"/>
  <c r="D34" i="9"/>
  <c r="D35" i="9"/>
  <c r="C103" i="9" l="1"/>
  <c r="G20" i="9"/>
  <c r="C32" i="9"/>
  <c r="G21" i="9"/>
  <c r="H118" i="9" l="1"/>
  <c r="C35" i="9"/>
  <c r="F118" i="9" s="1"/>
  <c r="C34" i="9" l="1"/>
  <c r="D118" i="9" s="1"/>
  <c r="D119" i="9" s="1"/>
  <c r="D5" i="52" s="1"/>
  <c r="B49" i="72" s="1"/>
  <c r="G118" i="9"/>
  <c r="G4" i="52" s="1"/>
  <c r="B52" i="72" s="1"/>
  <c r="F119" i="9"/>
  <c r="F5" i="52" s="1"/>
  <c r="B53" i="72" s="1"/>
  <c r="F4" i="52"/>
  <c r="B51" i="72" s="1"/>
  <c r="C104" i="9"/>
  <c r="H101" i="9"/>
  <c r="D14" i="74"/>
  <c r="I118" i="9"/>
  <c r="H4" i="52"/>
  <c r="H119" i="9"/>
  <c r="H5" i="52" s="1"/>
  <c r="D4" i="52" l="1"/>
  <c r="B47" i="72" s="1"/>
  <c r="C105" i="9"/>
  <c r="E118" i="9"/>
  <c r="E4" i="52" s="1"/>
  <c r="B48" i="72" s="1"/>
  <c r="I4" i="52"/>
  <c r="H102" i="9"/>
  <c r="D7" i="53" s="1"/>
  <c r="B21" i="72" s="1"/>
  <c r="M48" i="9"/>
  <c r="H107" i="9"/>
  <c r="M49" i="9" s="1"/>
  <c r="D45" i="9"/>
  <c r="D5" i="53"/>
  <c r="E14" i="74"/>
  <c r="F14" i="74"/>
  <c r="B5" i="74"/>
  <c r="L68" i="9" l="1"/>
  <c r="M68" i="9" s="1"/>
  <c r="L66" i="9"/>
  <c r="M66" i="9" s="1"/>
  <c r="L63" i="9"/>
  <c r="M63" i="9" s="1"/>
  <c r="L65" i="9"/>
  <c r="M65" i="9" s="1"/>
  <c r="L64" i="9"/>
  <c r="M64" i="9" s="1"/>
  <c r="L67" i="9"/>
  <c r="M67" i="9" s="1"/>
  <c r="D5" i="74"/>
  <c r="C5" i="74"/>
  <c r="B20" i="72"/>
  <c r="D6" i="53"/>
  <c r="B22" i="72" s="1"/>
  <c r="D13" i="53"/>
  <c r="H108" i="9"/>
  <c r="D15" i="53" s="1"/>
  <c r="B31" i="72" s="1"/>
  <c r="D122" i="9"/>
  <c r="D53" i="9"/>
  <c r="C93" i="9"/>
  <c r="C86" i="9" s="1"/>
  <c r="C78" i="9"/>
  <c r="C73" i="9" s="1"/>
  <c r="C72" i="9"/>
  <c r="C64" i="9"/>
  <c r="C63" i="9" s="1"/>
  <c r="C67" i="9" s="1"/>
  <c r="C68" i="9" s="1"/>
  <c r="D54" i="9" s="1"/>
  <c r="D52" i="9"/>
  <c r="C85" i="9"/>
  <c r="D55" i="9"/>
  <c r="M53" i="9" s="1"/>
  <c r="AD3" i="71"/>
  <c r="P21" i="43" s="1"/>
  <c r="M69" i="9" l="1"/>
  <c r="N69" i="9" s="1"/>
  <c r="C95" i="9"/>
  <c r="C96" i="9" s="1"/>
  <c r="E96" i="9" s="1"/>
  <c r="E97" i="9" s="1"/>
  <c r="C79" i="9"/>
  <c r="D123" i="9"/>
  <c r="D9" i="52" s="1"/>
  <c r="G14" i="74"/>
  <c r="B6" i="74" s="1"/>
  <c r="D8" i="52"/>
  <c r="D14" i="53"/>
  <c r="B32" i="72" s="1"/>
  <c r="B30" i="72"/>
  <c r="P22" i="43"/>
  <c r="P23" i="43"/>
  <c r="B71" i="39" s="1"/>
  <c r="P24" i="43"/>
  <c r="B66" i="40" s="1"/>
  <c r="P25" i="43"/>
  <c r="C97" i="9" l="1"/>
  <c r="D58" i="9" s="1"/>
  <c r="D56" i="9" s="1"/>
  <c r="M54" i="9" s="1"/>
  <c r="N57" i="9" s="1"/>
  <c r="P57" i="9" s="1"/>
  <c r="C6" i="74"/>
  <c r="D6" i="74"/>
  <c r="C80" i="9"/>
  <c r="E80" i="9" s="1"/>
  <c r="E81" i="9" s="1"/>
  <c r="N58"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<sst xmlns="http://schemas.openxmlformats.org/spreadsheetml/2006/main" count="8446" uniqueCount="3329">
  <si>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</si>
  <si>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</si>
  <si>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</si>
  <si>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</si>
  <si>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</si>
  <si>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</si>
  <si>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</si>
  <si>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</si>
  <si>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</si>
  <si>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</si>
  <si>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</si>
  <si>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</si>
  <si>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</si>
  <si>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</si>
  <si>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</si>
  <si>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</si>
  <si>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</si>
  <si>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</si>
  <si>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</si>
  <si>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</si>
  <si>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</si>
  <si>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</si>
  <si>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</si>
  <si>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</si>
  <si>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</si>
  <si>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</si>
  <si>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</si>
  <si>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</si>
  <si>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</si>
  <si>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</si>
  <si>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</si>
  <si>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</si>
  <si>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</si>
  <si>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</si>
  <si>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</si>
  <si>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</si>
  <si>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</si>
  <si>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</si>
  <si>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</si>
  <si>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</si>
  <si>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</si>
  <si>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</si>
  <si>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</si>
  <si>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</si>
  <si>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</si>
  <si>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</si>
  <si>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</si>
  <si>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</si>
  <si>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</si>
  <si>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</si>
  <si>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</si>
  <si>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</si>
  <si>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</si>
  <si>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</si>
  <si>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</si>
  <si>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</si>
  <si>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</si>
  <si>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</si>
  <si>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</si>
  <si>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</si>
  <si>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</si>
  <si>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</si>
  <si>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</si>
  <si>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</si>
  <si>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</si>
  <si>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</si>
  <si>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</si>
  <si>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</si>
  <si>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</si>
  <si>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</si>
  <si>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</si>
  <si>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</si>
  <si>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</si>
  <si>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</si>
  <si>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</si>
  <si>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</si>
  <si>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</si>
  <si>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</si>
  <si>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</si>
  <si>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</si>
  <si>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</si>
  <si>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</si>
  <si>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</si>
  <si>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</si>
  <si>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</si>
  <si>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</si>
  <si>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</si>
  <si>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</si>
  <si>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</si>
  <si>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</si>
  <si>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</si>
  <si>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</si>
  <si>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</si>
  <si>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</si>
  <si>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</si>
  <si>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</si>
  <si>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</si>
  <si>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</si>
  <si>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</si>
  <si>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</si>
  <si>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</si>
  <si>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</si>
  <si>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</si>
  <si>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</si>
  <si>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</si>
  <si>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</si>
  <si>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</si>
  <si>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</si>
  <si>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</si>
  <si>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</si>
  <si>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</si>
  <si>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</si>
  <si>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</si>
  <si>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</si>
  <si>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</si>
  <si>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</si>
  <si>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</si>
  <si>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</si>
  <si>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</si>
  <si>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</si>
  <si>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</si>
  <si>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</si>
  <si>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</si>
  <si>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</si>
  <si>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</si>
  <si>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</si>
  <si>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</si>
  <si>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</si>
  <si>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</si>
  <si>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</si>
  <si>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</si>
  <si>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</si>
  <si>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</si>
  <si>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</si>
  <si>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</si>
  <si>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</si>
  <si>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</si>
  <si>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</si>
  <si>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</si>
  <si>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</si>
  <si>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</si>
  <si>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</si>
  <si>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</si>
  <si>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</si>
  <si>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</si>
  <si>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</si>
  <si>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</si>
  <si>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</si>
  <si>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</si>
  <si>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</si>
  <si>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</si>
  <si>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</si>
  <si>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</si>
  <si>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</si>
  <si>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</si>
  <si>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</si>
  <si>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</si>
  <si>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</si>
  <si>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</si>
  <si>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</si>
  <si>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</si>
  <si>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</si>
  <si>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</si>
  <si>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</si>
  <si>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</si>
  <si>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</si>
  <si>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</si>
  <si>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</si>
  <si>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</si>
  <si>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</si>
  <si>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</si>
  <si>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</si>
  <si>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</si>
  <si>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</si>
  <si>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</si>
  <si>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</si>
  <si>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</si>
  <si>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</si>
  <si>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</si>
  <si>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</si>
  <si>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</si>
  <si>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</si>
  <si>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</si>
  <si>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</si>
  <si>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</si>
  <si>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</si>
  <si>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</si>
  <si>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</si>
  <si>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</si>
  <si>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</si>
  <si>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</si>
  <si>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</si>
  <si>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</si>
  <si>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</si>
  <si>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</si>
  <si>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</si>
  <si>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</si>
  <si>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</si>
  <si>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</si>
  <si>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</si>
  <si>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</si>
  <si>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</si>
  <si>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</si>
  <si>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</si>
  <si>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</si>
  <si>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</si>
  <si>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</si>
  <si>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</si>
  <si>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</si>
  <si>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</si>
  <si>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</si>
  <si>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</si>
  <si>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</si>
  <si>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</si>
  <si>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</si>
  <si>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</si>
  <si>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</si>
  <si>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</si>
  <si>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</si>
  <si>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</si>
  <si>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</si>
  <si>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</si>
  <si>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</si>
  <si>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</si>
  <si>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</si>
  <si>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</si>
  <si>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</si>
  <si>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</si>
  <si>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</si>
  <si>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</si>
  <si>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</si>
  <si>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</si>
  <si>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</si>
  <si>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</si>
  <si>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</si>
  <si>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</si>
  <si>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</si>
  <si>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</si>
  <si>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</si>
  <si>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</si>
  <si>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</si>
  <si>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</si>
  <si>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</si>
  <si>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</si>
  <si>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</si>
  <si>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</si>
  <si>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</si>
  <si>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</si>
  <si>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</si>
  <si>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</si>
  <si>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</si>
  <si>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</si>
  <si>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</si>
  <si>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</si>
  <si>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</si>
  <si>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</si>
  <si>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</si>
  <si>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</si>
  <si>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</si>
  <si>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</si>
  <si>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</si>
  <si>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</si>
  <si>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</si>
  <si>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</si>
  <si>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</si>
  <si>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</si>
  <si>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</si>
  <si>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</si>
  <si>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</si>
  <si>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</si>
  <si>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</si>
  <si>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</si>
  <si>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</si>
  <si>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</si>
  <si>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</si>
  <si>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</si>
  <si>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</si>
  <si>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</si>
  <si>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</si>
  <si>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</si>
  <si>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</si>
  <si>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</si>
  <si>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</si>
  <si>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</si>
  <si>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</si>
  <si>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</si>
  <si>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</si>
  <si>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</si>
  <si>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</si>
  <si>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</si>
  <si>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</si>
  <si>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</si>
  <si>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</si>
  <si>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</si>
  <si>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</si>
  <si>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</si>
  <si>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</si>
  <si>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</si>
  <si>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</si>
  <si>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</si>
  <si>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</si>
  <si>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</si>
  <si>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</si>
  <si>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</si>
  <si>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</si>
  <si>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</si>
  <si>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</si>
  <si>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</si>
  <si>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</si>
  <si>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</si>
  <si>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</si>
  <si>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</si>
  <si>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</si>
  <si>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</si>
  <si>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</si>
  <si>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</si>
  <si>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</si>
  <si>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</si>
  <si>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</si>
  <si>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</si>
  <si>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</si>
  <si>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</si>
  <si>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</si>
  <si>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</si>
  <si>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</si>
  <si>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</si>
  <si>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</si>
  <si>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</si>
  <si>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</si>
  <si>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</si>
  <si>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</si>
  <si>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</si>
  <si>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</si>
  <si>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</si>
  <si>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</si>
  <si>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</si>
  <si>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</si>
  <si>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</si>
  <si>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</si>
  <si>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</si>
  <si>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</si>
  <si>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</si>
  <si>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</si>
  <si>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</si>
  <si>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</si>
  <si>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</si>
  <si>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</si>
  <si>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</si>
  <si>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</si>
  <si>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</si>
  <si>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</si>
  <si>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</si>
  <si>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</si>
  <si>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</si>
  <si>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</si>
  <si>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</si>
  <si>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</si>
  <si>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</si>
  <si>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</si>
  <si>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</si>
  <si>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</si>
  <si>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</si>
  <si>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</si>
  <si>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</si>
  <si>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</si>
  <si>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</si>
  <si>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</si>
  <si>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</si>
  <si>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</si>
  <si>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</si>
  <si>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</si>
  <si>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</si>
  <si>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</si>
  <si>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</si>
  <si>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</si>
  <si>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</si>
  <si>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</si>
  <si>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</si>
  <si>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</si>
  <si>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</si>
  <si>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</si>
  <si>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</si>
  <si>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</si>
  <si>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</si>
  <si>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</si>
  <si>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</si>
  <si>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</si>
  <si>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</si>
  <si>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</si>
  <si>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</si>
  <si>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</si>
  <si>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</si>
  <si>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</si>
  <si>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</si>
  <si>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</si>
  <si>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</si>
  <si>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</si>
  <si>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</si>
  <si>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</si>
  <si>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</si>
  <si>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</si>
  <si>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</si>
  <si>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</si>
  <si>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</si>
  <si>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</si>
  <si>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</si>
  <si>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</si>
  <si>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</si>
  <si>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</si>
  <si>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</si>
  <si>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</si>
  <si>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</si>
  <si>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</si>
  <si>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</si>
  <si>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</si>
  <si>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</si>
  <si>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</si>
  <si>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</si>
  <si>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</si>
  <si>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</si>
  <si>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</si>
  <si>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</si>
  <si>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</si>
  <si>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</si>
  <si>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</si>
  <si>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</si>
  <si>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</si>
  <si>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</si>
  <si>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</si>
  <si>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</si>
  <si>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</si>
  <si>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</si>
  <si>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</si>
  <si>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</si>
  <si>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</si>
  <si>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</si>
  <si>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</si>
  <si>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</si>
  <si>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</si>
  <si>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</si>
  <si>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</si>
  <si>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</si>
  <si>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</si>
  <si>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</si>
  <si>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</si>
  <si>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</si>
  <si>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</si>
  <si>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</si>
  <si>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</si>
  <si>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</si>
  <si>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</si>
  <si>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</si>
  <si>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</si>
  <si>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</si>
  <si>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</si>
  <si>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</si>
  <si>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</si>
  <si>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</si>
  <si>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</si>
  <si>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</si>
  <si>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</si>
  <si>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</si>
  <si>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</si>
  <si>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</si>
  <si>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</si>
  <si>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</si>
  <si>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</si>
  <si>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</si>
  <si>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</si>
  <si>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</si>
  <si>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</si>
  <si>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</si>
  <si>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</si>
  <si>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</si>
  <si>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</si>
  <si>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</si>
  <si>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</si>
  <si>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</si>
  <si>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</si>
  <si>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</si>
  <si>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</si>
  <si>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</si>
  <si>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</si>
  <si>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</si>
  <si>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</si>
  <si>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</si>
  <si>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</si>
  <si>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</si>
  <si>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</si>
  <si>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</si>
  <si>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</si>
  <si>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</si>
  <si>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</si>
  <si>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</si>
  <si>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</si>
  <si>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</si>
  <si>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</si>
  <si>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</si>
  <si>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</si>
  <si>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</si>
  <si>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</si>
  <si>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</si>
  <si>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</si>
  <si>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</si>
  <si>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</si>
  <si>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</si>
  <si>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</si>
  <si>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</si>
  <si>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</si>
  <si>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</si>
  <si>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</si>
  <si>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</si>
  <si>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</si>
  <si>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</si>
  <si>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</si>
  <si>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</si>
  <si>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</si>
  <si>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</si>
  <si>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</si>
  <si>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</si>
  <si>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</si>
  <si>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</si>
  <si>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</si>
  <si>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</si>
  <si>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</si>
  <si>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</si>
  <si>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</si>
  <si>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</si>
  <si>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</si>
  <si>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</si>
  <si>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</si>
  <si>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</si>
  <si>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</si>
  <si>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</si>
  <si>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</si>
  <si>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</si>
  <si>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</si>
  <si>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</si>
  <si>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</si>
  <si>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</si>
  <si>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</si>
  <si>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</si>
  <si>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</si>
  <si>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</si>
  <si>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</si>
  <si>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</si>
  <si>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</si>
  <si>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</si>
  <si>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</si>
  <si>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</si>
  <si>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</si>
  <si>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</si>
  <si>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</si>
  <si>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</si>
  <si>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</si>
  <si>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</si>
  <si>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</si>
  <si>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</si>
  <si>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</si>
  <si>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</si>
  <si>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</si>
  <si>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</si>
  <si>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</si>
  <si>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</si>
  <si>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</si>
  <si>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</si>
  <si>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</si>
  <si>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</si>
  <si>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</si>
  <si>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</si>
  <si>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</si>
  <si>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</si>
  <si>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</si>
  <si>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</si>
  <si>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</si>
  <si>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</si>
  <si>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</si>
  <si>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</si>
  <si>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</si>
  <si>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</si>
  <si>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</si>
  <si>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</si>
  <si>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</si>
  <si>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</si>
  <si>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</si>
  <si>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</si>
  <si>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</si>
  <si>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</si>
  <si>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</si>
  <si>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</si>
  <si>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</si>
  <si>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</si>
  <si>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</si>
  <si>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</si>
  <si>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</si>
  <si>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</si>
  <si>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</si>
  <si>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</si>
  <si>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</si>
  <si>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</si>
  <si>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</si>
  <si>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</si>
  <si>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</si>
  <si>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</si>
  <si>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</si>
  <si>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</si>
  <si>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</si>
  <si>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</si>
  <si>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</si>
  <si>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</si>
  <si>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</si>
  <si>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</si>
  <si>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</si>
  <si>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</si>
  <si>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</si>
  <si>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</si>
  <si>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</si>
  <si>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</si>
  <si>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</si>
  <si>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</si>
  <si>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</si>
  <si>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</si>
  <si>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</si>
  <si>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</si>
  <si>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</si>
  <si>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</si>
  <si>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</si>
  <si>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</si>
  <si>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</si>
  <si>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</si>
  <si>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</si>
  <si>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</si>
  <si>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</si>
  <si>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</si>
  <si>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</si>
  <si>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</si>
  <si>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</si>
  <si>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</si>
  <si>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</si>
  <si>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</si>
  <si>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</si>
  <si>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</si>
  <si>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</si>
  <si>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</si>
  <si>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</si>
  <si>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</si>
  <si>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</si>
  <si>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</si>
  <si>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</si>
  <si>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</si>
  <si>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</si>
  <si>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</si>
  <si>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</si>
  <si>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</si>
  <si>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</si>
  <si>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</si>
  <si>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</si>
  <si>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</si>
  <si>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</si>
  <si>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</si>
  <si>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</si>
  <si>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</si>
  <si>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</si>
  <si>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</si>
  <si>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</si>
  <si>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</si>
  <si>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</si>
  <si>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</si>
  <si>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</si>
  <si>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</si>
  <si>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</si>
  <si>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</si>
  <si>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</si>
  <si>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</si>
  <si>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</si>
  <si>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</si>
  <si>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</si>
  <si>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</si>
  <si>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</si>
  <si>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</si>
  <si>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</si>
  <si>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</si>
  <si>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</si>
  <si>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</si>
  <si>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</si>
  <si>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</si>
  <si>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</si>
  <si>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</si>
  <si>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</si>
  <si>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</si>
  <si>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</si>
  <si>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</si>
  <si>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</si>
  <si>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</si>
  <si>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</si>
  <si>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</si>
  <si>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</si>
  <si>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</si>
  <si>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</si>
  <si>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</si>
  <si>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</si>
  <si>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</si>
  <si>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</si>
  <si>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</si>
  <si>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</si>
  <si>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</si>
  <si>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</si>
  <si>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</si>
  <si>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</si>
  <si>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</si>
  <si>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</si>
  <si>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</si>
  <si>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</si>
  <si>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</si>
  <si>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</si>
  <si>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</si>
  <si>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</si>
  <si>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</si>
  <si>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</si>
  <si>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</si>
  <si>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</si>
  <si>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</si>
  <si>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</si>
  <si>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</si>
  <si>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</si>
  <si>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</si>
  <si>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</si>
  <si>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</si>
  <si>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</si>
  <si>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</si>
  <si>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</si>
  <si>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</si>
  <si>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</si>
  <si>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</si>
  <si>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</si>
  <si>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</si>
  <si>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</si>
  <si>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</si>
  <si>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</si>
  <si>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</si>
  <si>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</si>
  <si>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</si>
  <si>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</si>
  <si>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</si>
  <si>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</si>
  <si>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</si>
  <si>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</si>
  <si>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</si>
  <si>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</si>
  <si>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</si>
  <si>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</si>
  <si>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</si>
  <si>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</si>
  <si>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</si>
  <si>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</si>
  <si>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</si>
  <si>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</si>
  <si>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</si>
  <si>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</si>
  <si>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</si>
  <si>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</si>
  <si>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</si>
  <si>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</si>
  <si>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</si>
  <si>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</si>
  <si>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</si>
  <si>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</si>
  <si>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</si>
  <si>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</si>
  <si>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</si>
  <si>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</si>
  <si>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</si>
  <si>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</si>
  <si>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</si>
  <si>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</si>
  <si>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</si>
  <si>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</si>
  <si>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</si>
  <si>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</si>
  <si>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</si>
  <si>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</si>
  <si>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</si>
  <si>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</si>
  <si>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</si>
  <si>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</si>
  <si>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</si>
  <si>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</si>
  <si>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</si>
  <si>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</si>
  <si>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</si>
  <si>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</si>
  <si>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</si>
  <si>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</si>
  <si>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</si>
  <si>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</si>
  <si>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</si>
  <si>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</si>
  <si>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</si>
  <si>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</si>
  <si>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</si>
  <si>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</si>
  <si>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</si>
  <si>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</si>
  <si>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</si>
  <si>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</si>
  <si>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</si>
  <si>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</si>
  <si>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</si>
  <si>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</si>
  <si>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</si>
  <si>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</si>
  <si>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</si>
  <si>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</si>
  <si>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</si>
  <si>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</si>
  <si>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</si>
  <si>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</si>
  <si>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</si>
  <si>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</si>
  <si>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</si>
  <si>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</si>
  <si>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</si>
  <si>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</si>
  <si>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</si>
  <si>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</si>
  <si>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</si>
  <si>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</si>
  <si>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</si>
  <si>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</si>
  <si>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</si>
  <si>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</si>
  <si>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</si>
  <si>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</si>
  <si>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</si>
  <si>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</si>
  <si>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</si>
  <si>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</si>
  <si>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</si>
  <si>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</si>
  <si>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</si>
  <si>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</si>
  <si>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</si>
  <si>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</si>
  <si>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</si>
  <si>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</si>
  <si>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</si>
  <si>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</si>
  <si>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</si>
  <si>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</si>
  <si>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</si>
  <si>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</si>
  <si>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</si>
  <si>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</si>
  <si>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</si>
  <si>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</si>
  <si>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</si>
  <si>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</si>
  <si>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</si>
  <si>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</si>
  <si>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</si>
  <si>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</si>
  <si>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</si>
  <si>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</si>
  <si>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</si>
  <si>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</si>
  <si>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</si>
  <si>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</si>
  <si>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</si>
  <si>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</si>
  <si>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</si>
  <si>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</si>
  <si>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</si>
  <si>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</si>
  <si>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</si>
  <si>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</si>
  <si>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</si>
  <si>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</si>
  <si>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</si>
  <si>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</si>
  <si>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</si>
  <si>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</si>
  <si>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</si>
  <si>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</si>
  <si>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</si>
  <si>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</si>
  <si>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</si>
  <si>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</si>
  <si>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</si>
  <si>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</si>
  <si>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</si>
  <si>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</si>
  <si>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</si>
  <si>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</si>
  <si>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</si>
  <si>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</si>
  <si>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</si>
  <si>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</si>
  <si>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</si>
  <si>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</si>
  <si>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</si>
  <si>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</si>
  <si>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</si>
  <si>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</si>
  <si>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</si>
  <si>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</si>
  <si>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</si>
  <si>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</si>
  <si>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</si>
  <si>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</si>
  <si>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</si>
  <si>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</si>
  <si>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</si>
  <si>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</si>
  <si>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</si>
  <si>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</si>
  <si>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</si>
  <si>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</si>
  <si>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</si>
  <si>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</si>
  <si>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</si>
  <si>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</si>
  <si>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</si>
  <si>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</si>
  <si>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</si>
  <si>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</si>
  <si>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</si>
  <si>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</si>
  <si>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</si>
  <si>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</si>
  <si>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</si>
  <si>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</si>
  <si>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</si>
  <si>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</si>
  <si>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</si>
  <si>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</si>
  <si>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</si>
  <si>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</si>
  <si>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</si>
  <si>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</si>
  <si>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</si>
  <si>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</si>
  <si>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</si>
  <si>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</si>
  <si>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</si>
  <si>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</si>
  <si>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</si>
  <si>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</si>
  <si>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</si>
  <si>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</si>
  <si>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</si>
  <si>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</si>
  <si>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</si>
  <si>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</si>
  <si>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</si>
  <si>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</si>
  <si>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</si>
  <si>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</si>
  <si>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</si>
  <si>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</si>
  <si>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</si>
  <si>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</si>
  <si>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</si>
  <si>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</si>
  <si>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</si>
  <si>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</si>
  <si>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</si>
  <si>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</si>
  <si>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</si>
  <si>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</si>
  <si>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</si>
  <si>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</si>
  <si>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</si>
  <si>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</si>
  <si>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</si>
  <si>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</si>
  <si>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</si>
  <si>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</si>
  <si>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</si>
  <si>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</si>
  <si>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</si>
  <si>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</si>
  <si>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</si>
  <si>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</si>
  <si>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</si>
  <si>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</si>
  <si>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</si>
  <si>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</si>
  <si>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</si>
  <si>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</si>
  <si>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</si>
  <si>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</si>
  <si>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</si>
  <si>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</si>
  <si>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</si>
  <si>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</si>
  <si>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</si>
  <si>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</si>
  <si>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</si>
  <si>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</si>
  <si>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</si>
  <si>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</si>
  <si>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</si>
  <si>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</si>
  <si>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</si>
  <si>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</si>
  <si>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</si>
  <si>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</si>
  <si>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</si>
  <si>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</si>
  <si>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</si>
  <si>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</si>
  <si>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</si>
  <si>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</si>
  <si>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</si>
  <si>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</si>
  <si>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</si>
  <si>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</si>
  <si>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</si>
  <si>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</si>
  <si>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</si>
  <si>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</si>
  <si>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</si>
  <si>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</si>
  <si>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</si>
  <si>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</si>
  <si>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</si>
  <si>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</si>
  <si>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</si>
  <si>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</si>
  <si>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</si>
  <si>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</si>
  <si>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</si>
  <si>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</si>
  <si>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</si>
  <si>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</si>
  <si>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</si>
  <si>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</si>
  <si>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</si>
  <si>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</si>
  <si>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</si>
  <si>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</si>
  <si>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</si>
  <si>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</si>
  <si>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</si>
  <si>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</si>
  <si>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</si>
  <si>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</si>
  <si>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</si>
  <si>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</si>
  <si>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</si>
  <si>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</si>
  <si>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</si>
  <si>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</si>
  <si>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</si>
  <si>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</si>
  <si>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</si>
  <si>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</si>
  <si>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</si>
  <si>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</si>
  <si>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</si>
  <si>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</si>
  <si>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</si>
  <si>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</si>
  <si>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</si>
  <si>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</si>
  <si>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</si>
  <si>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</si>
  <si>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</si>
  <si>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</si>
  <si>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</si>
  <si>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</si>
  <si>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</si>
  <si>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</si>
  <si>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</si>
  <si>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</si>
  <si>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</si>
  <si>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</si>
  <si>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</si>
  <si>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</si>
  <si>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</si>
  <si>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</si>
  <si>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</si>
  <si>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</si>
  <si>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</si>
  <si>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</si>
  <si>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</si>
  <si>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</si>
  <si>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</si>
  <si>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</si>
  <si>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</si>
  <si>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</si>
  <si>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</si>
  <si>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</si>
  <si>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</si>
  <si>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</si>
  <si>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</si>
  <si>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</si>
  <si>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</si>
  <si>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</si>
  <si>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</si>
  <si>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</si>
  <si>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</si>
  <si>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</si>
  <si>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</si>
  <si>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</si>
  <si>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</si>
  <si>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</si>
  <si>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</si>
  <si>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</si>
  <si>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</si>
  <si>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</si>
  <si>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</si>
  <si>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</si>
  <si>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</si>
  <si>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</si>
  <si>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</si>
  <si>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</si>
  <si>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</si>
  <si>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</si>
  <si>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</si>
  <si>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</si>
  <si>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</si>
  <si>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</si>
  <si>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</si>
  <si>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</si>
  <si>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</si>
  <si>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</si>
  <si>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</si>
  <si>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</si>
  <si>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</si>
  <si>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</si>
  <si>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</si>
  <si>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</si>
  <si>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</si>
  <si>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</si>
  <si>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</si>
  <si>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</si>
  <si>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</si>
  <si>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</si>
  <si>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</si>
  <si>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</si>
  <si>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</si>
  <si>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</si>
  <si>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</si>
  <si>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</si>
  <si>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</si>
  <si>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</si>
  <si>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</si>
  <si>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</si>
  <si>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</si>
  <si>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</si>
  <si>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</si>
  <si>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</si>
  <si>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</si>
  <si>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</si>
  <si>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</si>
  <si>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</si>
  <si>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</si>
  <si>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</si>
  <si>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</si>
  <si>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</si>
  <si>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</si>
  <si>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</si>
  <si>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</si>
  <si>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</si>
  <si>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</si>
  <si>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</si>
  <si>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</si>
  <si>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</si>
  <si>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</si>
  <si>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</si>
  <si>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</si>
  <si>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</si>
  <si>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</si>
  <si>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</si>
  <si>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</si>
  <si>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</si>
  <si>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</si>
  <si>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</si>
  <si>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</si>
  <si>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</si>
  <si>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</si>
  <si>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</si>
  <si>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</si>
  <si>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</si>
  <si>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</si>
  <si>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</si>
  <si>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</si>
  <si>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</si>
  <si>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</si>
  <si>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</si>
  <si>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</si>
  <si>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</si>
  <si>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</si>
  <si>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</si>
  <si>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</si>
  <si>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</si>
  <si>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</si>
  <si>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</si>
  <si>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</si>
  <si>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</si>
  <si>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</si>
  <si>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</si>
  <si>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</si>
  <si>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</si>
  <si>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</si>
  <si>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</si>
  <si>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</si>
  <si>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</si>
  <si>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</si>
  <si>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</si>
  <si>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</si>
  <si>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</si>
  <si>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</si>
  <si>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</si>
  <si>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</si>
  <si>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</si>
  <si>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</si>
  <si>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</si>
  <si>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</si>
  <si>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</si>
  <si>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</si>
  <si>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</si>
  <si>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</si>
  <si>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</si>
  <si>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</si>
  <si>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</si>
  <si>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</si>
  <si>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</si>
  <si>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</si>
  <si>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</si>
  <si>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</si>
  <si>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</si>
  <si>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</si>
  <si>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</si>
  <si>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</si>
  <si>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</si>
  <si>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</si>
  <si>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</si>
  <si>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</si>
  <si>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</si>
  <si>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</si>
  <si>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</si>
  <si>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</si>
  <si>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</si>
  <si>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</si>
  <si>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</si>
  <si>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</si>
  <si>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</si>
  <si>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</si>
  <si>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</si>
  <si>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</si>
  <si>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</si>
  <si>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</si>
  <si>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</si>
  <si>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</si>
  <si>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</si>
  <si>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</si>
  <si>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</si>
  <si>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</si>
  <si>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</si>
  <si>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</si>
  <si>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</si>
  <si>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</si>
  <si>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</si>
  <si>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</si>
  <si>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</si>
  <si>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</si>
  <si>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</si>
  <si>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</si>
  <si>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</si>
  <si>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</si>
  <si>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</si>
  <si>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</si>
  <si>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</si>
  <si>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</si>
  <si>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</si>
  <si>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</si>
  <si>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</si>
  <si>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</si>
  <si>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</si>
  <si>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</si>
  <si>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</si>
  <si>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</si>
  <si>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</si>
  <si>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</si>
  <si>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</si>
  <si>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</si>
  <si>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</si>
  <si>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</si>
  <si>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</si>
  <si>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</si>
  <si>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</si>
  <si>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</si>
  <si>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</si>
  <si>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</si>
  <si>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</si>
  <si>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</si>
  <si>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</si>
  <si>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</si>
  <si>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</si>
  <si>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</si>
  <si>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</si>
  <si>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</si>
  <si>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</si>
  <si>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</si>
  <si>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</si>
  <si>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</si>
  <si>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</si>
  <si>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</si>
  <si>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</si>
  <si>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</si>
  <si>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</si>
  <si>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</si>
  <si>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</si>
  <si>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</si>
  <si>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</si>
  <si>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</si>
  <si>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</si>
  <si>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</si>
  <si>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</si>
  <si>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</si>
  <si>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</si>
  <si>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</si>
  <si>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</si>
  <si>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</si>
  <si>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</si>
  <si>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</si>
  <si>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</si>
  <si>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</si>
  <si>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</si>
  <si>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</si>
  <si>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</si>
  <si>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</si>
  <si>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</si>
  <si>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</si>
  <si>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</si>
  <si>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</si>
  <si>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</si>
  <si>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</si>
  <si>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</si>
  <si>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</si>
  <si>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</si>
  <si>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</si>
  <si>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</si>
  <si>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</si>
  <si>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</si>
  <si>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</si>
  <si>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</si>
  <si>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</si>
  <si>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</si>
  <si>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</si>
  <si>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</si>
  <si>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</si>
  <si>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</si>
  <si>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</si>
  <si>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</si>
  <si>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</si>
  <si>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</si>
  <si>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</si>
  <si>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</si>
  <si>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</si>
  <si>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</si>
  <si>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</si>
  <si>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</si>
  <si>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</si>
  <si>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</si>
  <si>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</si>
  <si>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</si>
  <si>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</si>
  <si>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</si>
  <si>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</si>
  <si>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</si>
  <si>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</si>
  <si>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</si>
  <si>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</si>
  <si>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</si>
  <si>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</si>
  <si>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</si>
  <si>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</si>
  <si>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</si>
  <si>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</si>
  <si>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</si>
  <si>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</si>
  <si>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</si>
  <si>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</si>
  <si>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</si>
  <si>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</si>
  <si>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</si>
  <si>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</si>
  <si>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</si>
  <si>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</si>
  <si>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</si>
  <si>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</si>
  <si>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</si>
  <si>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</si>
  <si>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</si>
  <si>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</si>
  <si>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</si>
  <si>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</si>
  <si>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</si>
  <si>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</si>
  <si>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</si>
  <si>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</si>
  <si>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</si>
  <si>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</si>
  <si>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</si>
  <si>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</si>
  <si>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</si>
  <si>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</si>
  <si>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</si>
  <si>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</si>
  <si>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</si>
  <si>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</si>
  <si>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</si>
  <si>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</si>
  <si>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</si>
  <si>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</si>
  <si>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</si>
  <si>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</si>
  <si>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</si>
  <si>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</si>
  <si>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</si>
  <si>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</si>
  <si>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</si>
  <si>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</si>
  <si>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</si>
  <si>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</si>
  <si>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</si>
  <si>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</si>
  <si>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</si>
  <si>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</si>
  <si>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</si>
  <si>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</si>
  <si>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</si>
  <si>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</si>
  <si>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</si>
  <si>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</si>
  <si>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</si>
  <si>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</si>
  <si>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</si>
  <si>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</si>
  <si>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</si>
  <si>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</si>
  <si>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</si>
  <si>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</si>
  <si>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</si>
  <si>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</si>
  <si>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</si>
  <si>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</si>
  <si>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</si>
  <si>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</si>
  <si>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</si>
  <si>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</si>
  <si>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</si>
  <si>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</si>
  <si>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</si>
  <si>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</si>
  <si>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</si>
  <si>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</si>
  <si>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</si>
  <si>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</si>
  <si>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</si>
  <si>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</si>
  <si>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</si>
  <si>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</si>
  <si>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</si>
  <si>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</si>
  <si>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</si>
  <si>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</si>
  <si>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</si>
  <si>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</si>
  <si>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</si>
  <si>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</si>
  <si>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</si>
  <si>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</si>
  <si>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</si>
  <si>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</si>
  <si>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</si>
  <si>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</si>
  <si>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</si>
  <si>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</si>
  <si>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</si>
  <si>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</si>
  <si>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</si>
  <si>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</si>
  <si>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</si>
  <si>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</si>
  <si>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</si>
  <si>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</si>
  <si>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</si>
  <si>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</si>
  <si>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</si>
  <si>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</si>
  <si>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</si>
  <si>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</si>
  <si>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</si>
  <si>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</si>
  <si>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</si>
  <si>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</si>
  <si>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</si>
  <si>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</si>
  <si>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</si>
  <si>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</si>
  <si>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</si>
  <si>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</si>
  <si>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</si>
  <si>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</si>
  <si>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</si>
  <si>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</si>
  <si>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</si>
  <si>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</si>
  <si>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</si>
  <si>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</si>
  <si>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</si>
  <si>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</si>
  <si>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</si>
  <si>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</si>
  <si>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</si>
  <si>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</si>
  <si>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</si>
  <si>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</si>
  <si>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</si>
  <si>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</si>
  <si>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</si>
  <si>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</si>
  <si>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</si>
  <si>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</si>
  <si>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</si>
  <si>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</si>
  <si>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</si>
  <si>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</si>
  <si>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</si>
  <si>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</si>
  <si>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</si>
  <si>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</si>
  <si>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</si>
  <si>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</si>
  <si>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</si>
  <si>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</si>
  <si>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</si>
  <si>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</si>
  <si>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</si>
  <si>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</si>
  <si>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</si>
  <si>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</si>
  <si>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</si>
  <si>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</si>
  <si>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</si>
  <si>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</si>
  <si>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</si>
  <si>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</si>
  <si>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</si>
  <si>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</si>
  <si>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</si>
  <si>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</si>
  <si>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</si>
  <si>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</si>
  <si>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</si>
  <si>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</si>
  <si>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</si>
  <si>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</si>
  <si>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</si>
  <si>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</si>
  <si>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</si>
  <si>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</si>
  <si>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</si>
  <si>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</si>
  <si>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</si>
  <si>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</si>
  <si>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</si>
  <si>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</si>
  <si>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</si>
  <si>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</si>
  <si>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</si>
  <si>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</si>
  <si>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</si>
  <si>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</si>
  <si>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</si>
  <si>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</si>
  <si>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</si>
  <si>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</si>
  <si>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</si>
  <si>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</si>
  <si>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</si>
  <si>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</si>
  <si>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</si>
  <si>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</si>
  <si>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</si>
  <si>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</si>
  <si>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</si>
  <si>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</si>
  <si>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</si>
  <si>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</si>
  <si>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</si>
  <si>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</si>
  <si>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</si>
  <si>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</si>
  <si>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</si>
  <si>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</si>
  <si>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</si>
  <si>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</si>
  <si>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</si>
  <si>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</si>
  <si>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</si>
  <si>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</si>
  <si>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</si>
  <si>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</si>
  <si>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</si>
  <si>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</si>
  <si>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</si>
  <si>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</si>
  <si>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</si>
  <si>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</si>
  <si>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</si>
  <si>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</si>
  <si>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</si>
  <si>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</si>
  <si>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</si>
  <si>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</si>
  <si>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</si>
  <si>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</si>
  <si>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</si>
  <si>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</si>
  <si>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</si>
  <si>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</si>
  <si>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</si>
  <si>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</si>
  <si>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</si>
  <si>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</si>
  <si>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</si>
  <si>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</si>
  <si>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</si>
  <si>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</si>
  <si>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</si>
  <si>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</si>
  <si>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</si>
  <si>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</si>
  <si>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</si>
  <si>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</si>
  <si>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</si>
  <si>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</si>
  <si>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</si>
  <si>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</si>
  <si>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</si>
  <si>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</si>
  <si>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</si>
  <si>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</si>
  <si>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</si>
  <si>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</si>
  <si>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</si>
  <si>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</si>
  <si>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</si>
  <si>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</si>
  <si>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</si>
  <si>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</si>
  <si>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</si>
  <si>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</si>
  <si>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</si>
  <si>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</si>
  <si>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</si>
  <si>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</si>
  <si>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</si>
  <si>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</si>
  <si>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</si>
  <si>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</si>
  <si>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</si>
  <si>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</si>
  <si>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</si>
  <si>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</si>
  <si>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</si>
  <si>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</si>
  <si>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</si>
  <si>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</si>
  <si>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</si>
  <si>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</si>
  <si>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</si>
  <si>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</si>
  <si>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</si>
  <si>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</si>
  <si>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</si>
  <si>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</si>
  <si>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</si>
  <si>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</si>
  <si>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</si>
  <si>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</si>
  <si>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</si>
  <si>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</si>
  <si>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</si>
  <si>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</si>
  <si>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</si>
  <si>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</si>
  <si>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</si>
  <si>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</si>
  <si>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</si>
  <si>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</si>
  <si>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</si>
  <si>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</si>
  <si>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</si>
  <si>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</si>
  <si>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</si>
  <si>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</si>
  <si>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</si>
  <si>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</si>
  <si>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</si>
  <si>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</si>
  <si>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</si>
  <si>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</si>
  <si>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</si>
  <si>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</si>
  <si>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</si>
  <si>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</si>
  <si>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</si>
  <si>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</si>
  <si>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</si>
  <si>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</si>
  <si>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</si>
  <si>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</si>
  <si>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</si>
  <si>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</si>
  <si>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</si>
  <si>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</si>
  <si>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</si>
  <si>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</si>
  <si>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</si>
  <si>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</si>
  <si>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</si>
  <si>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</si>
  <si>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</si>
  <si>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</si>
  <si>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</si>
  <si>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</si>
  <si>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</si>
  <si>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</si>
  <si>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</si>
  <si>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</si>
  <si>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</si>
  <si>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</si>
  <si>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</si>
  <si>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</si>
  <si>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</si>
  <si>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</si>
  <si>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</si>
  <si>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</si>
  <si>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</si>
  <si>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</si>
  <si>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</si>
  <si>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</si>
  <si>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</si>
  <si>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</si>
  <si>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</si>
  <si>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</si>
  <si>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</si>
  <si>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</si>
  <si>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</si>
  <si>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</si>
  <si>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</si>
  <si>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</si>
  <si>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</si>
  <si>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</si>
  <si>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</si>
  <si>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</si>
  <si>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</si>
  <si>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</si>
  <si>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</si>
  <si>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</si>
  <si>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</si>
  <si>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</si>
  <si>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</si>
  <si>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</si>
  <si>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</si>
  <si>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</si>
  <si>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</si>
  <si>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</si>
  <si>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</si>
  <si>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</si>
  <si>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</si>
  <si>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</si>
  <si>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</si>
  <si>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</si>
  <si>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</si>
  <si>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</si>
  <si>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</si>
  <si>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</si>
  <si>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</si>
  <si>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</si>
  <si>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</si>
  <si>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</si>
  <si>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</si>
  <si>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</si>
  <si>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</si>
  <si>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</si>
  <si>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</si>
  <si>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</si>
  <si>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</si>
  <si>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</si>
  <si>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</si>
  <si>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</si>
  <si>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</si>
  <si>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</si>
  <si>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</si>
  <si>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</si>
  <si>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</si>
  <si>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</si>
  <si>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</si>
  <si>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</si>
  <si>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</si>
  <si>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</si>
  <si>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</si>
  <si>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</si>
  <si>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</si>
  <si>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</si>
  <si>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</si>
  <si>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</si>
  <si>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</si>
  <si>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</si>
  <si>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</si>
  <si>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</si>
  <si>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</si>
  <si>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</si>
  <si>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</si>
  <si>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</si>
  <si>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</si>
  <si>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</si>
  <si>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</si>
  <si>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</si>
  <si>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</si>
  <si>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</si>
  <si>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</si>
  <si>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</si>
  <si>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</si>
  <si>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</si>
  <si>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</si>
  <si>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</si>
  <si>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</si>
  <si>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</si>
  <si>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</si>
  <si>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</si>
  <si>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</si>
  <si>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</si>
  <si>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</si>
  <si>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</si>
  <si>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</si>
  <si>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</si>
  <si>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</si>
  <si>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</si>
  <si>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</si>
  <si>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</si>
  <si>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</si>
  <si>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</si>
  <si>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</si>
  <si>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</si>
  <si>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</si>
  <si>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</si>
  <si>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</si>
  <si>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</si>
  <si>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</si>
  <si>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</si>
  <si>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</si>
  <si>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</si>
  <si>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</si>
  <si>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</si>
  <si>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</si>
  <si>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</si>
  <si>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</si>
  <si>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</si>
  <si>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</si>
  <si>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</si>
  <si>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</si>
  <si>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</si>
  <si>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</si>
  <si>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</si>
  <si>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</si>
  <si>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</si>
  <si>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</si>
  <si>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</si>
  <si>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</si>
  <si>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</si>
  <si>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</si>
  <si>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</si>
  <si>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</si>
  <si>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</si>
  <si>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</si>
  <si>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</si>
  <si>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</si>
  <si>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</si>
  <si>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</si>
  <si>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</si>
  <si>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</si>
  <si>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</si>
  <si>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</si>
  <si>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</si>
  <si>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</si>
  <si>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</si>
  <si>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</si>
  <si>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</si>
  <si>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</si>
  <si>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</si>
  <si>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</si>
  <si>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</si>
  <si>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</si>
  <si>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</si>
  <si>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</si>
  <si>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</si>
  <si>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</si>
  <si>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</si>
  <si>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</si>
  <si>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</si>
  <si>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</si>
  <si>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</si>
  <si>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</si>
  <si>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</si>
  <si>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</si>
  <si>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</si>
  <si>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</si>
  <si>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</si>
  <si>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</si>
  <si>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</si>
  <si>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</si>
  <si>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</si>
  <si>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</si>
  <si>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</si>
  <si>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</si>
  <si>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</si>
  <si>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</si>
  <si>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</si>
  <si>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</si>
  <si>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</si>
  <si>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</si>
  <si>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</si>
  <si>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</si>
  <si>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</si>
  <si>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</si>
  <si>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</si>
  <si>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</si>
  <si>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</si>
  <si>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</si>
  <si>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</si>
  <si>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</si>
  <si>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</si>
  <si>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</si>
  <si>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</si>
  <si>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</si>
  <si>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</si>
  <si>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</si>
  <si>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</si>
  <si>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</si>
  <si>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</si>
  <si>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</si>
  <si>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</si>
  <si>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</si>
  <si>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</si>
  <si>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</si>
  <si>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</si>
  <si>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</si>
  <si>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</si>
  <si>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</si>
  <si>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</si>
  <si>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</si>
  <si>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</si>
  <si>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</si>
  <si>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</si>
  <si>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</si>
  <si>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</si>
  <si>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</si>
  <si>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</si>
  <si>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</si>
  <si>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</si>
  <si>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</si>
  <si>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</si>
  <si>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</si>
  <si>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</si>
  <si>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</si>
  <si>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</si>
  <si>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</si>
  <si>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</si>
  <si>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</si>
  <si>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</si>
  <si>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</si>
  <si>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</si>
  <si>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</si>
  <si>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</si>
  <si>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</si>
  <si>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</si>
  <si>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</si>
  <si>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</si>
  <si>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</si>
  <si>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</si>
  <si>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</si>
  <si>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</si>
  <si>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</si>
  <si>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</si>
  <si>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</si>
  <si>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</si>
  <si>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</si>
  <si>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</si>
  <si>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</si>
  <si>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</si>
  <si>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</si>
  <si>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</si>
  <si>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</si>
  <si>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</si>
  <si>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</si>
  <si>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</si>
  <si>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</si>
  <si>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</si>
  <si>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</si>
  <si>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</si>
  <si>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</si>
  <si>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</si>
  <si>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</si>
  <si>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</si>
  <si>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</si>
  <si>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</si>
  <si>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</si>
  <si>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</si>
  <si>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</si>
  <si>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</si>
  <si>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</si>
  <si>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</si>
  <si>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</si>
  <si>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</si>
  <si>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</si>
  <si>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</si>
  <si>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</si>
  <si>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</si>
  <si>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</si>
  <si>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</si>
  <si>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</si>
  <si>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</si>
  <si>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</si>
  <si>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</si>
  <si>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</si>
  <si>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</si>
  <si>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</si>
  <si>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</si>
  <si>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</si>
  <si>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</si>
  <si>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</si>
  <si>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</si>
  <si>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</si>
  <si>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</si>
  <si>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</si>
  <si>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</si>
  <si>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</si>
  <si>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</si>
  <si>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</si>
  <si>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</si>
  <si>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</si>
  <si>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</si>
  <si>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</si>
  <si>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</si>
  <si>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</si>
  <si>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</si>
  <si>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</si>
  <si>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</si>
  <si>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</si>
  <si>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</si>
  <si>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</si>
  <si>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</si>
  <si>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</si>
  <si>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</si>
  <si>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</si>
  <si>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</si>
  <si>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</si>
  <si>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</si>
  <si>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</si>
  <si>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</si>
  <si>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</si>
  <si>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</si>
  <si>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</si>
  <si>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</si>
  <si>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</si>
  <si>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</si>
  <si>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</si>
  <si>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</si>
  <si>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</si>
  <si>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</si>
  <si>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</si>
  <si>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</si>
  <si>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</si>
  <si>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</si>
  <si>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</si>
  <si>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</si>
  <si>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</si>
  <si>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</si>
  <si>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</si>
  <si>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</si>
  <si>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</si>
  <si>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</si>
  <si>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</si>
  <si>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</si>
  <si>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</si>
  <si>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</si>
  <si>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</si>
  <si>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</si>
  <si>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</si>
  <si>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</si>
  <si>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</si>
  <si>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</si>
  <si>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</si>
  <si>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</si>
  <si>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</si>
  <si>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</si>
  <si>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</si>
  <si>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</si>
  <si>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</si>
  <si>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</si>
  <si>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</si>
  <si>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</si>
  <si>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</si>
  <si>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</si>
  <si>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</si>
  <si>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</si>
  <si>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</si>
  <si>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</si>
  <si>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</si>
  <si>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</si>
  <si>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</si>
  <si>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</si>
  <si>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</si>
  <si>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</si>
  <si>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</si>
  <si>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</si>
  <si>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</si>
  <si>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</si>
  <si>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</si>
  <si>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</si>
  <si>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</si>
  <si>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</si>
  <si>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</si>
  <si>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</si>
  <si>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</si>
  <si>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</si>
  <si>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</si>
  <si>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</si>
  <si>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</si>
  <si>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</si>
  <si>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</si>
  <si>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</si>
  <si>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</si>
  <si>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</si>
  <si>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</si>
  <si>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</si>
  <si>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</si>
  <si>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</si>
  <si>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</si>
  <si>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</si>
  <si>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</si>
  <si>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</si>
  <si>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</si>
  <si>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</si>
  <si>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</si>
  <si>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</si>
  <si>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</si>
  <si>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</si>
  <si>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</si>
  <si>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</si>
  <si>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</si>
  <si>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</si>
  <si>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</si>
  <si>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</si>
  <si>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</si>
  <si>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</si>
  <si>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</si>
  <si>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</si>
  <si>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</si>
  <si>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</si>
  <si>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</si>
  <si>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</si>
  <si>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</si>
  <si>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</si>
  <si>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</si>
  <si>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</si>
  <si>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</si>
  <si>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</si>
  <si>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</si>
  <si>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</si>
  <si>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</si>
  <si>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</si>
  <si>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</si>
  <si>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</si>
  <si>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</si>
  <si>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</si>
  <si>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</si>
  <si>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</si>
  <si>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</si>
  <si>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</si>
  <si>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</si>
  <si>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</si>
  <si>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</si>
  <si>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</si>
  <si>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</si>
  <si>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</si>
  <si>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</si>
  <si>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</si>
  <si>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</si>
  <si>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</si>
  <si>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</si>
  <si>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</si>
  <si>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</si>
  <si>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</si>
  <si>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</si>
  <si>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</si>
  <si>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</si>
  <si>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</si>
  <si>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</si>
  <si>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</si>
  <si>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</si>
  <si>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</si>
  <si>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</si>
  <si>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</si>
  <si>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</si>
  <si>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</si>
  <si>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</si>
  <si>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</si>
  <si>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</si>
  <si>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</si>
  <si>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</si>
  <si>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</si>
  <si>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</si>
  <si>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</si>
  <si>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</si>
  <si>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</si>
  <si>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</si>
  <si>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</si>
  <si>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</si>
  <si>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</si>
  <si>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</si>
  <si>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</si>
  <si>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</si>
  <si>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</si>
  <si>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</si>
  <si>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</si>
  <si>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</si>
  <si>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</si>
  <si>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</si>
  <si>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</si>
  <si>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</si>
  <si>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</si>
  <si>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</si>
  <si>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</si>
  <si>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</si>
  <si>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</si>
  <si>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</si>
  <si>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</si>
  <si>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</si>
  <si>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</si>
  <si>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</si>
  <si>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</si>
  <si>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</si>
  <si>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</si>
  <si>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</si>
  <si>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</si>
  <si>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</si>
  <si>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</si>
  <si>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</si>
  <si>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</si>
  <si>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</si>
  <si>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</si>
  <si>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</si>
  <si>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</si>
  <si>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</si>
  <si>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</si>
  <si>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</si>
  <si>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</si>
  <si>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</si>
  <si>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</si>
  <si>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</si>
  <si>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</si>
  <si>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</si>
  <si>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</si>
  <si>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</si>
  <si>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</si>
  <si>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</si>
  <si>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</si>
  <si>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</si>
  <si>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</si>
  <si>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</si>
  <si>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</si>
  <si>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</si>
  <si>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</si>
  <si>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</si>
  <si>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</si>
  <si>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</si>
  <si>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</si>
  <si>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</si>
  <si>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</si>
  <si>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</si>
  <si>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</si>
  <si>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</si>
  <si>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</si>
  <si>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</si>
  <si>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</si>
  <si>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</si>
  <si>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</si>
  <si>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</si>
  <si>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</si>
  <si>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</si>
  <si>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</si>
  <si>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</si>
  <si>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</si>
  <si>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</si>
  <si>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</si>
  <si>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</si>
  <si>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</si>
  <si>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</si>
  <si>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</si>
  <si>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</si>
  <si>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</si>
  <si>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</si>
  <si>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</si>
  <si>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</si>
  <si>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</si>
  <si>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</si>
  <si>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</si>
  <si>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</si>
  <si>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</si>
  <si>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</si>
  <si>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</si>
  <si>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</si>
  <si>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</si>
  <si>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</si>
  <si>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</si>
  <si>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</si>
  <si>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</si>
  <si>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</si>
  <si>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</si>
  <si>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</si>
  <si>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</si>
  <si>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</si>
  <si>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</si>
  <si>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</si>
  <si>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</si>
  <si>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</si>
  <si>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</si>
  <si>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</si>
  <si>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</si>
  <si>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</si>
  <si>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</si>
  <si>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</si>
  <si>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</si>
  <si>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</si>
  <si>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</si>
  <si>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</si>
  <si>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</si>
  <si>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</si>
  <si>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</si>
  <si>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</si>
  <si>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</si>
  <si>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</si>
  <si>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</si>
  <si>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</si>
  <si>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</si>
  <si>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</si>
  <si>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</si>
  <si>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</si>
  <si>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</si>
  <si>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</si>
  <si>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</si>
  <si>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</si>
  <si>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</si>
  <si>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</si>
  <si>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</si>
  <si>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</si>
  <si>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</si>
  <si>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</si>
  <si>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</si>
  <si>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</si>
  <si>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</si>
  <si>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</si>
  <si>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</si>
  <si>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</si>
  <si>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</si>
  <si>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</si>
  <si>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</si>
  <si>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</si>
  <si>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</si>
  <si>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</si>
  <si>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</si>
  <si>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</si>
  <si>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</si>
  <si>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</si>
  <si>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</si>
  <si>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</si>
  <si>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</si>
  <si>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</si>
  <si>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</si>
  <si>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</si>
  <si>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</si>
  <si>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</si>
  <si>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</si>
  <si>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</si>
  <si>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</si>
  <si>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</si>
  <si>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</si>
  <si>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</si>
  <si>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</si>
  <si>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</si>
  <si>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</si>
  <si>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</si>
  <si>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</si>
  <si>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</si>
  <si>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</si>
  <si>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</si>
  <si>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</si>
  <si>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</si>
  <si>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</si>
  <si>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</si>
  <si>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</si>
  <si>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</si>
  <si>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</si>
  <si>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</si>
  <si>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</si>
  <si>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</si>
  <si>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</si>
  <si>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</si>
  <si>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</si>
  <si>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</si>
  <si>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</si>
  <si>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</si>
  <si>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</si>
  <si>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</si>
  <si>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</si>
  <si>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</si>
  <si>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</si>
  <si>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</si>
  <si>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</si>
  <si>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</si>
  <si>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</si>
  <si>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</si>
  <si>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</si>
  <si>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</si>
  <si>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</si>
  <si>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</si>
  <si>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</si>
  <si>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</si>
  <si>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</si>
  <si>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</si>
  <si>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</si>
  <si>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</si>
  <si>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</si>
  <si>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</si>
  <si>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</si>
  <si>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</si>
  <si>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</si>
  <si>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</si>
  <si>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</si>
  <si>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</si>
  <si>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</si>
  <si>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</si>
  <si>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</si>
  <si>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</si>
  <si>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</si>
  <si>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</si>
  <si>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</si>
  <si>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</si>
  <si>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</si>
  <si>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</si>
  <si>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</si>
  <si>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</si>
  <si>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</si>
  <si>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</si>
  <si>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</si>
  <si>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</si>
  <si>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</si>
  <si>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</si>
  <si>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</si>
  <si>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</si>
  <si>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</si>
  <si>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</si>
  <si>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</si>
  <si>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</si>
  <si>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</si>
  <si>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</si>
  <si>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</si>
  <si>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</si>
  <si>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</si>
  <si>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</si>
  <si>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</si>
  <si>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</si>
  <si>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</si>
  <si>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</si>
  <si>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</si>
  <si>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</si>
  <si>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</si>
  <si>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</si>
  <si>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</si>
  <si>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</si>
  <si>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</si>
  <si>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</si>
  <si>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</si>
  <si>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</si>
  <si>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</si>
  <si>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</si>
  <si>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</si>
  <si>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</si>
  <si>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</si>
  <si>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</si>
  <si>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</si>
  <si>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</si>
  <si>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</si>
  <si>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</si>
  <si>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</si>
  <si>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</si>
  <si>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</si>
  <si>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</si>
  <si>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</si>
  <si>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</si>
  <si>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</si>
  <si>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</si>
  <si>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</si>
  <si>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</si>
  <si>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</si>
  <si>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</si>
  <si>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</si>
  <si>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</si>
  <si>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</si>
  <si>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</si>
  <si>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</si>
  <si>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</si>
  <si>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</si>
  <si>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</si>
  <si>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</si>
  <si>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</si>
  <si>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</si>
  <si>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</si>
  <si>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</si>
  <si>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</si>
  <si>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</si>
  <si>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</si>
  <si>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</si>
  <si>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</si>
  <si>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</si>
  <si>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</si>
  <si>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</si>
  <si>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</si>
  <si>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</si>
  <si>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</si>
  <si>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</si>
  <si>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</si>
  <si>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</si>
  <si>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</si>
  <si>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</si>
  <si>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</si>
  <si>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</si>
  <si>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</si>
  <si>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</si>
  <si>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</si>
  <si>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</si>
  <si>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</si>
  <si>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</si>
  <si>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</si>
  <si>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</si>
  <si>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</si>
  <si>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</si>
  <si>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</si>
  <si>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</si>
  <si>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</si>
  <si>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</si>
  <si>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</si>
  <si>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</si>
  <si>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</si>
  <si>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</si>
  <si>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</si>
  <si>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</si>
  <si>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</si>
  <si>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</si>
  <si>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</si>
  <si>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</si>
  <si>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</si>
  <si>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</si>
  <si>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</si>
  <si>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</si>
  <si>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</si>
  <si>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</si>
  <si>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</si>
  <si>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</si>
  <si>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</si>
  <si>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</si>
  <si>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</si>
  <si>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</si>
  <si>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</si>
  <si>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</si>
  <si>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</si>
  <si>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</si>
  <si>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</si>
  <si>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</si>
  <si>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</si>
  <si>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</si>
  <si>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</si>
  <si>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</si>
  <si>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</si>
  <si>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</si>
  <si>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</si>
  <si>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</si>
  <si>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</si>
  <si>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</si>
  <si>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</si>
  <si>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</si>
  <si>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</si>
  <si>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</si>
  <si>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</si>
  <si>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</si>
  <si>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</si>
  <si>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</si>
  <si>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</si>
  <si>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</si>
  <si>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</si>
  <si>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</si>
  <si>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</si>
  <si>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</si>
  <si>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</si>
  <si>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</si>
  <si>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</si>
  <si>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</si>
  <si>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</si>
  <si>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</si>
  <si>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</si>
  <si>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</si>
  <si>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</si>
  <si>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</si>
  <si>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</si>
  <si>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</si>
  <si>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</si>
  <si>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</si>
  <si>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</si>
  <si>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</si>
  <si>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</si>
  <si>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</si>
  <si>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</si>
  <si>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</si>
  <si>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</si>
  <si>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</si>
  <si>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</si>
  <si>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</si>
  <si>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</si>
  <si>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</si>
  <si>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</si>
  <si>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</si>
  <si>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</si>
  <si>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</si>
  <si>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</si>
  <si>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</si>
  <si>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</si>
  <si>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</si>
  <si>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</si>
  <si>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</si>
  <si>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</si>
  <si>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</si>
  <si>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</si>
  <si>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</si>
  <si>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</si>
  <si>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</si>
  <si>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</si>
  <si>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</si>
  <si>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</si>
  <si>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</si>
  <si>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</si>
  <si>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</si>
  <si>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</si>
  <si>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</si>
  <si>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</si>
  <si>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</si>
  <si>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</si>
  <si>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</si>
  <si>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</si>
  <si>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</si>
  <si>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</si>
  <si>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</si>
  <si>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</si>
  <si>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</si>
  <si>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</si>
  <si>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</si>
  <si>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</si>
  <si>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</si>
  <si>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</si>
  <si>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</si>
  <si>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</si>
  <si>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</si>
  <si>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</si>
  <si>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</si>
  <si>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</si>
  <si>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</si>
  <si>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</si>
  <si>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</si>
  <si>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</si>
  <si>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</si>
  <si>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</si>
  <si>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</si>
  <si>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</si>
  <si>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</si>
  <si>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</si>
  <si>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</si>
  <si>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</si>
  <si>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</si>
  <si>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</si>
  <si>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</si>
  <si>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</si>
  <si>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</si>
  <si>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</si>
  <si>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</si>
  <si>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</si>
  <si>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</si>
  <si>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</si>
  <si>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</si>
  <si>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</si>
  <si>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</si>
  <si>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</si>
  <si>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</si>
  <si>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</si>
  <si>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</si>
  <si>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</si>
  <si>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</si>
  <si>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</si>
  <si>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</si>
  <si>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</si>
  <si>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</si>
  <si>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</si>
  <si>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</si>
  <si>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</si>
  <si>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</si>
  <si>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</si>
  <si>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</si>
  <si>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</si>
  <si>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</si>
  <si>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</si>
  <si>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</si>
  <si>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</si>
  <si>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</si>
  <si>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</si>
  <si>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</si>
  <si>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</si>
  <si>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</si>
  <si>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</si>
  <si>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</si>
  <si>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</si>
  <si>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</si>
  <si>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</si>
  <si>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</si>
  <si>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</si>
  <si>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</si>
  <si>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</si>
  <si>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</si>
  <si>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</si>
  <si>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</si>
  <si>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</si>
  <si>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</si>
  <si>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</si>
  <si>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</si>
  <si>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</si>
  <si>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</si>
  <si>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</si>
  <si>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</si>
  <si>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</si>
  <si>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</si>
  <si>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</si>
  <si>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</si>
  <si>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</si>
  <si>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</si>
  <si>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</si>
  <si>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</si>
  <si>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</si>
  <si>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</si>
  <si>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</si>
  <si>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</si>
  <si>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</si>
  <si>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</si>
  <si>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</si>
  <si>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</si>
  <si>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</si>
  <si>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</si>
  <si>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</si>
  <si>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</si>
  <si>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</si>
  <si>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</si>
  <si>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</si>
  <si>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</si>
  <si>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</si>
  <si>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</si>
  <si>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</si>
  <si>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</si>
  <si>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</si>
  <si>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</si>
  <si>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</si>
  <si>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</si>
  <si>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</si>
  <si>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</si>
  <si>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</si>
  <si>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</si>
  <si>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</si>
  <si>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</si>
  <si>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</si>
  <si>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</si>
  <si>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</si>
  <si>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</si>
  <si>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</si>
  <si>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</si>
  <si>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</si>
  <si>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</si>
  <si>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</si>
  <si>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</si>
  <si>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</si>
  <si>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</si>
  <si>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</si>
  <si>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</si>
  <si>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</si>
  <si>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</si>
  <si>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</si>
  <si>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</si>
  <si>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</si>
  <si>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</si>
  <si>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</si>
  <si>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</si>
  <si>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</si>
  <si>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</si>
  <si>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</si>
  <si>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</si>
  <si>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</si>
  <si>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</si>
  <si>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</si>
  <si>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</si>
  <si>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</si>
  <si>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</si>
  <si>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</si>
  <si>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</si>
  <si>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</si>
  <si>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</si>
  <si>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</si>
  <si>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</si>
  <si>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</si>
  <si>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</si>
  <si>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</si>
  <si>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</si>
  <si>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</si>
  <si>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</si>
  <si>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</si>
  <si>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</si>
  <si>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</si>
  <si>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</si>
  <si>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</si>
  <si>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</si>
  <si>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</si>
  <si>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</si>
  <si>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</si>
  <si>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</si>
  <si>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</si>
  <si>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</si>
  <si>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</si>
  <si>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</si>
  <si>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</si>
  <si>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</si>
  <si>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</si>
  <si>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</si>
  <si>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</si>
  <si>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</si>
  <si>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</si>
  <si>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</si>
  <si>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</si>
  <si>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</si>
  <si>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</si>
  <si>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</si>
  <si>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</si>
  <si>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</si>
  <si>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</si>
  <si>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</si>
  <si>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</si>
  <si>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</si>
  <si>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</si>
  <si>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</si>
  <si>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</si>
  <si>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</si>
  <si>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</si>
  <si>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</si>
  <si>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</si>
  <si>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</si>
  <si>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</si>
  <si>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</si>
  <si>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</si>
  <si>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</si>
  <si>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</si>
  <si>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</si>
  <si>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</si>
  <si>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</si>
  <si>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</si>
  <si>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</si>
  <si>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</si>
  <si>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</si>
  <si>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</si>
  <si>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</si>
  <si>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</si>
  <si>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</si>
  <si>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</si>
  <si>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</si>
  <si>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</si>
  <si>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</si>
  <si>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</si>
  <si>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</si>
  <si>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</si>
  <si>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</si>
  <si>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</si>
  <si>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</si>
  <si>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</si>
  <si>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</si>
  <si>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</si>
  <si>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</si>
  <si>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</si>
  <si>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</si>
  <si>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</si>
  <si>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</si>
  <si>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</si>
  <si>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</si>
  <si>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</si>
  <si>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</si>
  <si>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</si>
  <si>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</si>
  <si>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</si>
  <si>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</si>
  <si>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</si>
  <si>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</si>
  <si>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</si>
  <si>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</si>
  <si>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</si>
  <si>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</si>
  <si>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</si>
  <si>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</si>
  <si>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</si>
  <si>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</si>
  <si>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</si>
  <si>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</si>
  <si>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</si>
  <si>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</si>
  <si>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</si>
  <si>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</si>
  <si>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</si>
  <si>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</si>
  <si>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</si>
  <si>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</si>
  <si>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</si>
  <si>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</si>
  <si>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</si>
  <si>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</si>
  <si>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</si>
  <si>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</si>
  <si>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</si>
  <si>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</si>
  <si>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</si>
  <si>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</si>
  <si>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</si>
  <si>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</si>
  <si>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</si>
  <si>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</si>
  <si>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</si>
  <si>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</si>
  <si>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</si>
  <si>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</si>
  <si>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</si>
  <si>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</si>
  <si>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</si>
  <si>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</si>
  <si>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</si>
  <si>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</si>
  <si>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</si>
  <si>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</si>
  <si>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</si>
  <si>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</si>
  <si>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</si>
  <si>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</si>
  <si>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</si>
  <si>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</si>
  <si>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</si>
  <si>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</si>
  <si>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</si>
  <si>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</si>
  <si>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</si>
  <si>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</si>
  <si>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</si>
  <si>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</si>
  <si>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</si>
  <si>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</si>
  <si>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</si>
  <si>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</si>
  <si>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</si>
  <si>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</si>
  <si>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</si>
  <si>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</si>
  <si>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</si>
  <si>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</si>
  <si>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</si>
  <si>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</si>
  <si>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</si>
  <si>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</si>
  <si>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</si>
  <si>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</si>
  <si>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</si>
  <si>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</si>
  <si>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</si>
  <si>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</si>
  <si>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</si>
  <si>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</si>
  <si>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</si>
  <si>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</si>
  <si>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</si>
  <si>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</si>
  <si>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</si>
  <si>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</si>
  <si>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</si>
  <si>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</si>
  <si>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</si>
  <si>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</si>
  <si>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</si>
  <si>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</si>
  <si>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</si>
  <si>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</si>
  <si>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</si>
  <si>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</si>
  <si>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</si>
  <si>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</si>
  <si>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</si>
  <si>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</si>
  <si>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</si>
  <si>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</si>
  <si>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</si>
  <si>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</si>
  <si>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</si>
  <si>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</si>
  <si>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</si>
  <si>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</si>
  <si>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</si>
  <si>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</si>
  <si>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</si>
  <si>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</si>
  <si>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</si>
  <si>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</si>
  <si>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</si>
  <si>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</si>
  <si>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</si>
  <si>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</si>
  <si>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</si>
  <si>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</si>
  <si>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</si>
  <si>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</si>
  <si>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</si>
  <si>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</si>
  <si>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</si>
  <si>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</si>
  <si>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</si>
  <si>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</si>
  <si>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</si>
  <si>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</si>
  <si>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</si>
  <si>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企业</t>
  </si>
  <si>
    <t>出让</t>
  </si>
  <si>
    <t>住宅</t>
  </si>
  <si>
    <t>住宅</t>
    <phoneticPr fontId="3" type="noConversion"/>
  </si>
  <si>
    <t>地上</t>
  </si>
  <si>
    <t>平层住宅</t>
  </si>
  <si>
    <t>是</t>
  </si>
  <si>
    <t>在建</t>
  </si>
  <si>
    <t>成本法</t>
  </si>
  <si>
    <t>假设开发法</t>
  </si>
  <si>
    <t>住宅</t>
    <phoneticPr fontId="31" type="noConversion"/>
  </si>
  <si>
    <t>1.0-2.0</t>
    <phoneticPr fontId="31" type="noConversion"/>
  </si>
  <si>
    <t>2.0-3.0</t>
    <phoneticPr fontId="31" type="noConversion"/>
  </si>
  <si>
    <t>正常</t>
  </si>
  <si>
    <t>规则</t>
    <phoneticPr fontId="31" type="noConversion"/>
  </si>
  <si>
    <t>不规则</t>
    <phoneticPr fontId="31" type="noConversion"/>
  </si>
  <si>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</si>
  <si>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</si>
  <si>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</si>
  <si>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</si>
  <si>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</si>
  <si>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</si>
  <si>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</si>
  <si>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</si>
  <si>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</si>
  <si>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</si>
  <si>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</si>
  <si>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</si>
  <si>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</si>
  <si>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</si>
  <si>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</si>
  <si>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住宅用地</t>
  </si>
  <si>
    <t>拍卖</t>
  </si>
  <si>
    <t>2018-02-12</t>
  </si>
  <si>
    <t>＞1且≤2.5</t>
  </si>
  <si>
    <t>综合用地(含住宅)</t>
  </si>
  <si>
    <t>＞1且≤1.6</t>
  </si>
  <si>
    <t>＞1且≤3</t>
  </si>
  <si>
    <t>＞1且≤2.8</t>
  </si>
  <si>
    <t>＞1且≤2</t>
  </si>
  <si>
    <t>＞1且≤2.2</t>
  </si>
  <si>
    <t>＞1且≤3.3</t>
  </si>
  <si>
    <t>城阳街道春阳路北、国城路东</t>
  </si>
  <si>
    <t>＞1.0且≤2.0</t>
  </si>
  <si>
    <t>2017-02-17</t>
  </si>
  <si>
    <t>青特集团有限公司</t>
  </si>
  <si>
    <t>城阳区城阳街道青威路西侧</t>
  </si>
  <si>
    <t>＞1.0且≤2.2</t>
  </si>
  <si>
    <t>2017-01-19</t>
  </si>
  <si>
    <t>青岛青特华城置业有限公司</t>
  </si>
  <si>
    <t>城阳区城阳街道环城北路北、青银高速西</t>
  </si>
  <si>
    <t>青岛广润置业有限公司</t>
  </si>
  <si>
    <t>城阳区城阳街道董村社区、209省道北</t>
  </si>
  <si>
    <t>＞1.0且≤1.78</t>
  </si>
  <si>
    <t>青岛天泰房地产开发股份有限公司</t>
  </si>
  <si>
    <t>2.0-3.0</t>
    <phoneticPr fontId="31" type="noConversion"/>
  </si>
  <si>
    <t>部分缴纳</t>
  </si>
  <si>
    <t>待估对象在建工程各栋建筑实物状况一览表</t>
  </si>
  <si>
    <t>建设幢号</t>
  </si>
  <si>
    <t>销售栋号</t>
  </si>
  <si>
    <t>建筑面积（㎡）</t>
  </si>
  <si>
    <t>建筑结构</t>
  </si>
  <si>
    <t>规划用途</t>
  </si>
  <si>
    <t>规划层数</t>
  </si>
  <si>
    <t>已建层数</t>
  </si>
  <si>
    <t>形象进度</t>
  </si>
  <si>
    <t>备注</t>
  </si>
  <si>
    <t xml:space="preserve">63幢 </t>
  </si>
  <si>
    <t>钢混</t>
  </si>
  <si>
    <t>住宅+商业+配套</t>
  </si>
  <si>
    <t>九层墙柱钢筋绑扎</t>
  </si>
  <si>
    <t>划拨</t>
    <phoneticPr fontId="143" type="noConversion"/>
  </si>
  <si>
    <t>64幢</t>
  </si>
  <si>
    <t>地基施工</t>
    <phoneticPr fontId="143" type="noConversion"/>
  </si>
  <si>
    <t>出让商业</t>
    <phoneticPr fontId="143" type="noConversion"/>
  </si>
  <si>
    <t>65幢</t>
  </si>
  <si>
    <t>66幢</t>
  </si>
  <si>
    <t>出让别墅</t>
  </si>
  <si>
    <t>67幢</t>
  </si>
  <si>
    <t>基础混凝土浇筑完成</t>
  </si>
  <si>
    <t>68幢</t>
  </si>
  <si>
    <t>69幢</t>
  </si>
  <si>
    <t>70幢</t>
  </si>
  <si>
    <t>十三层墙柱钢筋绑扎</t>
  </si>
  <si>
    <t>71幢</t>
  </si>
  <si>
    <t>出让别墅</t>
    <phoneticPr fontId="143" type="noConversion"/>
  </si>
  <si>
    <t>72幢</t>
  </si>
  <si>
    <t>73幢</t>
  </si>
  <si>
    <t>74幢</t>
  </si>
  <si>
    <t>75幢</t>
  </si>
  <si>
    <t>76幢</t>
  </si>
  <si>
    <t>77幢</t>
  </si>
  <si>
    <t>地基施工</t>
    <phoneticPr fontId="143" type="noConversion"/>
  </si>
  <si>
    <t>出让别墅</t>
    <phoneticPr fontId="143" type="noConversion"/>
  </si>
  <si>
    <t>78幢</t>
  </si>
  <si>
    <t>基础垫层浇筑完成</t>
  </si>
  <si>
    <t>79幢</t>
  </si>
  <si>
    <t>80幢</t>
  </si>
  <si>
    <t>基础承台混凝土浇筑完成</t>
  </si>
  <si>
    <t>81幢</t>
  </si>
  <si>
    <t>住宅+配套</t>
  </si>
  <si>
    <t>十一层混凝土浇筑完成</t>
  </si>
  <si>
    <t>出让别墅</t>
    <phoneticPr fontId="143" type="noConversion"/>
  </si>
  <si>
    <t>82幢</t>
  </si>
  <si>
    <t>土方开挖完成</t>
  </si>
  <si>
    <t>83幢</t>
  </si>
  <si>
    <t>一层墙柱钢筋绑扎完成</t>
  </si>
  <si>
    <t>84幢</t>
  </si>
  <si>
    <t>三层顶板模板支设</t>
  </si>
  <si>
    <t>85幢</t>
  </si>
  <si>
    <t>86幢</t>
  </si>
  <si>
    <t>87幢</t>
  </si>
  <si>
    <t>一层顶板模板支设</t>
  </si>
  <si>
    <t>88幢</t>
  </si>
  <si>
    <t>89幢</t>
  </si>
  <si>
    <t>二层顶板模板支设</t>
  </si>
  <si>
    <t>90幢</t>
  </si>
  <si>
    <t>91幢</t>
  </si>
  <si>
    <t>92幢</t>
  </si>
  <si>
    <t>出让住宅</t>
    <phoneticPr fontId="143" type="noConversion"/>
  </si>
  <si>
    <t>93幢</t>
  </si>
  <si>
    <t>十四层顶板模板支设</t>
  </si>
  <si>
    <t>94幢</t>
  </si>
  <si>
    <t>屋面混凝土浇筑</t>
  </si>
  <si>
    <t>95幢</t>
  </si>
  <si>
    <t>进度比例</t>
    <phoneticPr fontId="143" type="noConversion"/>
  </si>
  <si>
    <t>平均进度</t>
    <phoneticPr fontId="143" type="noConversion"/>
  </si>
  <si>
    <t>别墅面积</t>
    <phoneticPr fontId="143" type="noConversion"/>
  </si>
  <si>
    <t>抵押</t>
  </si>
  <si>
    <t>房地产抵押价值</t>
  </si>
  <si>
    <t>其他：</t>
  </si>
  <si>
    <t>否</t>
  </si>
  <si>
    <t>土地星级</t>
  </si>
  <si>
    <t>涵江兴涵水都机械厂地块</t>
  </si>
  <si>
    <t>莆田市</t>
  </si>
  <si>
    <t>2019-01-17</t>
  </si>
  <si>
    <t>莆田中涵房地产开发有限公司</t>
  </si>
  <si>
    <t>0星</t>
  </si>
  <si>
    <t>荔城区玉湖片区控规范围内</t>
  </si>
  <si>
    <t>＞1,≤2.6</t>
  </si>
  <si>
    <t>2019-01-08</t>
  </si>
  <si>
    <t>厦门益悦置业有限公司</t>
  </si>
  <si>
    <t>霞林片区内</t>
  </si>
  <si>
    <t>＞1且≤2.6</t>
  </si>
  <si>
    <t>2018-12-18</t>
  </si>
  <si>
    <t>莆田联欣泰置业有限公司</t>
  </si>
  <si>
    <t>坂头片区内</t>
  </si>
  <si>
    <t>中交建宏峰集团有限公司</t>
  </si>
  <si>
    <t>涵江区兴涵水都溪游都邠地块控规范围内</t>
  </si>
  <si>
    <t>2018-12-04</t>
  </si>
  <si>
    <t>莆田中乘房地产开发有限公司</t>
  </si>
  <si>
    <t>秀屿区笏石镇</t>
  </si>
  <si>
    <t>2018-11-20</t>
  </si>
  <si>
    <t>福建省闽招物流园区建设开发有限公司</t>
  </si>
  <si>
    <t>黄石商贸物流园地块控规内</t>
  </si>
  <si>
    <t>2018-11-07</t>
  </si>
  <si>
    <t>福建巨岸实业有限公司</t>
  </si>
  <si>
    <t>2018-10-09</t>
  </si>
  <si>
    <t>城厢区霞林街道</t>
  </si>
  <si>
    <t>莆田盈龙投资有限公司</t>
  </si>
  <si>
    <t>秀屿区南日镇</t>
  </si>
  <si>
    <t>2018-08-21</t>
  </si>
  <si>
    <t>刘国栋</t>
  </si>
  <si>
    <t>涵江区兴涵水都片区苍林地块控规内</t>
  </si>
  <si>
    <t>＞1且≤2.3</t>
  </si>
  <si>
    <t>莆田市涵江区塘北片区控制性详细规划范围内</t>
  </si>
  <si>
    <t>福建才美投资有限公司</t>
  </si>
  <si>
    <t>2018-08-08</t>
  </si>
  <si>
    <t>莆田市国投置业有限公司</t>
  </si>
  <si>
    <t>莆田市涵江区塘北片区苍林地块控制性详细规划范围内</t>
  </si>
  <si>
    <t>2018-07-13</t>
  </si>
  <si>
    <t>笏石镇</t>
  </si>
  <si>
    <t>＞1且≤2.4</t>
  </si>
  <si>
    <t>2018-05-04</t>
  </si>
  <si>
    <t>苍南鸿辉置业有限公司</t>
  </si>
  <si>
    <t>2018-04-24</t>
  </si>
  <si>
    <t>城厢区龙桥街道办事处东园路北侧</t>
  </si>
  <si>
    <t>≥1.5且≤2.2</t>
  </si>
  <si>
    <t>福州融侨房地产有限公司</t>
  </si>
  <si>
    <t>莆田市涵江区国际商贸城西湖片区控规范围内</t>
  </si>
  <si>
    <t>2017-11-29</t>
  </si>
  <si>
    <t>正荣(莆田)置业发展有限公司</t>
  </si>
  <si>
    <t>忠门镇西埭社区</t>
  </si>
  <si>
    <t>＞1.01且≤2.4</t>
  </si>
  <si>
    <t>吴万春</t>
  </si>
  <si>
    <t>荔城区北高镇埕头村</t>
  </si>
  <si>
    <t>2017-11-08</t>
  </si>
  <si>
    <t>莆田瑞腾置业有限公司</t>
  </si>
  <si>
    <t>莆田市涵江区兴涵水都苍林片区地块控规范围内</t>
  </si>
  <si>
    <t>2017-11-01</t>
  </si>
  <si>
    <t>福建华佳彩有限公司</t>
  </si>
  <si>
    <t>莆田市城西北含洋西单元控制性详细规划</t>
  </si>
  <si>
    <t>≥1.5且≤2.6</t>
  </si>
  <si>
    <t>2017-09-29</t>
  </si>
  <si>
    <t>＞1.3且≤2</t>
  </si>
  <si>
    <t>莆田市城西北含洋西单元控制性详细规划范围内</t>
  </si>
  <si>
    <t>≥1.5且≤2</t>
  </si>
  <si>
    <t>笏石旧城片区</t>
  </si>
  <si>
    <t>何高鹏</t>
  </si>
  <si>
    <t>≥1.01,≤2.4</t>
  </si>
  <si>
    <t>2017-07-19</t>
  </si>
  <si>
    <t>吴万发</t>
  </si>
  <si>
    <t>莆田市涵江区兴涵水都溪游都邠片区地块控规范围内</t>
  </si>
  <si>
    <t>＞1,≤2.5</t>
  </si>
  <si>
    <t>保利(莆田)房地产开发有限公司</t>
  </si>
  <si>
    <t>≥1.01,≤2.2</t>
  </si>
  <si>
    <t>柳金琰</t>
  </si>
  <si>
    <t>涵江区国际商贸城片区内</t>
  </si>
  <si>
    <t>＞1,≤1.2</t>
  </si>
  <si>
    <t>2017-05-12</t>
  </si>
  <si>
    <t>城厢区华亭镇旧镇片区控规范围内</t>
  </si>
  <si>
    <t>≥1.5,≤2.3</t>
  </si>
  <si>
    <t>荔城区西天尾镇溪白村</t>
  </si>
  <si>
    <t>≥1.1,≤2.8</t>
  </si>
  <si>
    <t>2017-04-28</t>
  </si>
  <si>
    <t>福建鑫和房地产有限公司</t>
  </si>
  <si>
    <t>≥1.5,≤2.5</t>
  </si>
  <si>
    <t>福建朗信投资有限公司</t>
  </si>
  <si>
    <t>≥1.5,≤2.4</t>
  </si>
  <si>
    <t>福建阳光房地产开发有限公司</t>
  </si>
  <si>
    <t>保利(福建)房地产投资有限公司</t>
  </si>
  <si>
    <t>≥1.1,≤2.6</t>
  </si>
  <si>
    <t>城厢区霞林街道坂头东片区</t>
  </si>
  <si>
    <t>2017-04-12</t>
  </si>
  <si>
    <t>杭州融耀置业有限公司</t>
  </si>
  <si>
    <t>拱辰办南郊村</t>
  </si>
  <si>
    <t>≥1.5且≤2.5</t>
  </si>
  <si>
    <t>2016-11-16</t>
  </si>
  <si>
    <t>涵江区塘北片区控规范围内</t>
  </si>
  <si>
    <t>1.5-1.6</t>
  </si>
  <si>
    <t>2016-11-10</t>
  </si>
  <si>
    <t>城厢区坂头东片区地块五地块控规内</t>
  </si>
  <si>
    <t>1.5-2.6</t>
  </si>
  <si>
    <t>2016-09-01</t>
  </si>
  <si>
    <t>城厢区龙桥街道洋西村</t>
  </si>
  <si>
    <t>1.5-2.8</t>
  </si>
  <si>
    <t>2016-08-02</t>
  </si>
  <si>
    <t>厦门联发集团房地产有限公司</t>
  </si>
  <si>
    <t>上塘珠宝城</t>
  </si>
  <si>
    <t>2016-06-08</t>
  </si>
  <si>
    <t>福建鑫和华林置业有限公司</t>
  </si>
  <si>
    <t>龙桥街道泗华村</t>
  </si>
  <si>
    <t>大于1.06并且小于或等于1.06</t>
  </si>
  <si>
    <t>2016-03-23</t>
  </si>
  <si>
    <t>恒大地产集团福州有限公司</t>
  </si>
  <si>
    <t>大于1并且小于1.05</t>
  </si>
  <si>
    <t>2016-02-16</t>
  </si>
  <si>
    <t>独立商业</t>
  </si>
  <si>
    <t>商业</t>
    <phoneticPr fontId="3" type="noConversion"/>
  </si>
  <si>
    <t>设备</t>
    <phoneticPr fontId="3" type="noConversion"/>
  </si>
  <si>
    <t>地下室</t>
    <phoneticPr fontId="3" type="noConversion"/>
  </si>
  <si>
    <t>地下</t>
  </si>
  <si>
    <t>车库</t>
  </si>
  <si>
    <t>车库</t>
    <phoneticPr fontId="3" type="noConversion"/>
  </si>
  <si>
    <t>其他</t>
    <phoneticPr fontId="3" type="noConversion"/>
  </si>
  <si>
    <t>商业</t>
    <phoneticPr fontId="7" type="noConversion"/>
  </si>
  <si>
    <t>车库</t>
    <phoneticPr fontId="7" type="noConversion"/>
  </si>
  <si>
    <t>S7</t>
    <phoneticPr fontId="3" type="noConversion"/>
  </si>
  <si>
    <t>S8</t>
    <phoneticPr fontId="3" type="noConversion"/>
  </si>
  <si>
    <t>S9</t>
  </si>
  <si>
    <t>S10</t>
  </si>
  <si>
    <t>S11</t>
  </si>
  <si>
    <t>S12</t>
  </si>
  <si>
    <t>S13</t>
  </si>
  <si>
    <t>5A</t>
    <phoneticPr fontId="3" type="noConversion"/>
  </si>
  <si>
    <t>6A</t>
  </si>
  <si>
    <t>收益法</t>
  </si>
  <si>
    <t>收益法 (商业)</t>
  </si>
  <si>
    <t>在建（套用方法）</t>
  </si>
  <si>
    <t>非生产用房</t>
  </si>
  <si>
    <t>S7</t>
  </si>
  <si>
    <t>S7</t>
    <phoneticPr fontId="3" type="noConversion"/>
  </si>
  <si>
    <t>S8</t>
  </si>
  <si>
    <t>地下室</t>
  </si>
  <si>
    <t>地下室</t>
    <phoneticPr fontId="3" type="noConversion"/>
  </si>
  <si>
    <t>较好</t>
  </si>
  <si>
    <t>好</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</si>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</sst>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indexed="8"/>
      <name val="宋体"/>
      <family val="3"/>
      <charset val="134"/>
    </font>
    <font>
      <sz val="9"/>
      <color indexed="8"/>
      <name val="SimSun"/>
      <family val="1"/>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84" fontId="47" fillId="9" borderId="26" xfId="0" applyNumberFormat="1" applyFont="1" applyFill="1" applyBorder="1" applyAlignment="1" applyProtection="1">
      <alignment horizontal="center" vertical="center" wrapText="1"/>
    </xf>
    <xf numFmtId="49" fontId="47" fillId="9" borderId="26"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53" fillId="9" borderId="10" xfId="0" applyNumberFormat="1" applyFont="1" applyFill="1" applyBorder="1" applyAlignment="1" applyProtection="1">
      <alignment vertical="center"/>
      <protection locked="0"/>
    </xf>
    <xf numFmtId="0" fontId="73" fillId="9" borderId="2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7" borderId="0" xfId="13" applyFill="1"/>
    <xf numFmtId="0" fontId="56" fillId="7" borderId="0" xfId="13" applyFill="1"/>
    <xf numFmtId="0" fontId="56" fillId="9" borderId="0" xfId="13" applyFill="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0" fillId="18" borderId="1" xfId="1" applyNumberFormat="1" applyFont="1" applyFill="1" applyBorder="1" applyAlignment="1" applyProtection="1">
      <alignment horizontal="center" vertical="center"/>
      <protection locked="0"/>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190" fillId="0" borderId="1" xfId="0" applyFont="1" applyFill="1" applyBorder="1" applyAlignment="1">
      <alignment horizontal="center" vertical="top" wrapText="1"/>
    </xf>
    <xf numFmtId="0" fontId="0" fillId="5" borderId="1" xfId="0" applyFill="1" applyBorder="1">
      <alignment vertical="center"/>
    </xf>
    <xf numFmtId="0" fontId="0" fillId="20" borderId="1" xfId="0" applyFill="1" applyBorder="1">
      <alignment vertical="center"/>
    </xf>
    <xf numFmtId="0" fontId="255" fillId="20" borderId="156" xfId="0" applyFont="1" applyFill="1" applyBorder="1" applyAlignment="1">
      <alignment horizontal="center" vertical="center" wrapText="1"/>
    </xf>
    <xf numFmtId="0" fontId="256" fillId="20" borderId="157" xfId="0" applyFont="1" applyFill="1" applyBorder="1">
      <alignment vertical="center"/>
    </xf>
    <xf numFmtId="0" fontId="0" fillId="20" borderId="157" xfId="0" applyFill="1" applyBorder="1">
      <alignment vertical="center"/>
    </xf>
    <xf numFmtId="0" fontId="99" fillId="20" borderId="157" xfId="0" applyFont="1" applyFill="1" applyBorder="1">
      <alignment vertical="center"/>
    </xf>
    <xf numFmtId="0" fontId="0" fillId="20" borderId="0" xfId="0" applyFill="1">
      <alignment vertical="center"/>
    </xf>
    <xf numFmtId="0" fontId="0" fillId="19" borderId="157" xfId="0" applyFill="1" applyBorder="1">
      <alignment vertical="center"/>
    </xf>
    <xf numFmtId="0" fontId="255" fillId="19" borderId="156" xfId="0" applyFont="1" applyFill="1" applyBorder="1" applyAlignment="1">
      <alignment horizontal="center" vertical="center" wrapText="1"/>
    </xf>
    <xf numFmtId="0" fontId="256" fillId="19" borderId="157" xfId="0" applyFont="1" applyFill="1" applyBorder="1">
      <alignment vertical="center"/>
    </xf>
    <xf numFmtId="0" fontId="99" fillId="19" borderId="157" xfId="0" applyFont="1" applyFill="1" applyBorder="1">
      <alignment vertical="center"/>
    </xf>
    <xf numFmtId="0" fontId="0" fillId="19" borderId="0" xfId="0" applyFill="1">
      <alignment vertical="center"/>
    </xf>
    <xf numFmtId="0" fontId="0" fillId="16" borderId="157" xfId="0" applyFill="1" applyBorder="1">
      <alignment vertical="center"/>
    </xf>
    <xf numFmtId="0" fontId="255" fillId="16" borderId="156" xfId="0" applyFont="1" applyFill="1" applyBorder="1" applyAlignment="1">
      <alignment horizontal="center" vertical="center" wrapText="1"/>
    </xf>
    <xf numFmtId="0" fontId="256" fillId="16" borderId="157" xfId="0" applyFont="1" applyFill="1" applyBorder="1">
      <alignment vertical="center"/>
    </xf>
    <xf numFmtId="0" fontId="0" fillId="16" borderId="0" xfId="0" applyFill="1">
      <alignment vertical="center"/>
    </xf>
    <xf numFmtId="0" fontId="99" fillId="16" borderId="157" xfId="0" applyFont="1" applyFill="1" applyBorder="1">
      <alignment vertical="center"/>
    </xf>
    <xf numFmtId="0" fontId="0" fillId="18" borderId="157" xfId="0" applyFill="1" applyBorder="1">
      <alignment vertical="center"/>
    </xf>
    <xf numFmtId="0" fontId="255" fillId="18" borderId="156" xfId="0" applyFont="1" applyFill="1" applyBorder="1" applyAlignment="1">
      <alignment horizontal="center" vertical="center" wrapText="1"/>
    </xf>
    <xf numFmtId="0" fontId="256" fillId="18" borderId="157" xfId="0" applyFont="1" applyFill="1" applyBorder="1">
      <alignment vertical="center"/>
    </xf>
    <xf numFmtId="0" fontId="99" fillId="18" borderId="157" xfId="0" applyFont="1" applyFill="1" applyBorder="1">
      <alignment vertical="center"/>
    </xf>
    <xf numFmtId="0" fontId="0" fillId="18" borderId="0" xfId="0" applyFill="1">
      <alignment vertical="center"/>
    </xf>
    <xf numFmtId="0" fontId="0" fillId="5" borderId="0" xfId="0" applyFill="1">
      <alignment vertical="center"/>
    </xf>
    <xf numFmtId="0" fontId="0" fillId="0" borderId="15" xfId="0" applyFont="1" applyFill="1" applyBorder="1">
      <alignment vertical="center"/>
    </xf>
    <xf numFmtId="0" fontId="99" fillId="0" borderId="0" xfId="0" applyFont="1">
      <alignment vertical="center"/>
    </xf>
    <xf numFmtId="0" fontId="0" fillId="5" borderId="0" xfId="0" applyFill="1" applyAlignment="1"/>
    <xf numFmtId="0" fontId="0" fillId="21" borderId="0" xfId="0" applyFill="1" applyAlignment="1"/>
    <xf numFmtId="0" fontId="137" fillId="0" borderId="2"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6" fontId="47" fillId="22"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0" fillId="23" borderId="1" xfId="0" applyFont="1" applyFill="1" applyBorder="1" applyAlignment="1" applyProtection="1">
      <alignment horizontal="center" vertical="center" wrapText="1"/>
      <protection locked="0"/>
    </xf>
    <xf numFmtId="0" fontId="47" fillId="23" borderId="2" xfId="0" applyFont="1" applyFill="1" applyBorder="1" applyAlignment="1" applyProtection="1">
      <alignment horizontal="center" vertical="center" wrapText="1"/>
      <protection locked="0"/>
    </xf>
    <xf numFmtId="0" fontId="80" fillId="23" borderId="1" xfId="0" applyFont="1" applyFill="1" applyBorder="1" applyAlignment="1" applyProtection="1">
      <alignment horizontal="center" vertical="center" wrapText="1"/>
      <protection locked="0"/>
    </xf>
    <xf numFmtId="176" fontId="47" fillId="23" borderId="1" xfId="0" applyNumberFormat="1" applyFont="1" applyFill="1" applyBorder="1" applyAlignment="1" applyProtection="1">
      <alignment horizontal="center" vertical="center" wrapText="1"/>
    </xf>
    <xf numFmtId="176" fontId="47" fillId="23" borderId="2" xfId="0" applyNumberFormat="1" applyFont="1" applyFill="1" applyBorder="1" applyAlignment="1" applyProtection="1">
      <alignment horizontal="center" vertical="center" wrapText="1"/>
      <protection locked="0"/>
    </xf>
    <xf numFmtId="176" fontId="47" fillId="23" borderId="2" xfId="0" applyNumberFormat="1" applyFont="1" applyFill="1" applyBorder="1" applyAlignment="1" applyProtection="1">
      <alignment horizontal="center" vertical="center" wrapText="1"/>
    </xf>
    <xf numFmtId="176" fontId="47" fillId="23" borderId="13" xfId="0" applyNumberFormat="1" applyFont="1" applyFill="1" applyBorder="1" applyAlignment="1" applyProtection="1">
      <alignment horizontal="center" vertical="center" wrapText="1"/>
    </xf>
    <xf numFmtId="176" fontId="47" fillId="23" borderId="1" xfId="0" applyNumberFormat="1" applyFont="1" applyFill="1" applyBorder="1" applyAlignment="1" applyProtection="1">
      <alignment vertical="center" wrapText="1"/>
      <protection locked="0"/>
    </xf>
    <xf numFmtId="176" fontId="47" fillId="23" borderId="1" xfId="0" applyNumberFormat="1" applyFont="1" applyFill="1" applyBorder="1" applyAlignment="1" applyProtection="1">
      <alignment horizontal="center" vertical="center" wrapText="1"/>
      <protection locked="0"/>
    </xf>
    <xf numFmtId="0" fontId="47" fillId="23" borderId="4" xfId="0" applyFont="1" applyFill="1" applyBorder="1" applyAlignment="1" applyProtection="1">
      <alignment horizontal="center" vertical="center" wrapText="1"/>
      <protection locked="0"/>
    </xf>
    <xf numFmtId="0" fontId="47" fillId="23" borderId="1" xfId="0" applyFont="1" applyFill="1" applyBorder="1" applyAlignment="1" applyProtection="1">
      <alignment horizontal="center" vertical="center" wrapText="1"/>
    </xf>
    <xf numFmtId="0" fontId="47" fillId="23" borderId="3" xfId="0" applyFont="1" applyFill="1" applyBorder="1" applyAlignment="1" applyProtection="1">
      <alignment horizontal="center" vertical="center" wrapText="1"/>
    </xf>
    <xf numFmtId="176" fontId="47" fillId="23" borderId="24" xfId="0" applyNumberFormat="1" applyFont="1" applyFill="1" applyBorder="1" applyAlignment="1" applyProtection="1">
      <alignment horizontal="center" vertical="center" wrapText="1"/>
    </xf>
    <xf numFmtId="0" fontId="47" fillId="23" borderId="0" xfId="0" applyFont="1" applyFill="1" applyAlignment="1" applyProtection="1">
      <alignment horizontal="center" vertical="center" wrapText="1"/>
    </xf>
    <xf numFmtId="176" fontId="47" fillId="7" borderId="1" xfId="0" applyNumberFormat="1" applyFont="1" applyFill="1" applyBorder="1" applyAlignment="1" applyProtection="1">
      <alignment vertical="center" wrapText="1"/>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60"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50" fillId="24" borderId="0" xfId="0" applyFont="1" applyFill="1" applyAlignment="1" applyProtection="1">
      <alignment vertical="center"/>
      <protection locked="0"/>
    </xf>
    <xf numFmtId="0" fontId="50" fillId="24" borderId="0" xfId="0" applyFont="1" applyFill="1" applyAlignment="1" applyProtection="1">
      <alignment horizontal="left" vertical="center"/>
      <protection locked="0"/>
    </xf>
    <xf numFmtId="9" fontId="50" fillId="24" borderId="0" xfId="0" applyNumberFormat="1" applyFont="1" applyFill="1" applyAlignment="1" applyProtection="1">
      <alignment horizontal="left" vertical="center"/>
      <protection locked="0"/>
    </xf>
    <xf numFmtId="177" fontId="50" fillId="24" borderId="0" xfId="0" applyNumberFormat="1" applyFont="1" applyFill="1" applyAlignment="1" applyProtection="1">
      <alignment horizontal="left"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受贵公司委托，我公司对出让国有建设用地使用权及在建建筑物房地产抵押价值进行了预评估。</v>
      </c>
    </row>
    <row r="7" spans="1:2" s="1593" customFormat="1">
      <c r="A7" s="1591" t="s">
        <v>1264</v>
      </c>
      <c r="B7" s="1592" t="str">
        <f>'预评函-1'!A7</f>
        <v>估价对象为出让国有建设用地使用权及在建建筑物房地产，为所有。根据《国有土地使用证》[]，估价对象（分摊）出让国有建设用地使用权面积为42459.8平方米，建筑面积为123122.34平方米。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出让国有建设用地使用权及在建建筑物房地产,属开发建设的，该项目尚在开发建设中。根据《国有土地使用证》[]，估价对象（分摊）出让国有建设用地使用权面积为42459.8平方米，规划建筑面积为123122.34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2019年1月23日（评估专业人员实地查勘之日）</v>
      </c>
    </row>
    <row r="13" spans="1:2" s="1593" customFormat="1">
      <c r="A13" s="1591" t="s">
        <v>1227</v>
      </c>
      <c r="B13" s="1592"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49352</v>
      </c>
    </row>
    <row r="21" spans="1:2" s="1593" customFormat="1">
      <c r="A21" s="1591" t="s">
        <v>1235</v>
      </c>
      <c r="B21" s="1592">
        <f ca="1">'预评函-2'!D7</f>
        <v>4008</v>
      </c>
    </row>
    <row r="22" spans="1:2" s="1593" customFormat="1">
      <c r="A22" s="1591" t="s">
        <v>1236</v>
      </c>
      <c r="B22" s="1592" t="str">
        <f ca="1">'预评函-2'!D6</f>
        <v>肆亿玖仟叁佰伍拾贰万元整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49352</v>
      </c>
    </row>
    <row r="31" spans="1:2" s="1593" customFormat="1">
      <c r="A31" s="1591" t="s">
        <v>1274</v>
      </c>
      <c r="B31" s="1592">
        <f ca="1">'预评函-2'!D15</f>
        <v>4008</v>
      </c>
    </row>
    <row r="32" spans="1:2" s="1593" customFormat="1">
      <c r="A32" s="1591" t="s">
        <v>1241</v>
      </c>
      <c r="B32" s="1592" t="str">
        <f ca="1">'预评函-2'!D14</f>
        <v>肆亿玖仟叁佰伍拾贰万元整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出让国有建设用地使用权及在建建筑物房地产</v>
      </c>
    </row>
    <row r="42" spans="1:2" s="1593" customFormat="1">
      <c r="A42" s="1591" t="s">
        <v>1288</v>
      </c>
      <c r="B42" s="1592" t="str">
        <f>'预评函-3'!B2</f>
        <v>建筑面积</v>
      </c>
    </row>
    <row r="43" spans="1:2" s="1593" customFormat="1">
      <c r="A43" s="1591" t="s">
        <v>1289</v>
      </c>
      <c r="B43" s="1592">
        <f>'预评函-3'!B4</f>
        <v>123122.34</v>
      </c>
    </row>
    <row r="44" spans="1:2" s="1593" customFormat="1">
      <c r="A44" s="1591" t="s">
        <v>1273</v>
      </c>
      <c r="B44" s="1592" t="str">
        <f>'预评函-3'!C2</f>
        <v>(分摊)土地面积</v>
      </c>
    </row>
    <row r="45" spans="1:2" s="1593" customFormat="1">
      <c r="A45" s="1591" t="s">
        <v>1245</v>
      </c>
      <c r="B45" s="1592">
        <f>'预评函-3'!C4</f>
        <v>42459.8</v>
      </c>
    </row>
    <row r="46" spans="1:2" s="1593" customFormat="1">
      <c r="A46" s="1591" t="s">
        <v>1271</v>
      </c>
      <c r="B46" s="1592" t="str">
        <f>'预评函-3'!D2</f>
        <v>出让国有建设用地使用权价值</v>
      </c>
    </row>
    <row r="47" spans="1:2" s="1593" customFormat="1">
      <c r="A47" s="1591" t="s">
        <v>1246</v>
      </c>
      <c r="B47" s="1592">
        <f ca="1">'预评函-3'!D4</f>
        <v>39235</v>
      </c>
    </row>
    <row r="48" spans="1:2" s="1593" customFormat="1">
      <c r="A48" s="1591" t="s">
        <v>1247</v>
      </c>
      <c r="B48" s="1592">
        <f ca="1">'预评函-3'!E4</f>
        <v>3186</v>
      </c>
    </row>
    <row r="49" spans="1:2" s="1593" customFormat="1">
      <c r="A49" s="1591" t="s">
        <v>1248</v>
      </c>
      <c r="B49" s="1592" t="str">
        <f ca="1">'预评函-3'!D5</f>
        <v>叁亿玖仟贰佰叁拾伍万元整</v>
      </c>
    </row>
    <row r="50" spans="1:2" s="1593" customFormat="1">
      <c r="A50" s="1591" t="s">
        <v>1272</v>
      </c>
      <c r="B50" s="1592" t="str">
        <f>'预评函-3'!F2</f>
        <v>在建建筑物价值</v>
      </c>
    </row>
    <row r="51" spans="1:2" s="1593" customFormat="1">
      <c r="A51" s="1591" t="s">
        <v>1249</v>
      </c>
      <c r="B51" s="1592">
        <f ca="1">'预评函-3'!F4</f>
        <v>10117</v>
      </c>
    </row>
    <row r="52" spans="1:2" s="1593" customFormat="1">
      <c r="A52" s="1591" t="s">
        <v>1250</v>
      </c>
      <c r="B52" s="1592">
        <f ca="1">'预评函-3'!G4</f>
        <v>822</v>
      </c>
    </row>
    <row r="53" spans="1:2" s="1593" customFormat="1">
      <c r="A53" s="1591" t="s">
        <v>1278</v>
      </c>
      <c r="B53" s="1592" t="str">
        <f ca="1">'预评函-3'!F5</f>
        <v>壹亿零壹佰壹拾柒万元整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3318</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2" t="s">
        <v>864</v>
      </c>
      <c r="C54" s="2019" t="s">
        <v>1281</v>
      </c>
    </row>
    <row r="55" spans="1:4">
      <c r="A55" s="3063"/>
      <c r="B55" s="2022" t="s">
        <v>865</v>
      </c>
      <c r="C55" s="2019" t="s">
        <v>1282</v>
      </c>
    </row>
    <row r="56" spans="1:4">
      <c r="A56" s="3063"/>
      <c r="B56" s="2022" t="s">
        <v>866</v>
      </c>
      <c r="C56" s="2019" t="s">
        <v>1286</v>
      </c>
    </row>
    <row r="57" spans="1:4">
      <c r="A57" s="306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K15" sqref="K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64" t="str">
        <f>IF(B10="北京市","北京市",C10)&amp;F10&amp;IF(结果表!G1="在建","出让国有建设用地使用权及在建建筑物",IF(结果表!G1="土地","出让国有建设用地使用权",))&amp;B9&amp;"预评估"</f>
        <v>出让国有建设用地使用权及在建建筑物房地产抵押价值预评估</v>
      </c>
      <c r="C1" s="3065"/>
      <c r="D1" s="3065"/>
      <c r="E1" s="3065"/>
      <c r="F1" s="3065"/>
      <c r="G1" s="3065"/>
      <c r="H1" s="3065"/>
      <c r="I1" s="306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1778</v>
      </c>
      <c r="B3" s="2036">
        <v>43488</v>
      </c>
      <c r="C3" s="2037" t="s">
        <v>1779</v>
      </c>
      <c r="D3" s="2036">
        <f>B3</f>
        <v>43488</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3179</v>
      </c>
      <c r="C8" s="2056"/>
      <c r="D8" s="3067" t="s">
        <v>1785</v>
      </c>
      <c r="E8" s="2057" t="s">
        <v>3180</v>
      </c>
      <c r="F8" s="2058"/>
      <c r="G8" s="2026"/>
      <c r="H8" s="2026"/>
      <c r="I8" s="2026"/>
      <c r="J8" s="2042"/>
      <c r="K8" s="2043"/>
      <c r="L8" s="2028"/>
      <c r="M8" s="2028"/>
      <c r="N8" s="2029"/>
      <c r="O8" s="2030"/>
      <c r="P8" s="2029"/>
      <c r="Q8" s="2029"/>
      <c r="R8" s="2029"/>
    </row>
    <row r="9" spans="1:19" ht="18" customHeight="1" thickBot="1">
      <c r="A9" s="2040" t="s">
        <v>1786</v>
      </c>
      <c r="B9" s="2059" t="s">
        <v>3180</v>
      </c>
      <c r="C9" s="2060"/>
      <c r="D9" s="3068"/>
      <c r="E9" s="2059"/>
      <c r="F9" s="2061"/>
      <c r="G9" s="2062"/>
      <c r="H9" s="2062"/>
      <c r="I9" s="2062"/>
      <c r="J9" s="2042"/>
      <c r="K9" s="2054"/>
      <c r="L9" s="2028"/>
      <c r="M9" s="2028"/>
      <c r="N9" s="2029"/>
      <c r="O9" s="2030"/>
      <c r="P9" s="2029"/>
      <c r="Q9" s="2029"/>
      <c r="R9" s="2029"/>
    </row>
    <row r="10" spans="1:19" ht="18" customHeight="1" thickTop="1">
      <c r="A10" s="2063" t="s">
        <v>1787</v>
      </c>
      <c r="B10" s="2064" t="s">
        <v>3181</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3051</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3052</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68827</v>
      </c>
      <c r="E13" s="2080">
        <v>57869</v>
      </c>
      <c r="F13" s="2080"/>
      <c r="G13" s="2080">
        <v>57869</v>
      </c>
      <c r="H13" s="2080"/>
      <c r="I13" s="1047"/>
      <c r="J13" s="2042"/>
      <c r="K13" s="2054"/>
      <c r="L13" s="2028"/>
      <c r="M13" s="2028"/>
      <c r="N13" s="2029"/>
      <c r="O13" s="2030"/>
      <c r="P13" s="2029"/>
      <c r="Q13" s="2029"/>
      <c r="R13" s="2029"/>
    </row>
    <row r="14" spans="1:19" ht="18" customHeight="1">
      <c r="A14" s="2077"/>
      <c r="B14" s="2078"/>
      <c r="C14" s="2079" t="s">
        <v>1799</v>
      </c>
      <c r="D14" s="1050">
        <v>70</v>
      </c>
      <c r="E14" s="1050">
        <v>40</v>
      </c>
      <c r="F14" s="1050"/>
      <c r="G14" s="1050">
        <v>40</v>
      </c>
      <c r="H14" s="1050"/>
      <c r="I14" s="1050"/>
      <c r="J14" s="2042"/>
      <c r="K14" s="2081"/>
      <c r="L14" s="2028"/>
      <c r="M14" s="2028"/>
      <c r="N14" s="2029"/>
      <c r="O14" s="2030"/>
      <c r="P14" s="2029"/>
      <c r="Q14" s="2029"/>
      <c r="R14" s="2029"/>
    </row>
    <row r="15" spans="1:19" ht="18" customHeight="1">
      <c r="A15" s="2063"/>
      <c r="B15" s="2082"/>
      <c r="C15" s="2079" t="s">
        <v>1800</v>
      </c>
      <c r="D15" s="1049">
        <f>IF(B12="出让",IF(D13="","",ROUNDDOWN(MIN((D13-$D$3)/365,D14),2)),D14)</f>
        <v>69.42</v>
      </c>
      <c r="E15" s="1049">
        <f>IF(B12="出让",IF(E13="","",ROUNDDOWN(MIN((E13-$D$3)/365,E14),2)),E14)</f>
        <v>39.4</v>
      </c>
      <c r="F15" s="1049" t="str">
        <f>IF(B12="出让",IF(F13="","",ROUNDDOWN(MIN((F13-$D$3)/365,F14),2)),F14)</f>
        <v/>
      </c>
      <c r="G15" s="1049">
        <f>IF(B12="出让",IF(G13="","",ROUNDDOWN(MIN((G13-$D$3)/365,G14),2)),G14)</f>
        <v>39.4</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1801</v>
      </c>
      <c r="B16" s="3074"/>
      <c r="C16" s="3075"/>
      <c r="D16" s="3076"/>
      <c r="E16" s="2086" t="s">
        <v>1802</v>
      </c>
      <c r="F16" s="3077"/>
      <c r="G16" s="3078"/>
      <c r="H16" s="3078"/>
      <c r="I16" s="3079"/>
      <c r="J16" s="2029"/>
      <c r="K16" s="2083"/>
      <c r="L16" s="2084"/>
      <c r="M16" s="2084"/>
      <c r="N16" s="2085"/>
      <c r="O16" s="2084"/>
      <c r="P16" s="2085"/>
      <c r="Q16" s="2029"/>
      <c r="R16" s="2029"/>
    </row>
    <row r="17" spans="1:22" ht="18" customHeight="1">
      <c r="A17" s="2087" t="s">
        <v>1803</v>
      </c>
      <c r="B17" s="2035" t="s">
        <v>1804</v>
      </c>
      <c r="C17" s="1054">
        <f>'数据-汇总表'!E3</f>
        <v>123122.34</v>
      </c>
      <c r="D17" s="2088" t="s">
        <v>1805</v>
      </c>
      <c r="E17" s="3080" t="s">
        <v>1806</v>
      </c>
      <c r="F17" s="3081"/>
      <c r="G17" s="3081"/>
      <c r="H17" s="3081"/>
      <c r="I17" s="3082"/>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42459.8</v>
      </c>
      <c r="D18" s="2091" t="s">
        <v>1805</v>
      </c>
      <c r="E18" s="3083" t="s">
        <v>1809</v>
      </c>
      <c r="F18" s="3084"/>
      <c r="G18" s="3084"/>
      <c r="H18" s="3084"/>
      <c r="I18" s="3085"/>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70" t="s">
        <v>1814</v>
      </c>
      <c r="C20" s="3071"/>
      <c r="D20" s="3072" t="s">
        <v>1815</v>
      </c>
      <c r="E20" s="3073"/>
      <c r="F20" s="2098" t="s">
        <v>1816</v>
      </c>
      <c r="G20" s="2042"/>
      <c r="H20" s="2042"/>
      <c r="I20" s="2042"/>
      <c r="J20" s="2042"/>
      <c r="K20" s="306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6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87"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87"/>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87"/>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88"/>
      <c r="B30" s="2035" t="s">
        <v>1833</v>
      </c>
      <c r="C30" s="3089"/>
      <c r="D30" s="309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91" t="s">
        <v>1834</v>
      </c>
      <c r="B31" s="2127" t="s">
        <v>3058</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9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9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86" t="s">
        <v>1843</v>
      </c>
      <c r="T34" s="2135" t="str">
        <f>NUMBERSTRING(7-K34,1)&amp;"通"</f>
        <v>七通</v>
      </c>
      <c r="U34" s="2029"/>
      <c r="V34" s="2029"/>
    </row>
    <row r="35" spans="1:22" ht="18" customHeight="1">
      <c r="A35" s="2136"/>
      <c r="B35" s="3093" t="s">
        <v>1844</v>
      </c>
      <c r="C35" s="3093"/>
      <c r="D35" s="3093"/>
      <c r="E35" s="3093"/>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6"/>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1876</v>
      </c>
      <c r="AZ2" s="1270"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42459.8</v>
      </c>
      <c r="B3" s="14">
        <f>IF(C3="否",G5-AT5,G5)</f>
        <v>123122.34</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123122.34</v>
      </c>
      <c r="H5" s="16">
        <f t="shared" ref="H5:AT5" si="0">SUM(H13:H656)</f>
        <v>119504.07</v>
      </c>
      <c r="I5" s="16">
        <f t="shared" si="0"/>
        <v>79984.58</v>
      </c>
      <c r="J5" s="16">
        <f t="shared" si="0"/>
        <v>0</v>
      </c>
      <c r="K5" s="16">
        <f t="shared" si="0"/>
        <v>11836.029999999999</v>
      </c>
      <c r="L5" s="16">
        <f t="shared" si="0"/>
        <v>0</v>
      </c>
      <c r="M5" s="16">
        <f t="shared" si="0"/>
        <v>27683.46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3618.27</v>
      </c>
      <c r="AD5" s="16">
        <f t="shared" si="0"/>
        <v>756.82</v>
      </c>
      <c r="AE5" s="16">
        <f t="shared" si="0"/>
        <v>0</v>
      </c>
      <c r="AF5" s="16">
        <f t="shared" si="0"/>
        <v>0</v>
      </c>
      <c r="AG5" s="16">
        <f t="shared" si="0"/>
        <v>0</v>
      </c>
      <c r="AH5" s="16">
        <f t="shared" si="0"/>
        <v>459.22</v>
      </c>
      <c r="AI5" s="16">
        <f t="shared" si="0"/>
        <v>0</v>
      </c>
      <c r="AJ5" s="16">
        <f t="shared" si="0"/>
        <v>0</v>
      </c>
      <c r="AK5" s="16">
        <f t="shared" si="0"/>
        <v>0</v>
      </c>
      <c r="AL5" s="16">
        <f t="shared" si="0"/>
        <v>2402.23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123122.34</v>
      </c>
      <c r="BA5" s="18">
        <f t="shared" si="1"/>
        <v>119504.07</v>
      </c>
      <c r="BB5" s="18">
        <f t="shared" si="1"/>
        <v>79984.58</v>
      </c>
      <c r="BC5" s="18">
        <f t="shared" si="1"/>
        <v>11836.029999999999</v>
      </c>
      <c r="BD5" s="18">
        <f t="shared" si="1"/>
        <v>27683.46</v>
      </c>
      <c r="BE5" s="18">
        <f t="shared" si="1"/>
        <v>0</v>
      </c>
      <c r="BF5" s="18">
        <f t="shared" si="1"/>
        <v>0</v>
      </c>
      <c r="BG5" s="18">
        <f t="shared" si="1"/>
        <v>0</v>
      </c>
      <c r="BH5" s="18">
        <f t="shared" si="1"/>
        <v>0</v>
      </c>
      <c r="BI5" s="18">
        <f t="shared" si="1"/>
        <v>0</v>
      </c>
      <c r="BJ5" s="18">
        <f t="shared" si="1"/>
        <v>0</v>
      </c>
      <c r="BK5" s="18">
        <f t="shared" si="1"/>
        <v>0</v>
      </c>
      <c r="BL5" s="18">
        <f t="shared" si="1"/>
        <v>3618.27</v>
      </c>
      <c r="BM5" s="18">
        <f t="shared" si="1"/>
        <v>756.82</v>
      </c>
      <c r="BN5" s="18">
        <f t="shared" si="1"/>
        <v>0</v>
      </c>
      <c r="BO5" s="18">
        <f t="shared" si="1"/>
        <v>459.22</v>
      </c>
      <c r="BP5" s="18">
        <f t="shared" si="1"/>
        <v>0</v>
      </c>
      <c r="BQ5" s="18">
        <f t="shared" si="1"/>
        <v>2402.23</v>
      </c>
      <c r="BR5" s="18">
        <f t="shared" si="1"/>
        <v>0</v>
      </c>
      <c r="BS5" s="18">
        <f t="shared" si="1"/>
        <v>0</v>
      </c>
      <c r="BT5" s="19">
        <f t="shared" si="1"/>
        <v>0</v>
      </c>
    </row>
    <row r="6" spans="1:72" s="2178" customFormat="1" ht="12.75">
      <c r="A6" s="15" t="s">
        <v>1881</v>
      </c>
      <c r="B6" s="2175"/>
      <c r="C6" s="2175"/>
      <c r="D6" s="2176"/>
      <c r="E6" s="16">
        <f>H6+AC6+AT6</f>
        <v>42459.81</v>
      </c>
      <c r="F6" s="16" t="s">
        <v>1</v>
      </c>
      <c r="G6" s="16" t="s">
        <v>2</v>
      </c>
      <c r="H6" s="20">
        <f>SUMIF(I$12:AB$12,"总值",I6:AB6)</f>
        <v>41212.009999999995</v>
      </c>
      <c r="I6" s="16">
        <f t="shared" ref="I6:AB6" si="2">ROUND($A$3*I5/$B$3,2)</f>
        <v>27583.37</v>
      </c>
      <c r="J6" s="16">
        <f t="shared" si="2"/>
        <v>0</v>
      </c>
      <c r="K6" s="16">
        <f t="shared" si="2"/>
        <v>4081.76</v>
      </c>
      <c r="L6" s="16">
        <f t="shared" si="2"/>
        <v>0</v>
      </c>
      <c r="M6" s="16">
        <f t="shared" si="2"/>
        <v>9546.8799999999992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1247.8</v>
      </c>
      <c r="AD6" s="16">
        <f t="shared" ref="AD6:AS6" si="3">ROUND($A$3*AD5/$B$3,2)</f>
        <v>261</v>
      </c>
      <c r="AE6" s="16">
        <f t="shared" si="3"/>
        <v>0</v>
      </c>
      <c r="AF6" s="16">
        <f t="shared" si="3"/>
        <v>0</v>
      </c>
      <c r="AG6" s="16">
        <f t="shared" si="3"/>
        <v>0</v>
      </c>
      <c r="AH6" s="16">
        <f t="shared" si="3"/>
        <v>158.37</v>
      </c>
      <c r="AI6" s="16">
        <f t="shared" si="3"/>
        <v>0</v>
      </c>
      <c r="AJ6" s="16">
        <f t="shared" si="3"/>
        <v>0</v>
      </c>
      <c r="AK6" s="16">
        <f t="shared" si="3"/>
        <v>0</v>
      </c>
      <c r="AL6" s="16">
        <f t="shared" si="3"/>
        <v>828.43</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42459.8</v>
      </c>
      <c r="AZ6" s="16" t="s">
        <v>3</v>
      </c>
      <c r="BA6" s="16">
        <f>ROUND($AY$6*BA5/$AZ$5,2)</f>
        <v>41212.01</v>
      </c>
      <c r="BB6" s="16">
        <f>ROUND($AY$6*BB5/$AZ$5,2)</f>
        <v>27583.37</v>
      </c>
      <c r="BC6" s="16">
        <f t="shared" ref="BC6:BH6" si="4">ROUND($AY$6*BC5/$AZ$5,2)</f>
        <v>4081.76</v>
      </c>
      <c r="BD6" s="16">
        <f t="shared" si="4"/>
        <v>9546.8799999999992</v>
      </c>
      <c r="BE6" s="16">
        <f t="shared" si="4"/>
        <v>0</v>
      </c>
      <c r="BF6" s="16">
        <f t="shared" si="4"/>
        <v>0</v>
      </c>
      <c r="BG6" s="16">
        <f t="shared" si="4"/>
        <v>0</v>
      </c>
      <c r="BH6" s="16">
        <f t="shared" si="4"/>
        <v>0</v>
      </c>
      <c r="BI6" s="16">
        <f t="shared" ref="BI6:BT6" si="5">ROUND($AY$6*BI5/$AZ$5,2)</f>
        <v>0</v>
      </c>
      <c r="BJ6" s="16">
        <f t="shared" si="5"/>
        <v>0</v>
      </c>
      <c r="BK6" s="16">
        <f t="shared" si="5"/>
        <v>0</v>
      </c>
      <c r="BL6" s="16">
        <f t="shared" si="5"/>
        <v>1247.79</v>
      </c>
      <c r="BM6" s="16">
        <f t="shared" si="5"/>
        <v>261</v>
      </c>
      <c r="BN6" s="16">
        <f t="shared" si="5"/>
        <v>0</v>
      </c>
      <c r="BO6" s="16">
        <f t="shared" si="5"/>
        <v>158.37</v>
      </c>
      <c r="BP6" s="16">
        <f t="shared" si="5"/>
        <v>0</v>
      </c>
      <c r="BQ6" s="16">
        <f t="shared" si="5"/>
        <v>828.43</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1" t="s">
        <v>1895</v>
      </c>
      <c r="AD8" s="2189"/>
      <c r="AE8" s="2181"/>
      <c r="AF8" s="1818"/>
      <c r="AG8" s="1818"/>
      <c r="AH8" s="1818"/>
      <c r="AI8" s="1818"/>
      <c r="AJ8" s="1818"/>
      <c r="AK8" s="1818"/>
      <c r="AL8" s="1818"/>
      <c r="AM8" s="1818"/>
      <c r="AN8" s="1818"/>
      <c r="AO8" s="1818"/>
      <c r="AP8" s="1818"/>
      <c r="AQ8" s="1818"/>
      <c r="AR8" s="1818"/>
      <c r="AS8" s="1818"/>
      <c r="AT8" s="1292" t="s">
        <v>1896</v>
      </c>
      <c r="AU8" s="2183" t="s">
        <v>1897</v>
      </c>
      <c r="AV8" s="1292"/>
      <c r="AW8" s="2166"/>
      <c r="AX8" s="1292"/>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1900</v>
      </c>
      <c r="I9" s="2192" t="s">
        <v>3055</v>
      </c>
      <c r="J9" s="981"/>
      <c r="K9" s="2192" t="s">
        <v>3055</v>
      </c>
      <c r="L9" s="981"/>
      <c r="M9" s="2192" t="s">
        <v>3302</v>
      </c>
      <c r="N9" s="981"/>
      <c r="O9" s="2192"/>
      <c r="P9" s="981"/>
      <c r="Q9" s="2192"/>
      <c r="R9" s="981"/>
      <c r="S9" s="2192"/>
      <c r="T9" s="981"/>
      <c r="U9" s="2192"/>
      <c r="V9" s="981"/>
      <c r="W9" s="2192"/>
      <c r="X9" s="2193"/>
      <c r="Y9" s="2192"/>
      <c r="Z9" s="981"/>
      <c r="AA9" s="2192"/>
      <c r="AB9" s="981"/>
      <c r="AC9" s="2184"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4"/>
      <c r="AT9" s="2183"/>
      <c r="AU9" s="2183" t="s">
        <v>1903</v>
      </c>
      <c r="AV9" s="1292"/>
      <c r="AW9" s="2166"/>
      <c r="AX9" s="1292"/>
      <c r="AY9" s="28"/>
      <c r="AZ9" s="28" t="s">
        <v>1893</v>
      </c>
      <c r="BA9" s="2195" t="s">
        <v>1904</v>
      </c>
      <c r="BB9" s="2196"/>
      <c r="BC9" s="1338"/>
      <c r="BD9" s="1338"/>
      <c r="BE9" s="1338"/>
      <c r="BF9" s="1338"/>
      <c r="BG9" s="1338"/>
      <c r="BH9" s="1338"/>
      <c r="BI9" s="1338"/>
      <c r="BJ9" s="1338"/>
      <c r="BK9" s="2197"/>
      <c r="BL9" s="15" t="s">
        <v>1905</v>
      </c>
      <c r="BM9" s="1818"/>
      <c r="BN9" s="2186"/>
      <c r="BO9" s="1818"/>
      <c r="BP9" s="1818"/>
      <c r="BQ9" s="1818"/>
      <c r="BR9" s="1818"/>
      <c r="BS9" s="1818"/>
      <c r="BT9" s="26"/>
    </row>
    <row r="10" spans="1:72" s="2190" customFormat="1" ht="12.75">
      <c r="A10" s="2183"/>
      <c r="B10" s="2183"/>
      <c r="C10" s="2183"/>
      <c r="D10" s="2183"/>
      <c r="E10" s="2183"/>
      <c r="F10" s="2183"/>
      <c r="G10" s="1292"/>
      <c r="H10" s="28"/>
      <c r="I10" s="2192" t="s">
        <v>3053</v>
      </c>
      <c r="J10" s="981"/>
      <c r="K10" s="2198" t="s">
        <v>1377</v>
      </c>
      <c r="L10" s="981"/>
      <c r="M10" s="2198" t="s">
        <v>3303</v>
      </c>
      <c r="N10" s="981"/>
      <c r="O10" s="2198"/>
      <c r="P10" s="981"/>
      <c r="Q10" s="2198"/>
      <c r="R10" s="981"/>
      <c r="S10" s="2198"/>
      <c r="T10" s="981"/>
      <c r="U10" s="2198"/>
      <c r="V10" s="981"/>
      <c r="W10" s="2198"/>
      <c r="X10" s="981"/>
      <c r="Y10" s="2198"/>
      <c r="Z10" s="981"/>
      <c r="AA10" s="2198"/>
      <c r="AB10" s="981"/>
      <c r="AC10" s="1292"/>
      <c r="AD10" s="15" t="s">
        <v>1906</v>
      </c>
      <c r="AE10" s="2199"/>
      <c r="AF10" s="15" t="s">
        <v>1906</v>
      </c>
      <c r="AG10" s="2199"/>
      <c r="AH10" s="15" t="s">
        <v>1907</v>
      </c>
      <c r="AI10" s="2199"/>
      <c r="AJ10" s="15" t="s">
        <v>1907</v>
      </c>
      <c r="AK10" s="2199"/>
      <c r="AL10" s="15" t="s">
        <v>1908</v>
      </c>
      <c r="AM10" s="1298"/>
      <c r="AN10" s="15" t="s">
        <v>1908</v>
      </c>
      <c r="AO10" s="1298"/>
      <c r="AP10" s="15" t="s">
        <v>1909</v>
      </c>
      <c r="AQ10" s="1298"/>
      <c r="AR10" s="15" t="s">
        <v>1909</v>
      </c>
      <c r="AS10" s="1298"/>
      <c r="AT10" s="2183"/>
      <c r="AU10" s="2183"/>
      <c r="AV10" s="1292"/>
      <c r="AW10" s="2166"/>
      <c r="AX10" s="1292"/>
      <c r="AY10" s="28"/>
      <c r="AZ10" s="28"/>
      <c r="BA10" s="2200" t="s">
        <v>1900</v>
      </c>
      <c r="BB10" s="2201"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3056</v>
      </c>
      <c r="J11" s="2204"/>
      <c r="K11" s="2203" t="s">
        <v>3298</v>
      </c>
      <c r="L11" s="2204"/>
      <c r="M11" s="2203" t="s">
        <v>3056</v>
      </c>
      <c r="N11" s="2204"/>
      <c r="O11" s="2203"/>
      <c r="P11" s="2204"/>
      <c r="Q11" s="2203"/>
      <c r="R11" s="2204"/>
      <c r="S11" s="2203"/>
      <c r="T11" s="2204"/>
      <c r="U11" s="2203"/>
      <c r="V11" s="2204"/>
      <c r="W11" s="2203"/>
      <c r="X11" s="2204"/>
      <c r="Y11" s="2203"/>
      <c r="Z11" s="2204"/>
      <c r="AA11" s="2203"/>
      <c r="AB11" s="2204"/>
      <c r="AC11" s="1292"/>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商业</v>
      </c>
      <c r="BD11" s="2188" t="str">
        <f>M10</f>
        <v>车库</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平层住宅</v>
      </c>
      <c r="BC12" s="2213" t="str">
        <f>K11</f>
        <v>独立商业</v>
      </c>
      <c r="BD12" s="2213" t="str">
        <f>M11</f>
        <v>平层住宅</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v>8</v>
      </c>
      <c r="B13" s="1272"/>
      <c r="C13" s="2945" t="s">
        <v>3054</v>
      </c>
      <c r="D13" s="2214" t="s">
        <v>3057</v>
      </c>
      <c r="E13" s="16">
        <f>IF($C$3="是",ROUND($A$3*G13/$B$3,2),ROUND($A$3*(G13-AT13)/$B$3,2))</f>
        <v>3592.96</v>
      </c>
      <c r="F13" s="32"/>
      <c r="G13" s="33">
        <f>H13+AC13+AT13</f>
        <v>10418.640000000001</v>
      </c>
      <c r="H13" s="20">
        <f>SUMIF(I$12:AB$12,"总值",I13:AB13)</f>
        <v>10204.370000000001</v>
      </c>
      <c r="I13" s="2215">
        <v>10204.370000000001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214.27</v>
      </c>
      <c r="AD13" s="2216"/>
      <c r="AE13" s="2216"/>
      <c r="AF13" s="2216"/>
      <c r="AG13" s="2216"/>
      <c r="AH13" s="2216"/>
      <c r="AI13" s="2216"/>
      <c r="AJ13" s="2216"/>
      <c r="AK13" s="2216"/>
      <c r="AL13" s="2216">
        <f>214.27</f>
        <v>214.27</v>
      </c>
      <c r="AM13" s="2216"/>
      <c r="AN13" s="2216"/>
      <c r="AO13" s="2216"/>
      <c r="AP13" s="2216"/>
      <c r="AQ13" s="2216"/>
      <c r="AR13" s="2216"/>
      <c r="AS13" s="2216"/>
      <c r="AT13" s="2217"/>
      <c r="AU13" s="2218"/>
      <c r="AV13" s="11">
        <f t="shared" ref="AV13:AX17" si="6">A13</f>
        <v>8</v>
      </c>
      <c r="AW13" s="11">
        <f t="shared" si="6"/>
        <v>0</v>
      </c>
      <c r="AX13" s="11" t="str">
        <f t="shared" si="6"/>
        <v>住宅</v>
      </c>
      <c r="AY13" s="1806">
        <f>ROUND($AY$6*AZ13/$AZ$5,2)</f>
        <v>3592.96</v>
      </c>
      <c r="AZ13" s="16">
        <f>BA13+BL13</f>
        <v>10418.640000000001</v>
      </c>
      <c r="BA13" s="16">
        <f>SUM(BB13:BK13)</f>
        <v>10204.370000000001</v>
      </c>
      <c r="BB13" s="16">
        <f>IF($D13="是",I13-J13,0)</f>
        <v>10204.370000000001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214.27</v>
      </c>
      <c r="BM13" s="16">
        <f>IF($D13="是",AD13-AE13,0)</f>
        <v>0</v>
      </c>
      <c r="BN13" s="16">
        <f>IF($D13="是",AF13-AG13,0)</f>
        <v>0</v>
      </c>
      <c r="BO13" s="16">
        <f>IF($D13="是",AH13-AI13,0)</f>
        <v>0</v>
      </c>
      <c r="BP13" s="16">
        <f>IF($D13="是",AJ13-AK13,0)</f>
        <v>0</v>
      </c>
      <c r="BQ13" s="16">
        <f>IF($D13="是",AL13-AM13,0)</f>
        <v>214.27</v>
      </c>
      <c r="BR13" s="16">
        <f>IF($D13="是",AN13-AO13,0)</f>
        <v>0</v>
      </c>
      <c r="BS13" s="16">
        <f>IF($D13="是",AP13-AQ13,0)</f>
        <v>0</v>
      </c>
      <c r="BT13" s="22">
        <f>IF($D13="是",AR13-AS13,0)</f>
        <v>0</v>
      </c>
    </row>
    <row r="14" spans="1:72" s="2168" customFormat="1" ht="12.75">
      <c r="A14" s="1272">
        <v>9</v>
      </c>
      <c r="B14" s="1272"/>
      <c r="C14" s="2945" t="s">
        <v>3054</v>
      </c>
      <c r="D14" s="2214" t="s">
        <v>3057</v>
      </c>
      <c r="E14" s="16">
        <f>IF($C$3="是",ROUND($A$3*G14/$B$3,2),ROUND($A$3*(G14-AT14)/$B$3,2))</f>
        <v>5437.51</v>
      </c>
      <c r="F14" s="32"/>
      <c r="G14" s="33">
        <f>H14+AC14+AT14</f>
        <v>15767.36</v>
      </c>
      <c r="H14" s="20">
        <f>SUMIF(I$12:AB$12,"总值",I14:AB14)</f>
        <v>15394.49</v>
      </c>
      <c r="I14" s="2215">
        <v>15394.49</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372.87</v>
      </c>
      <c r="AD14" s="2216"/>
      <c r="AE14" s="2216"/>
      <c r="AF14" s="2216"/>
      <c r="AG14" s="2216"/>
      <c r="AH14" s="2216"/>
      <c r="AI14" s="2216"/>
      <c r="AJ14" s="2216"/>
      <c r="AK14" s="2216"/>
      <c r="AL14" s="2216">
        <f>53.82+50.42+268.63</f>
        <v>372.87</v>
      </c>
      <c r="AM14" s="2216"/>
      <c r="AN14" s="2216"/>
      <c r="AO14" s="2216"/>
      <c r="AP14" s="2216"/>
      <c r="AQ14" s="2216"/>
      <c r="AR14" s="2216"/>
      <c r="AS14" s="2216"/>
      <c r="AT14" s="2217"/>
      <c r="AU14" s="2218"/>
      <c r="AV14" s="11">
        <f t="shared" si="6"/>
        <v>9</v>
      </c>
      <c r="AW14" s="11">
        <f t="shared" si="6"/>
        <v>0</v>
      </c>
      <c r="AX14" s="11" t="str">
        <f t="shared" si="6"/>
        <v>住宅</v>
      </c>
      <c r="AY14" s="1806">
        <f>ROUND($AY$6*AZ14/$AZ$5,2)</f>
        <v>5437.51</v>
      </c>
      <c r="AZ14" s="16">
        <f>BA14+BL14</f>
        <v>15767.36</v>
      </c>
      <c r="BA14" s="16">
        <f>SUM(BB14:BK14)</f>
        <v>15394.49</v>
      </c>
      <c r="BB14" s="16">
        <f>IF($D14="是",I14-J14,0)</f>
        <v>15394.49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372.87</v>
      </c>
      <c r="BM14" s="16">
        <f>IF($D14="是",AD14-AE14,0)</f>
        <v>0</v>
      </c>
      <c r="BN14" s="16">
        <f>IF($D14="是",AF14-AG14,0)</f>
        <v>0</v>
      </c>
      <c r="BO14" s="16">
        <f>IF($D14="是",AH14-AI14,0)</f>
        <v>0</v>
      </c>
      <c r="BP14" s="16">
        <f>IF($D14="是",AJ14-AK14,0)</f>
        <v>0</v>
      </c>
      <c r="BQ14" s="16">
        <f>IF($D14="是",AL14-AM14,0)</f>
        <v>372.87</v>
      </c>
      <c r="BR14" s="16">
        <f>IF($D14="是",AN14-AO14,0)</f>
        <v>0</v>
      </c>
      <c r="BS14" s="16">
        <f>IF($D14="是",AP14-AQ14,0)</f>
        <v>0</v>
      </c>
      <c r="BT14" s="22">
        <f>IF($D14="是",AR14-AS14,0)</f>
        <v>0</v>
      </c>
    </row>
    <row r="15" spans="1:72" s="2168" customFormat="1" ht="12.75">
      <c r="A15" s="1272">
        <v>10</v>
      </c>
      <c r="B15" s="1272"/>
      <c r="C15" s="2945" t="s">
        <v>3054</v>
      </c>
      <c r="D15" s="2214" t="s">
        <v>3057</v>
      </c>
      <c r="E15" s="16">
        <f>IF($C$3="是",ROUND($A$3*G15/$B$3,2),ROUND($A$3*(G15-AT15)/$B$3,2))</f>
        <v>5118.7</v>
      </c>
      <c r="F15" s="32"/>
      <c r="G15" s="33">
        <f>H15+AC15+AT15</f>
        <v>14842.900000000001</v>
      </c>
      <c r="H15" s="20">
        <f>SUMIF(I$12:AB$12,"总值",I15:AB15)</f>
        <v>14489.36</v>
      </c>
      <c r="I15" s="2215">
        <v>14489.36</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353.54</v>
      </c>
      <c r="AD15" s="2216"/>
      <c r="AE15" s="2216"/>
      <c r="AF15" s="2216"/>
      <c r="AG15" s="2216"/>
      <c r="AH15" s="2216"/>
      <c r="AI15" s="2216"/>
      <c r="AJ15" s="2216"/>
      <c r="AK15" s="2216"/>
      <c r="AL15" s="2216">
        <f>353.54</f>
        <v>353.54</v>
      </c>
      <c r="AM15" s="2216"/>
      <c r="AN15" s="2216"/>
      <c r="AO15" s="2216"/>
      <c r="AP15" s="2216"/>
      <c r="AQ15" s="2216"/>
      <c r="AR15" s="2216"/>
      <c r="AS15" s="2216"/>
      <c r="AT15" s="2217"/>
      <c r="AU15" s="2218"/>
      <c r="AV15" s="11">
        <f t="shared" si="6"/>
        <v>10</v>
      </c>
      <c r="AW15" s="11">
        <f t="shared" si="6"/>
        <v>0</v>
      </c>
      <c r="AX15" s="11" t="str">
        <f t="shared" si="6"/>
        <v>住宅</v>
      </c>
      <c r="AY15" s="1806">
        <f>ROUND($AY$6*AZ15/$AZ$5,2)</f>
        <v>5118.7</v>
      </c>
      <c r="AZ15" s="16">
        <f>BA15+BL15</f>
        <v>14842.900000000001</v>
      </c>
      <c r="BA15" s="16">
        <f>SUM(BB15:BK15)</f>
        <v>14489.36</v>
      </c>
      <c r="BB15" s="16">
        <f>IF($D15="是",I15-J15,0)</f>
        <v>14489.36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353.54</v>
      </c>
      <c r="BM15" s="16">
        <f>IF($D15="是",AD15-AE15,0)</f>
        <v>0</v>
      </c>
      <c r="BN15" s="16">
        <f>IF($D15="是",AF15-AG15,0)</f>
        <v>0</v>
      </c>
      <c r="BO15" s="16">
        <f>IF($D15="是",AH15-AI15,0)</f>
        <v>0</v>
      </c>
      <c r="BP15" s="16">
        <f>IF($D15="是",AJ15-AK15,0)</f>
        <v>0</v>
      </c>
      <c r="BQ15" s="16">
        <f>IF($D15="是",AL15-AM15,0)</f>
        <v>353.54</v>
      </c>
      <c r="BR15" s="16">
        <f>IF($D15="是",AN15-AO15,0)</f>
        <v>0</v>
      </c>
      <c r="BS15" s="16">
        <f>IF($D15="是",AP15-AQ15,0)</f>
        <v>0</v>
      </c>
      <c r="BT15" s="22">
        <f>IF($D15="是",AR15-AS15,0)</f>
        <v>0</v>
      </c>
    </row>
    <row r="16" spans="1:72" s="2168" customFormat="1" ht="12.75">
      <c r="A16" s="1272">
        <v>11</v>
      </c>
      <c r="B16" s="1272"/>
      <c r="C16" s="2945" t="s">
        <v>3054</v>
      </c>
      <c r="D16" s="2214" t="s">
        <v>3057</v>
      </c>
      <c r="E16" s="16">
        <f>IF($C$3="是",ROUND($A$3*G16/$B$3,2),ROUND($A$3*(G16-AT16)/$B$3,2))</f>
        <v>5115.79</v>
      </c>
      <c r="F16" s="32"/>
      <c r="G16" s="33">
        <f>H16+AC16+AT16</f>
        <v>14834.47</v>
      </c>
      <c r="H16" s="20">
        <f>SUMIF(I$12:AB$12,"总值",I16:AB16)</f>
        <v>14071.15</v>
      </c>
      <c r="I16" s="2215">
        <v>14071.15</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763.32</v>
      </c>
      <c r="AD16" s="2216"/>
      <c r="AE16" s="2216"/>
      <c r="AF16" s="2216"/>
      <c r="AG16" s="2216"/>
      <c r="AH16" s="2216">
        <v>459.22</v>
      </c>
      <c r="AI16" s="2216"/>
      <c r="AJ16" s="2216"/>
      <c r="AK16" s="2216"/>
      <c r="AL16" s="2216">
        <f>304.1</f>
        <v>304.10000000000002</v>
      </c>
      <c r="AM16" s="2216"/>
      <c r="AN16" s="2216"/>
      <c r="AO16" s="2216"/>
      <c r="AP16" s="2216"/>
      <c r="AQ16" s="2216"/>
      <c r="AR16" s="2216"/>
      <c r="AS16" s="2216"/>
      <c r="AT16" s="2217"/>
      <c r="AU16" s="2218"/>
      <c r="AV16" s="11">
        <f t="shared" si="6"/>
        <v>11</v>
      </c>
      <c r="AW16" s="11">
        <f t="shared" si="6"/>
        <v>0</v>
      </c>
      <c r="AX16" s="11" t="str">
        <f t="shared" si="6"/>
        <v>住宅</v>
      </c>
      <c r="AY16" s="1806">
        <f>ROUND($AY$6*AZ16/$AZ$5,2)</f>
        <v>5115.79</v>
      </c>
      <c r="AZ16" s="16">
        <f>BA16+BL16</f>
        <v>14834.47</v>
      </c>
      <c r="BA16" s="16">
        <f>SUM(BB16:BK16)</f>
        <v>14071.15</v>
      </c>
      <c r="BB16" s="16">
        <f>IF($D16="是",I16-J16,0)</f>
        <v>14071.15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763.32</v>
      </c>
      <c r="BM16" s="16">
        <f>IF($D16="是",AD16-AE16,0)</f>
        <v>0</v>
      </c>
      <c r="BN16" s="16">
        <f>IF($D16="是",AF16-AG16,0)</f>
        <v>0</v>
      </c>
      <c r="BO16" s="16">
        <f>IF($D16="是",AH16-AI16,0)</f>
        <v>459.22</v>
      </c>
      <c r="BP16" s="16">
        <f>IF($D16="是",AJ16-AK16,0)</f>
        <v>0</v>
      </c>
      <c r="BQ16" s="16">
        <f>IF($D16="是",AL16-AM16,0)</f>
        <v>304.10000000000002</v>
      </c>
      <c r="BR16" s="16">
        <f>IF($D16="是",AN16-AO16,0)</f>
        <v>0</v>
      </c>
      <c r="BS16" s="16">
        <f>IF($D16="是",AP16-AQ16,0)</f>
        <v>0</v>
      </c>
      <c r="BT16" s="22">
        <f>IF($D16="是",AR16-AS16,0)</f>
        <v>0</v>
      </c>
    </row>
    <row r="17" spans="1:72" s="2168" customFormat="1" ht="12.75">
      <c r="A17" s="1272">
        <v>12</v>
      </c>
      <c r="B17" s="1272"/>
      <c r="C17" s="2945" t="s">
        <v>3054</v>
      </c>
      <c r="D17" s="2214" t="s">
        <v>3057</v>
      </c>
      <c r="E17" s="16">
        <f>IF($C$3="是",ROUND($A$3*G17/$B$3,2),ROUND($A$3*(G17-AT17)/$B$3,2))</f>
        <v>5522.99</v>
      </c>
      <c r="F17" s="32"/>
      <c r="G17" s="33">
        <f>H17+AC17+AT17</f>
        <v>16015.24</v>
      </c>
      <c r="H17" s="20">
        <f>SUMIF(I$12:AB$12,"总值",I17:AB17)</f>
        <v>15620.84</v>
      </c>
      <c r="I17" s="2215">
        <v>15620.84</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394.40000000000003</v>
      </c>
      <c r="AD17" s="2216">
        <f>138.03+30.89+209.49</f>
        <v>378.41</v>
      </c>
      <c r="AE17" s="2216"/>
      <c r="AF17" s="2216"/>
      <c r="AG17" s="2216"/>
      <c r="AH17" s="2216"/>
      <c r="AI17" s="2216"/>
      <c r="AJ17" s="2216"/>
      <c r="AK17" s="2216"/>
      <c r="AL17" s="2216">
        <f>15.99</f>
        <v>15.99</v>
      </c>
      <c r="AM17" s="2216"/>
      <c r="AN17" s="2216"/>
      <c r="AO17" s="2216"/>
      <c r="AP17" s="2216"/>
      <c r="AQ17" s="2216"/>
      <c r="AR17" s="2216"/>
      <c r="AS17" s="2216"/>
      <c r="AT17" s="2217"/>
      <c r="AU17" s="2218"/>
      <c r="AV17" s="11">
        <f t="shared" si="6"/>
        <v>12</v>
      </c>
      <c r="AW17" s="11">
        <f t="shared" si="6"/>
        <v>0</v>
      </c>
      <c r="AX17" s="11" t="str">
        <f t="shared" si="6"/>
        <v>住宅</v>
      </c>
      <c r="AY17" s="1806">
        <f>ROUND($AY$6*AZ17/$AZ$5,2)</f>
        <v>5522.99</v>
      </c>
      <c r="AZ17" s="16">
        <f>BA17+BL17</f>
        <v>16015.24</v>
      </c>
      <c r="BA17" s="16">
        <f>SUM(BB17:BK17)</f>
        <v>15620.84</v>
      </c>
      <c r="BB17" s="16">
        <f>IF($D17="是",I17-J17,0)</f>
        <v>15620.84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394.40000000000003</v>
      </c>
      <c r="BM17" s="16">
        <f>IF($D17="是",AD17-AE17,0)</f>
        <v>378.41</v>
      </c>
      <c r="BN17" s="16">
        <f>IF($D17="是",AF17-AG17,0)</f>
        <v>0</v>
      </c>
      <c r="BO17" s="16">
        <f>IF($D17="是",AH17-AI17,0)</f>
        <v>0</v>
      </c>
      <c r="BP17" s="16">
        <f>IF($D17="是",AJ17-AK17,0)</f>
        <v>0</v>
      </c>
      <c r="BQ17" s="16">
        <f>IF($D17="是",AL17-AM17,0)</f>
        <v>15.99</v>
      </c>
      <c r="BR17" s="16">
        <f>IF($D17="是",AN17-AO17,0)</f>
        <v>0</v>
      </c>
      <c r="BS17" s="16">
        <f>IF($D17="是",AP17-AQ17,0)</f>
        <v>0</v>
      </c>
      <c r="BT17" s="22">
        <f>IF($D17="是",AR17-AS17,0)</f>
        <v>0</v>
      </c>
    </row>
    <row r="18" spans="1:72" s="3017" customFormat="1">
      <c r="A18" s="3004">
        <v>13</v>
      </c>
      <c r="B18" s="3005"/>
      <c r="C18" s="3006" t="s">
        <v>3054</v>
      </c>
      <c r="D18" s="3005" t="s">
        <v>3057</v>
      </c>
      <c r="E18" s="3007">
        <f t="shared" ref="E18:E112" si="7">IF($C$3="是",ROUND($A$3*G18/$B$3,2),ROUND($A$3*(G18-AT18)/$B$3,2))</f>
        <v>3592.96</v>
      </c>
      <c r="F18" s="3008"/>
      <c r="G18" s="3009">
        <f t="shared" ref="G18:G109" si="8">H18+AC18+AT18</f>
        <v>10418.640000000001</v>
      </c>
      <c r="H18" s="3010">
        <f t="shared" ref="H18:H109" si="9">SUMIF(I$12:AB$12,"总值",I18:AB18)</f>
        <v>10204.370000000001</v>
      </c>
      <c r="I18" s="3011">
        <v>10204.370000000001</v>
      </c>
      <c r="J18" s="3011"/>
      <c r="K18" s="3011"/>
      <c r="L18" s="3011"/>
      <c r="M18" s="3011"/>
      <c r="N18" s="3011"/>
      <c r="O18" s="3011"/>
      <c r="P18" s="3011"/>
      <c r="Q18" s="3011"/>
      <c r="R18" s="3011"/>
      <c r="S18" s="3011"/>
      <c r="T18" s="3011"/>
      <c r="U18" s="3011"/>
      <c r="V18" s="3011"/>
      <c r="W18" s="3011"/>
      <c r="X18" s="3011"/>
      <c r="Y18" s="3011"/>
      <c r="Z18" s="3011"/>
      <c r="AA18" s="3011"/>
      <c r="AB18" s="3011"/>
      <c r="AC18" s="3007">
        <f t="shared" ref="AC18:AC109" si="10">SUMIF(AD$12:AS$12,"总值",AD18:AS18)</f>
        <v>214.27</v>
      </c>
      <c r="AD18" s="3012"/>
      <c r="AE18" s="3012"/>
      <c r="AF18" s="3012"/>
      <c r="AG18" s="3012"/>
      <c r="AH18" s="3012"/>
      <c r="AI18" s="3012"/>
      <c r="AJ18" s="3012"/>
      <c r="AK18" s="3012"/>
      <c r="AL18" s="3012">
        <f>214.27</f>
        <v>214.27</v>
      </c>
      <c r="AM18" s="3012"/>
      <c r="AN18" s="3012"/>
      <c r="AO18" s="3012"/>
      <c r="AP18" s="3012"/>
      <c r="AQ18" s="3012"/>
      <c r="AR18" s="3012"/>
      <c r="AS18" s="3012"/>
      <c r="AT18" s="3008"/>
      <c r="AU18" s="3013"/>
      <c r="AV18" s="3014">
        <f t="shared" ref="AV18:AV112" si="11">A18</f>
        <v>13</v>
      </c>
      <c r="AW18" s="3014">
        <f t="shared" ref="AW18:AW112" si="12">B18</f>
        <v>0</v>
      </c>
      <c r="AX18" s="3014" t="str">
        <f t="shared" ref="AX18:AX112" si="13">C18</f>
        <v>住宅</v>
      </c>
      <c r="AY18" s="3015">
        <f t="shared" ref="AY18:AY109" si="14">ROUND($AY$6*AZ18/$AZ$5,2)</f>
        <v>3592.96</v>
      </c>
      <c r="AZ18" s="3007">
        <f t="shared" ref="AZ18:AZ109" si="15">BA18+BL18</f>
        <v>10418.640000000001</v>
      </c>
      <c r="BA18" s="3007">
        <f t="shared" ref="BA18:BA109" si="16">SUM(BB18:BK18)</f>
        <v>10204.370000000001</v>
      </c>
      <c r="BB18" s="3007">
        <f t="shared" ref="BB18:BB109" si="17">IF($D18="是",I18-J18,0)</f>
        <v>10204.370000000001</v>
      </c>
      <c r="BC18" s="3007">
        <f t="shared" ref="BC18:BC109" si="18">IF($D18="是",K18-L18,0)</f>
        <v>0</v>
      </c>
      <c r="BD18" s="3007">
        <f t="shared" ref="BD18:BD109" si="19">IF($D18="是",M18-N18,0)</f>
        <v>0</v>
      </c>
      <c r="BE18" s="3007">
        <f t="shared" ref="BE18:BE109" si="20">IF($D18="是",O18-P18,0)</f>
        <v>0</v>
      </c>
      <c r="BF18" s="3007">
        <f t="shared" ref="BF18:BF109" si="21">IF($D18="是",Q18-R18,0)</f>
        <v>0</v>
      </c>
      <c r="BG18" s="3007">
        <f t="shared" ref="BG18:BG109" si="22">IF($D18="是",S18-T18,0)</f>
        <v>0</v>
      </c>
      <c r="BH18" s="3007">
        <f t="shared" ref="BH18:BH109" si="23">IF($D18="是",U18-V18,0)</f>
        <v>0</v>
      </c>
      <c r="BI18" s="3007">
        <f t="shared" ref="BI18:BI109" si="24">IF($D18="是",W18-X18,0)</f>
        <v>0</v>
      </c>
      <c r="BJ18" s="3007">
        <f t="shared" ref="BJ18:BJ109" si="25">IF($D18="是",Y18-Z18,0)</f>
        <v>0</v>
      </c>
      <c r="BK18" s="3007">
        <f t="shared" ref="BK18:BK109" si="26">IF($D18="是",AA18-AB18,0)</f>
        <v>0</v>
      </c>
      <c r="BL18" s="3007">
        <f t="shared" ref="BL18:BL109" si="27">SUM(BM18:BT18)</f>
        <v>214.27</v>
      </c>
      <c r="BM18" s="3007">
        <f t="shared" ref="BM18:BM109" si="28">IF($D18="是",AD18-AE18,0)</f>
        <v>0</v>
      </c>
      <c r="BN18" s="3007">
        <f t="shared" ref="BN18:BN109" si="29">IF($D18="是",AF18-AG18,0)</f>
        <v>0</v>
      </c>
      <c r="BO18" s="3007">
        <f t="shared" ref="BO18:BO109" si="30">IF($D18="是",AH18-AI18,0)</f>
        <v>0</v>
      </c>
      <c r="BP18" s="3007">
        <f t="shared" ref="BP18:BP109" si="31">IF($D18="是",AJ18-AK18,0)</f>
        <v>0</v>
      </c>
      <c r="BQ18" s="3007">
        <f t="shared" ref="BQ18:BQ109" si="32">IF($D18="是",AL18-AM18,0)</f>
        <v>214.27</v>
      </c>
      <c r="BR18" s="3007">
        <f t="shared" ref="BR18:BR109" si="33">IF($D18="是",AN18-AO18,0)</f>
        <v>0</v>
      </c>
      <c r="BS18" s="3007">
        <f t="shared" ref="BS18:BS109" si="34">IF($D18="是",AP18-AQ18,0)</f>
        <v>0</v>
      </c>
      <c r="BT18" s="3016">
        <f t="shared" ref="BT18:BT109" si="35">IF($D18="是",AR18-AS18,0)</f>
        <v>0</v>
      </c>
    </row>
    <row r="19" spans="1:72">
      <c r="A19" s="9" t="s">
        <v>3308</v>
      </c>
      <c r="B19" s="34"/>
      <c r="C19" s="3000" t="s">
        <v>3299</v>
      </c>
      <c r="D19" s="2219" t="s">
        <v>3057</v>
      </c>
      <c r="E19" s="35">
        <f t="shared" si="7"/>
        <v>573.39</v>
      </c>
      <c r="F19" s="36"/>
      <c r="G19" s="37">
        <f t="shared" si="8"/>
        <v>1662.68</v>
      </c>
      <c r="H19" s="38">
        <f t="shared" si="9"/>
        <v>1284.27</v>
      </c>
      <c r="I19" s="39"/>
      <c r="J19" s="39"/>
      <c r="K19" s="39">
        <v>1284.27</v>
      </c>
      <c r="L19" s="39"/>
      <c r="M19" s="39"/>
      <c r="N19" s="39"/>
      <c r="O19" s="39"/>
      <c r="P19" s="39"/>
      <c r="Q19" s="39"/>
      <c r="R19" s="39"/>
      <c r="S19" s="39"/>
      <c r="T19" s="39"/>
      <c r="U19" s="39"/>
      <c r="V19" s="39"/>
      <c r="W19" s="39"/>
      <c r="X19" s="39"/>
      <c r="Y19" s="39"/>
      <c r="Z19" s="39"/>
      <c r="AA19" s="39"/>
      <c r="AB19" s="39"/>
      <c r="AC19" s="35">
        <f t="shared" si="10"/>
        <v>378.41</v>
      </c>
      <c r="AD19" s="40">
        <f>138.03+30.89+209.49</f>
        <v>378.41</v>
      </c>
      <c r="AE19" s="40"/>
      <c r="AF19" s="40"/>
      <c r="AG19" s="40"/>
      <c r="AH19" s="40"/>
      <c r="AI19" s="40"/>
      <c r="AJ19" s="40"/>
      <c r="AK19" s="40"/>
      <c r="AL19" s="40"/>
      <c r="AM19" s="40"/>
      <c r="AN19" s="40"/>
      <c r="AO19" s="40"/>
      <c r="AP19" s="40"/>
      <c r="AQ19" s="40"/>
      <c r="AR19" s="40"/>
      <c r="AS19" s="40"/>
      <c r="AT19" s="41"/>
      <c r="AU19" s="2220"/>
      <c r="AV19" s="1795" t="str">
        <f t="shared" si="11"/>
        <v>S7</v>
      </c>
      <c r="AW19" s="1795">
        <f t="shared" si="12"/>
        <v>0</v>
      </c>
      <c r="AX19" s="1795" t="str">
        <f t="shared" si="13"/>
        <v>商业</v>
      </c>
      <c r="AY19" s="42">
        <f t="shared" si="14"/>
        <v>573.39</v>
      </c>
      <c r="AZ19" s="35">
        <f t="shared" si="15"/>
        <v>1662.68</v>
      </c>
      <c r="BA19" s="35">
        <f t="shared" si="16"/>
        <v>1284.27</v>
      </c>
      <c r="BB19" s="35">
        <f t="shared" si="17"/>
        <v>0</v>
      </c>
      <c r="BC19" s="35">
        <f t="shared" si="18"/>
        <v>1284.27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378.41</v>
      </c>
      <c r="BM19" s="35">
        <f t="shared" si="28"/>
        <v>378.41</v>
      </c>
      <c r="BN19" s="35">
        <f t="shared" si="29"/>
        <v>0</v>
      </c>
      <c r="BO19" s="35">
        <f t="shared" si="30"/>
        <v>0</v>
      </c>
      <c r="BP19" s="35">
        <f t="shared" si="31"/>
        <v>0</v>
      </c>
      <c r="BQ19" s="35">
        <f t="shared" si="32"/>
        <v>0</v>
      </c>
      <c r="BR19" s="35">
        <f t="shared" si="33"/>
        <v>0</v>
      </c>
      <c r="BS19" s="35">
        <f t="shared" si="34"/>
        <v>0</v>
      </c>
      <c r="BT19" s="43">
        <f t="shared" si="35"/>
        <v>0</v>
      </c>
    </row>
    <row r="20" spans="1:72">
      <c r="A20" s="9" t="s">
        <v>3309</v>
      </c>
      <c r="B20" s="34"/>
      <c r="C20" s="3000" t="s">
        <v>3299</v>
      </c>
      <c r="D20" s="2219" t="s">
        <v>3057</v>
      </c>
      <c r="E20" s="35">
        <f t="shared" si="7"/>
        <v>445.08</v>
      </c>
      <c r="F20" s="36"/>
      <c r="G20" s="37">
        <f t="shared" si="8"/>
        <v>1290.6199999999999</v>
      </c>
      <c r="H20" s="38">
        <f t="shared" si="9"/>
        <v>1290.6199999999999</v>
      </c>
      <c r="I20" s="39"/>
      <c r="J20" s="39"/>
      <c r="K20" s="39">
        <v>1290.6199999999999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t="str">
        <f t="shared" si="11"/>
        <v>S8</v>
      </c>
      <c r="AW20" s="1795">
        <f t="shared" si="12"/>
        <v>0</v>
      </c>
      <c r="AX20" s="1795" t="str">
        <f t="shared" si="13"/>
        <v>商业</v>
      </c>
      <c r="AY20" s="42">
        <f t="shared" si="14"/>
        <v>445.08</v>
      </c>
      <c r="AZ20" s="35">
        <f t="shared" si="15"/>
        <v>1290.6199999999999</v>
      </c>
      <c r="BA20" s="35">
        <f t="shared" si="16"/>
        <v>1290.6199999999999</v>
      </c>
      <c r="BB20" s="35">
        <f t="shared" si="17"/>
        <v>0</v>
      </c>
      <c r="BC20" s="35">
        <f t="shared" si="18"/>
        <v>1290.6199999999999</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3310</v>
      </c>
      <c r="B21" s="34"/>
      <c r="C21" s="3000" t="s">
        <v>3299</v>
      </c>
      <c r="D21" s="2219" t="s">
        <v>3057</v>
      </c>
      <c r="E21" s="35">
        <f t="shared" si="7"/>
        <v>1066.4000000000001</v>
      </c>
      <c r="F21" s="36"/>
      <c r="G21" s="37">
        <f t="shared" si="8"/>
        <v>3092.28</v>
      </c>
      <c r="H21" s="38">
        <f t="shared" si="9"/>
        <v>3092.28</v>
      </c>
      <c r="I21" s="39"/>
      <c r="J21" s="39"/>
      <c r="K21" s="39">
        <v>3092.28</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t="str">
        <f t="shared" si="11"/>
        <v>S9</v>
      </c>
      <c r="AW21" s="1795">
        <f t="shared" si="12"/>
        <v>0</v>
      </c>
      <c r="AX21" s="1795" t="str">
        <f t="shared" si="13"/>
        <v>商业</v>
      </c>
      <c r="AY21" s="42">
        <f t="shared" si="14"/>
        <v>1066.4000000000001</v>
      </c>
      <c r="AZ21" s="35">
        <f t="shared" si="15"/>
        <v>3092.28</v>
      </c>
      <c r="BA21" s="35">
        <f t="shared" si="16"/>
        <v>3092.28</v>
      </c>
      <c r="BB21" s="35">
        <f t="shared" si="17"/>
        <v>0</v>
      </c>
      <c r="BC21" s="35">
        <f t="shared" si="18"/>
        <v>3092.28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3311</v>
      </c>
      <c r="B22" s="34"/>
      <c r="C22" s="3000" t="s">
        <v>3299</v>
      </c>
      <c r="D22" s="2219" t="s">
        <v>3057</v>
      </c>
      <c r="E22" s="35">
        <f t="shared" si="7"/>
        <v>386.44</v>
      </c>
      <c r="F22" s="36"/>
      <c r="G22" s="37">
        <f t="shared" si="8"/>
        <v>1120.57</v>
      </c>
      <c r="H22" s="38">
        <f t="shared" si="9"/>
        <v>1120.57</v>
      </c>
      <c r="I22" s="39"/>
      <c r="J22" s="39"/>
      <c r="K22" s="39">
        <v>1120.57</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t="str">
        <f t="shared" si="11"/>
        <v>S10</v>
      </c>
      <c r="AW22" s="1795">
        <f t="shared" si="12"/>
        <v>0</v>
      </c>
      <c r="AX22" s="1795" t="str">
        <f>C24</f>
        <v>设备</v>
      </c>
      <c r="AY22" s="42">
        <f t="shared" si="14"/>
        <v>386.44</v>
      </c>
      <c r="AZ22" s="35">
        <f t="shared" si="15"/>
        <v>1120.57</v>
      </c>
      <c r="BA22" s="35">
        <f t="shared" si="16"/>
        <v>1120.57</v>
      </c>
      <c r="BB22" s="35">
        <f t="shared" si="17"/>
        <v>0</v>
      </c>
      <c r="BC22" s="35">
        <f t="shared" si="18"/>
        <v>1120.57</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t="s">
        <v>3312</v>
      </c>
      <c r="B23" s="34"/>
      <c r="C23" s="3000" t="s">
        <v>3299</v>
      </c>
      <c r="D23" s="2219" t="s">
        <v>3057</v>
      </c>
      <c r="E23" s="35">
        <f t="shared" si="7"/>
        <v>736.62</v>
      </c>
      <c r="F23" s="36"/>
      <c r="G23" s="37">
        <f t="shared" si="8"/>
        <v>2136.02</v>
      </c>
      <c r="H23" s="38">
        <f t="shared" si="9"/>
        <v>2136.02</v>
      </c>
      <c r="I23" s="39"/>
      <c r="J23" s="39"/>
      <c r="K23" s="39">
        <v>2136.02</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t="str">
        <f t="shared" si="11"/>
        <v>S11</v>
      </c>
      <c r="AW23" s="1795">
        <f t="shared" si="12"/>
        <v>0</v>
      </c>
      <c r="AX23" s="1795" t="str">
        <f t="shared" si="13"/>
        <v>商业</v>
      </c>
      <c r="AY23" s="42">
        <f t="shared" si="14"/>
        <v>736.62</v>
      </c>
      <c r="AZ23" s="35">
        <f t="shared" si="15"/>
        <v>2136.02</v>
      </c>
      <c r="BA23" s="35">
        <f t="shared" si="16"/>
        <v>2136.02</v>
      </c>
      <c r="BB23" s="35">
        <f t="shared" si="17"/>
        <v>0</v>
      </c>
      <c r="BC23" s="35">
        <f t="shared" si="18"/>
        <v>2136.02</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t="s">
        <v>3313</v>
      </c>
      <c r="B24" s="34"/>
      <c r="C24" s="3000" t="s">
        <v>3300</v>
      </c>
      <c r="D24" s="2219" t="s">
        <v>3057</v>
      </c>
      <c r="E24" s="35">
        <f t="shared" si="7"/>
        <v>661.79</v>
      </c>
      <c r="F24" s="36"/>
      <c r="G24" s="37">
        <f t="shared" si="8"/>
        <v>1919.03</v>
      </c>
      <c r="H24" s="38">
        <f t="shared" si="9"/>
        <v>1515.05</v>
      </c>
      <c r="I24" s="39"/>
      <c r="J24" s="39"/>
      <c r="K24" s="39">
        <v>1515.05</v>
      </c>
      <c r="L24" s="39"/>
      <c r="M24" s="39"/>
      <c r="N24" s="39"/>
      <c r="O24" s="39"/>
      <c r="P24" s="39"/>
      <c r="Q24" s="39"/>
      <c r="R24" s="39"/>
      <c r="S24" s="39"/>
      <c r="T24" s="39"/>
      <c r="U24" s="39"/>
      <c r="V24" s="39"/>
      <c r="W24" s="39"/>
      <c r="X24" s="39"/>
      <c r="Y24" s="39"/>
      <c r="Z24" s="39"/>
      <c r="AA24" s="39"/>
      <c r="AB24" s="39"/>
      <c r="AC24" s="35">
        <f t="shared" si="10"/>
        <v>403.98</v>
      </c>
      <c r="AD24" s="40"/>
      <c r="AE24" s="40"/>
      <c r="AF24" s="40"/>
      <c r="AG24" s="40"/>
      <c r="AH24" s="40"/>
      <c r="AI24" s="40"/>
      <c r="AJ24" s="40"/>
      <c r="AK24" s="40"/>
      <c r="AL24" s="40">
        <f>43.46+187.97+61.79+110.76</f>
        <v>403.98</v>
      </c>
      <c r="AM24" s="40"/>
      <c r="AN24" s="40"/>
      <c r="AO24" s="40"/>
      <c r="AP24" s="40"/>
      <c r="AQ24" s="40"/>
      <c r="AR24" s="40"/>
      <c r="AS24" s="40"/>
      <c r="AT24" s="41"/>
      <c r="AU24" s="2220"/>
      <c r="AV24" s="1795" t="str">
        <f>A25</f>
        <v>S13</v>
      </c>
      <c r="AW24" s="1795">
        <f t="shared" si="12"/>
        <v>0</v>
      </c>
      <c r="AX24" s="1795" t="e">
        <f>#REF!</f>
        <v>#REF!</v>
      </c>
      <c r="AY24" s="42">
        <f t="shared" si="14"/>
        <v>661.79</v>
      </c>
      <c r="AZ24" s="35">
        <f t="shared" si="15"/>
        <v>1919.03</v>
      </c>
      <c r="BA24" s="35">
        <f t="shared" si="16"/>
        <v>1515.05</v>
      </c>
      <c r="BB24" s="35">
        <f t="shared" si="17"/>
        <v>0</v>
      </c>
      <c r="BC24" s="35">
        <f t="shared" si="18"/>
        <v>1515.05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403.98</v>
      </c>
      <c r="BM24" s="35">
        <f t="shared" si="28"/>
        <v>0</v>
      </c>
      <c r="BN24" s="35">
        <f t="shared" si="29"/>
        <v>0</v>
      </c>
      <c r="BO24" s="35">
        <f t="shared" si="30"/>
        <v>0</v>
      </c>
      <c r="BP24" s="35">
        <f t="shared" si="31"/>
        <v>0</v>
      </c>
      <c r="BQ24" s="35">
        <f t="shared" si="32"/>
        <v>403.98</v>
      </c>
      <c r="BR24" s="35">
        <f t="shared" si="33"/>
        <v>0</v>
      </c>
      <c r="BS24" s="35">
        <f t="shared" si="34"/>
        <v>0</v>
      </c>
      <c r="BT24" s="43">
        <f t="shared" si="35"/>
        <v>0</v>
      </c>
    </row>
    <row r="25" spans="1:72">
      <c r="A25" s="9" t="s">
        <v>3314</v>
      </c>
      <c r="B25" s="34"/>
      <c r="C25" s="3000" t="s">
        <v>3300</v>
      </c>
      <c r="D25" s="2219" t="s">
        <v>3057</v>
      </c>
      <c r="E25" s="35">
        <f t="shared" si="7"/>
        <v>540.6</v>
      </c>
      <c r="F25" s="36"/>
      <c r="G25" s="37">
        <f t="shared" si="8"/>
        <v>1567.6</v>
      </c>
      <c r="H25" s="38">
        <f t="shared" si="9"/>
        <v>1397.22</v>
      </c>
      <c r="I25" s="39"/>
      <c r="J25" s="39"/>
      <c r="K25" s="39">
        <v>1397.22</v>
      </c>
      <c r="L25" s="39"/>
      <c r="M25" s="39"/>
      <c r="N25" s="39"/>
      <c r="O25" s="39"/>
      <c r="P25" s="39"/>
      <c r="Q25" s="39"/>
      <c r="R25" s="39"/>
      <c r="S25" s="39"/>
      <c r="T25" s="39"/>
      <c r="U25" s="39"/>
      <c r="V25" s="39"/>
      <c r="W25" s="39"/>
      <c r="X25" s="39"/>
      <c r="Y25" s="39"/>
      <c r="Z25" s="39"/>
      <c r="AA25" s="39"/>
      <c r="AB25" s="39"/>
      <c r="AC25" s="35">
        <f t="shared" si="10"/>
        <v>170.38</v>
      </c>
      <c r="AD25" s="40"/>
      <c r="AE25" s="40"/>
      <c r="AF25" s="40"/>
      <c r="AG25" s="40"/>
      <c r="AH25" s="40"/>
      <c r="AI25" s="40"/>
      <c r="AJ25" s="40"/>
      <c r="AK25" s="40"/>
      <c r="AL25" s="40">
        <f>130.08+40.3</f>
        <v>170.38</v>
      </c>
      <c r="AM25" s="40"/>
      <c r="AN25" s="40"/>
      <c r="AO25" s="40"/>
      <c r="AP25" s="40"/>
      <c r="AQ25" s="40"/>
      <c r="AR25" s="40"/>
      <c r="AS25" s="40"/>
      <c r="AT25" s="41"/>
      <c r="AU25" s="2220"/>
      <c r="AV25" s="1795" t="e">
        <f>#REF!</f>
        <v>#REF!</v>
      </c>
      <c r="AW25" s="1795">
        <f t="shared" si="12"/>
        <v>0</v>
      </c>
      <c r="AX25" s="1795" t="str">
        <f t="shared" si="13"/>
        <v>设备</v>
      </c>
      <c r="AY25" s="42">
        <f t="shared" si="14"/>
        <v>540.6</v>
      </c>
      <c r="AZ25" s="35">
        <f t="shared" si="15"/>
        <v>1567.6</v>
      </c>
      <c r="BA25" s="35">
        <f t="shared" si="16"/>
        <v>1397.22</v>
      </c>
      <c r="BB25" s="35">
        <f t="shared" si="17"/>
        <v>0</v>
      </c>
      <c r="BC25" s="35">
        <f t="shared" si="18"/>
        <v>1397.22</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170.38</v>
      </c>
      <c r="BM25" s="35">
        <f t="shared" si="28"/>
        <v>0</v>
      </c>
      <c r="BN25" s="35">
        <f t="shared" si="29"/>
        <v>0</v>
      </c>
      <c r="BO25" s="35">
        <f t="shared" si="30"/>
        <v>0</v>
      </c>
      <c r="BP25" s="35">
        <f t="shared" si="31"/>
        <v>0</v>
      </c>
      <c r="BQ25" s="35">
        <f t="shared" si="32"/>
        <v>170.38</v>
      </c>
      <c r="BR25" s="35">
        <f t="shared" si="33"/>
        <v>0</v>
      </c>
      <c r="BS25" s="35">
        <f t="shared" si="34"/>
        <v>0</v>
      </c>
      <c r="BT25" s="43">
        <f t="shared" si="35"/>
        <v>0</v>
      </c>
    </row>
    <row r="26" spans="1:72">
      <c r="A26" s="2418" t="s">
        <v>3315</v>
      </c>
      <c r="B26" s="34"/>
      <c r="C26" s="3000" t="s">
        <v>3305</v>
      </c>
      <c r="D26" s="2219" t="s">
        <v>3057</v>
      </c>
      <c r="E26" s="35">
        <f t="shared" si="7"/>
        <v>121.68</v>
      </c>
      <c r="F26" s="36"/>
      <c r="G26" s="37">
        <f t="shared" si="8"/>
        <v>352.83000000000004</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352.83000000000004</v>
      </c>
      <c r="AD26" s="40"/>
      <c r="AE26" s="40"/>
      <c r="AF26" s="40"/>
      <c r="AG26" s="40"/>
      <c r="AH26" s="40"/>
      <c r="AI26" s="40"/>
      <c r="AJ26" s="40"/>
      <c r="AK26" s="40"/>
      <c r="AL26" s="40">
        <f>189.52+53.46+109.85</f>
        <v>352.83000000000004</v>
      </c>
      <c r="AM26" s="40"/>
      <c r="AN26" s="40"/>
      <c r="AO26" s="40"/>
      <c r="AP26" s="40"/>
      <c r="AQ26" s="40"/>
      <c r="AR26" s="40"/>
      <c r="AS26" s="40"/>
      <c r="AT26" s="41"/>
      <c r="AU26" s="2220"/>
      <c r="AV26" s="1795" t="str">
        <f t="shared" si="11"/>
        <v>5A</v>
      </c>
      <c r="AW26" s="1795">
        <f t="shared" si="12"/>
        <v>0</v>
      </c>
      <c r="AX26" s="1795" t="str">
        <f t="shared" si="13"/>
        <v>其他</v>
      </c>
      <c r="AY26" s="42">
        <f t="shared" si="14"/>
        <v>121.68</v>
      </c>
      <c r="AZ26" s="35">
        <f t="shared" si="15"/>
        <v>352.83000000000004</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352.83000000000004</v>
      </c>
      <c r="BM26" s="35">
        <f t="shared" si="28"/>
        <v>0</v>
      </c>
      <c r="BN26" s="35">
        <f t="shared" si="29"/>
        <v>0</v>
      </c>
      <c r="BO26" s="35">
        <f t="shared" si="30"/>
        <v>0</v>
      </c>
      <c r="BP26" s="35">
        <f t="shared" si="31"/>
        <v>0</v>
      </c>
      <c r="BQ26" s="35">
        <f t="shared" si="32"/>
        <v>352.83000000000004</v>
      </c>
      <c r="BR26" s="35">
        <f t="shared" si="33"/>
        <v>0</v>
      </c>
      <c r="BS26" s="35">
        <f t="shared" si="34"/>
        <v>0</v>
      </c>
      <c r="BT26" s="43">
        <f t="shared" si="35"/>
        <v>0</v>
      </c>
    </row>
    <row r="27" spans="1:72">
      <c r="A27" s="2418" t="s">
        <v>3316</v>
      </c>
      <c r="B27" s="34"/>
      <c r="C27" s="3000" t="s">
        <v>3305</v>
      </c>
      <c r="D27" s="2219" t="s">
        <v>3057</v>
      </c>
      <c r="E27" s="35">
        <f t="shared" si="7"/>
        <v>0</v>
      </c>
      <c r="F27" s="36"/>
      <c r="G27" s="37">
        <f t="shared" si="8"/>
        <v>0</v>
      </c>
      <c r="H27" s="38">
        <f t="shared" si="9"/>
        <v>0</v>
      </c>
      <c r="I27" s="39"/>
      <c r="J27" s="39"/>
      <c r="K27" s="39"/>
      <c r="L27" s="39"/>
      <c r="M27" s="3018"/>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t="str">
        <f t="shared" si="11"/>
        <v>6A</v>
      </c>
      <c r="AW27" s="1795">
        <f t="shared" si="12"/>
        <v>0</v>
      </c>
      <c r="AX27" s="1795" t="str">
        <f t="shared" si="13"/>
        <v>其他</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3001" t="s">
        <v>3301</v>
      </c>
      <c r="B28" s="34"/>
      <c r="C28" s="3000" t="s">
        <v>3304</v>
      </c>
      <c r="D28" s="2219" t="s">
        <v>3057</v>
      </c>
      <c r="E28" s="35">
        <f t="shared" si="7"/>
        <v>9546.8799999999992</v>
      </c>
      <c r="F28" s="36"/>
      <c r="G28" s="37">
        <f t="shared" si="8"/>
        <v>27683.46</v>
      </c>
      <c r="H28" s="38">
        <f t="shared" si="9"/>
        <v>27683.46</v>
      </c>
      <c r="I28" s="39"/>
      <c r="J28" s="39"/>
      <c r="K28" s="39"/>
      <c r="L28" s="39"/>
      <c r="M28" s="3002">
        <v>27683.46</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t="str">
        <f t="shared" si="11"/>
        <v>地下室</v>
      </c>
      <c r="AW28" s="1795">
        <f t="shared" si="12"/>
        <v>0</v>
      </c>
      <c r="AX28" s="1795" t="str">
        <f t="shared" si="13"/>
        <v>车库</v>
      </c>
      <c r="AY28" s="42">
        <f t="shared" si="14"/>
        <v>9546.8799999999992</v>
      </c>
      <c r="AZ28" s="35">
        <f t="shared" si="15"/>
        <v>27683.46</v>
      </c>
      <c r="BA28" s="35">
        <f t="shared" si="16"/>
        <v>27683.46</v>
      </c>
      <c r="BB28" s="35">
        <f t="shared" si="17"/>
        <v>0</v>
      </c>
      <c r="BC28" s="35">
        <f t="shared" si="18"/>
        <v>0</v>
      </c>
      <c r="BD28" s="35">
        <f t="shared" si="19"/>
        <v>27683.46</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05" t="s">
        <v>1940</v>
      </c>
      <c r="B2" s="3105"/>
      <c r="C2" s="3105"/>
      <c r="D2" s="967" t="s">
        <v>1916</v>
      </c>
      <c r="E2" s="2228" t="s">
        <v>1917</v>
      </c>
      <c r="F2" s="1392"/>
      <c r="G2" s="2229"/>
      <c r="H2" s="2230"/>
      <c r="I2" s="2231" t="s">
        <v>1941</v>
      </c>
      <c r="J2" s="1392"/>
      <c r="K2" s="1392"/>
      <c r="L2" s="1392"/>
      <c r="M2" s="1392"/>
      <c r="N2" s="1427"/>
      <c r="O2" s="1392"/>
      <c r="P2" s="1392"/>
    </row>
    <row r="3" spans="1:16" ht="15.75" thickBot="1">
      <c r="A3" s="3106" t="s">
        <v>1914</v>
      </c>
      <c r="B3" s="3106"/>
      <c r="C3" s="3106"/>
      <c r="D3" s="46">
        <f>'数据-基础表'!AY6</f>
        <v>42459.8</v>
      </c>
      <c r="E3" s="46">
        <f>'数据-基础表'!AZ5</f>
        <v>123122.34</v>
      </c>
      <c r="F3" s="1392"/>
      <c r="G3" s="1399"/>
      <c r="H3" s="1247" t="s">
        <v>1915</v>
      </c>
      <c r="I3" s="55">
        <f>ROUND('数据-基础表'!B3/'数据-基础表'!A3,2)</f>
        <v>2.9</v>
      </c>
      <c r="J3" s="1392"/>
      <c r="K3" s="1392"/>
      <c r="L3" s="1392"/>
      <c r="M3" s="1392"/>
      <c r="N3" s="1427"/>
      <c r="O3" s="1392"/>
      <c r="P3" s="1392"/>
    </row>
    <row r="4" spans="1:16" ht="15">
      <c r="A4" s="3107"/>
      <c r="B4" s="3108"/>
      <c r="C4" s="3109"/>
      <c r="D4" s="2232" t="s">
        <v>1916</v>
      </c>
      <c r="E4" s="2233" t="s">
        <v>1917</v>
      </c>
      <c r="F4" s="1392"/>
      <c r="G4" s="2234" t="s">
        <v>1942</v>
      </c>
      <c r="H4" s="1247" t="s">
        <v>1922</v>
      </c>
      <c r="I4" s="55">
        <f>ROUND(SUMIF('数据-基础表'!I9:AS9,"地上",'数据-基础表'!I5:AS5)/'数据-基础表'!A3,2)</f>
        <v>2.25</v>
      </c>
      <c r="J4" s="1392"/>
      <c r="K4" s="1392"/>
      <c r="L4" s="1392"/>
      <c r="M4" s="1392"/>
      <c r="N4" s="1427"/>
      <c r="O4" s="1392"/>
      <c r="P4" s="1392"/>
    </row>
    <row r="5" spans="1:16">
      <c r="A5" s="47" t="s">
        <v>1918</v>
      </c>
      <c r="B5" s="3110" t="s">
        <v>1919</v>
      </c>
      <c r="C5" s="3110"/>
      <c r="D5" s="48">
        <f>ROUND($D$3*E5/$E$3,2)</f>
        <v>27583.37</v>
      </c>
      <c r="E5" s="49">
        <f>SUMIF('数据-基础表'!$11:$11,"住宅",'数据-基础表'!$5:$5)</f>
        <v>79984.58</v>
      </c>
      <c r="F5" s="1392"/>
      <c r="G5" s="1399"/>
      <c r="H5" s="1247" t="s">
        <v>1915</v>
      </c>
      <c r="I5" s="55">
        <f>ROUND(E31/D31,2)</f>
        <v>2.9</v>
      </c>
      <c r="J5" s="1392"/>
      <c r="K5" s="1392"/>
      <c r="L5" s="1392"/>
      <c r="M5" s="1392"/>
      <c r="N5" s="1392"/>
      <c r="O5" s="1392"/>
      <c r="P5" s="1392"/>
    </row>
    <row r="6" spans="1:16" ht="15" thickBot="1">
      <c r="A6" s="2235"/>
      <c r="B6" s="3110" t="s">
        <v>1920</v>
      </c>
      <c r="C6" s="3110"/>
      <c r="D6" s="48">
        <f>ROUND($D$3*E6/$E$3,2)</f>
        <v>14876.43</v>
      </c>
      <c r="E6" s="49">
        <f>E3-E5</f>
        <v>43137.759999999995</v>
      </c>
      <c r="F6" s="1392"/>
      <c r="G6" s="2236" t="s">
        <v>1921</v>
      </c>
      <c r="H6" s="1399" t="s">
        <v>1922</v>
      </c>
      <c r="I6" s="939">
        <f>ROUND(F31/D31,2)</f>
        <v>2.25</v>
      </c>
      <c r="J6" s="1392"/>
      <c r="K6" s="1392"/>
      <c r="L6" s="1392"/>
      <c r="M6" s="1392"/>
      <c r="N6" s="1392"/>
      <c r="O6" s="1392"/>
      <c r="P6" s="1392"/>
    </row>
    <row r="7" spans="1:16" ht="15">
      <c r="A7" s="3102"/>
      <c r="B7" s="3103"/>
      <c r="C7" s="3104"/>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31665.13</v>
      </c>
      <c r="E8" s="51">
        <f>SUMIF('数据-基础表'!BB10:BK10,"地上",'数据-基础表'!BB5:BK5)</f>
        <v>91820.61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9546.8799999999992</v>
      </c>
      <c r="E13" s="51">
        <f>SUMPRODUCT(('数据-基础表'!BB10:BK10="地下")*('数据-基础表'!BB11:BK11="车库")*('数据-基础表'!BB5:BK5))</f>
        <v>27683.46</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41212.01</v>
      </c>
      <c r="E16" s="53">
        <f>SUM(E8:E15)</f>
        <v>119504.07</v>
      </c>
      <c r="F16" s="1392"/>
      <c r="G16" s="2238"/>
      <c r="H16" s="2241" t="s">
        <v>1944</v>
      </c>
      <c r="I16" s="2242"/>
      <c r="J16" s="1392"/>
      <c r="K16" s="3099" t="s">
        <v>1944</v>
      </c>
      <c r="L16" s="3100"/>
      <c r="M16" s="3100"/>
      <c r="N16" s="3100"/>
      <c r="O16" s="3100"/>
      <c r="P16" s="3101"/>
    </row>
    <row r="17" spans="1:19" ht="15">
      <c r="A17" s="2243" t="s">
        <v>1945</v>
      </c>
      <c r="B17" s="2244" t="s">
        <v>1946</v>
      </c>
      <c r="C17" s="2245" t="s">
        <v>1947</v>
      </c>
      <c r="D17" s="2246" t="s">
        <v>1935</v>
      </c>
      <c r="E17" s="2247" t="s">
        <v>1936</v>
      </c>
      <c r="F17" s="2248"/>
      <c r="G17" s="2249"/>
      <c r="H17" s="2250" t="s">
        <v>1948</v>
      </c>
      <c r="I17" s="2251" t="s">
        <v>1933</v>
      </c>
      <c r="J17" s="1392"/>
      <c r="K17" s="3096" t="s">
        <v>1949</v>
      </c>
      <c r="L17" s="3097"/>
      <c r="M17" s="3098"/>
      <c r="N17" s="3096" t="s">
        <v>1950</v>
      </c>
      <c r="O17" s="3097"/>
      <c r="P17" s="3098"/>
      <c r="R17" s="2229" t="s">
        <v>1951</v>
      </c>
      <c r="S17" s="64"/>
    </row>
    <row r="18" spans="1:19" ht="15">
      <c r="A18" s="2239"/>
      <c r="B18" s="2252"/>
      <c r="C18" s="2253"/>
      <c r="D18" s="2254"/>
      <c r="E18" s="2255" t="s">
        <v>1952</v>
      </c>
      <c r="F18" s="2256" t="s">
        <v>1953</v>
      </c>
      <c r="G18" s="2257" t="s">
        <v>1954</v>
      </c>
      <c r="H18" s="1262" t="s">
        <v>1955</v>
      </c>
      <c r="I18" s="2258" t="s">
        <v>1956</v>
      </c>
      <c r="J18" s="1392"/>
      <c r="K18" s="1262" t="s">
        <v>1957</v>
      </c>
      <c r="L18" s="2259" t="s">
        <v>1958</v>
      </c>
      <c r="M18" s="1046" t="s">
        <v>1959</v>
      </c>
      <c r="N18" s="1262" t="s">
        <v>1957</v>
      </c>
      <c r="O18" s="2259" t="s">
        <v>1958</v>
      </c>
      <c r="P18" s="1046" t="s">
        <v>1959</v>
      </c>
      <c r="R18" s="1247" t="s">
        <v>1960</v>
      </c>
      <c r="S18" s="1247" t="s">
        <v>1961</v>
      </c>
    </row>
    <row r="19" spans="1:19">
      <c r="A19" s="2260"/>
      <c r="B19" s="50" t="s">
        <v>1934</v>
      </c>
      <c r="C19" s="2261" t="str">
        <f>'数据-基础表'!C13</f>
        <v>住宅</v>
      </c>
      <c r="D19" s="48">
        <f>ROUND($D$3*E19/$E$3,2)</f>
        <v>27583.37</v>
      </c>
      <c r="E19" s="56">
        <f t="shared" ref="E19:E26" si="1">SUM(F19:G19)</f>
        <v>79984.58</v>
      </c>
      <c r="F19" s="57">
        <f>'数据-基础表'!I13+'数据-基础表'!I14+'数据-基础表'!I15+'数据-基础表'!I16+'数据-基础表'!I17+'数据-基础表'!I18</f>
        <v>79984.58</v>
      </c>
      <c r="G19" s="58"/>
      <c r="H19" s="723">
        <f>ROUND($D$3*I19/$E$3,2)</f>
        <v>973.83</v>
      </c>
      <c r="I19" s="51">
        <f t="shared" ref="I19:I26" si="2">IF($I$17="自定义",P19,M19)</f>
        <v>2823.8599999999997</v>
      </c>
      <c r="J19" s="1392"/>
      <c r="K19" s="1391">
        <f t="shared" ref="K19:K26" si="3">ROUND(E$28*E19/E$27,2)</f>
        <v>1607.82</v>
      </c>
      <c r="L19" s="1247">
        <f t="shared" ref="L19:L26" si="4">ROUND(IF(COUNTIF(C19,"*住宅*")&gt;0,E$29*E19/E$32,0),2)</f>
        <v>1216.04</v>
      </c>
      <c r="M19" s="1403">
        <f>K19+L19</f>
        <v>2823.8599999999997</v>
      </c>
      <c r="N19" s="2262"/>
      <c r="O19" s="2263"/>
      <c r="P19" s="1403">
        <f>N19+O19</f>
        <v>0</v>
      </c>
      <c r="R19" s="1247">
        <f t="shared" ref="R19:S26" si="5">D19+H19</f>
        <v>28557.200000000001</v>
      </c>
      <c r="S19" s="1248">
        <f t="shared" si="5"/>
        <v>82808.44</v>
      </c>
    </row>
    <row r="20" spans="1:19">
      <c r="A20" s="2264"/>
      <c r="B20" s="50" t="s">
        <v>1962</v>
      </c>
      <c r="C20" s="3003" t="s">
        <v>3306</v>
      </c>
      <c r="D20" s="48">
        <f t="shared" ref="D20:D26" si="6">ROUND($D$3*E20/$E$3,2)</f>
        <v>4081.76</v>
      </c>
      <c r="E20" s="56">
        <f t="shared" si="1"/>
        <v>11836.029999999999</v>
      </c>
      <c r="F20" s="57">
        <f>'数据-基础表'!K19+'数据-基础表'!K20+'数据-基础表'!K21+'数据-基础表'!K22+'数据-基础表'!K23+'数据-基础表'!K24+'数据-基础表'!K25</f>
        <v>11836.029999999999</v>
      </c>
      <c r="G20" s="58"/>
      <c r="H20" s="723">
        <f t="shared" ref="H20:H26" si="7">ROUND($D$3*I20/$E$3,2)</f>
        <v>82.05</v>
      </c>
      <c r="I20" s="51">
        <f t="shared" si="2"/>
        <v>237.92</v>
      </c>
      <c r="J20" s="1392"/>
      <c r="K20" s="1391">
        <f t="shared" si="3"/>
        <v>237.92</v>
      </c>
      <c r="L20" s="1247">
        <f t="shared" si="4"/>
        <v>0</v>
      </c>
      <c r="M20" s="1403">
        <f t="shared" ref="M20:M26" si="8">K20+L20</f>
        <v>237.92</v>
      </c>
      <c r="N20" s="2262"/>
      <c r="O20" s="2263"/>
      <c r="P20" s="1403">
        <f t="shared" ref="P20:P26" si="9">N20+O20</f>
        <v>0</v>
      </c>
      <c r="R20" s="1247">
        <f t="shared" si="5"/>
        <v>4163.8100000000004</v>
      </c>
      <c r="S20" s="1248">
        <f t="shared" si="5"/>
        <v>12073.949999999999</v>
      </c>
    </row>
    <row r="21" spans="1:19">
      <c r="A21" s="2264"/>
      <c r="B21" s="50" t="s">
        <v>1962</v>
      </c>
      <c r="C21" s="3003" t="s">
        <v>3307</v>
      </c>
      <c r="D21" s="48">
        <f t="shared" si="6"/>
        <v>9546.8799999999992</v>
      </c>
      <c r="E21" s="56">
        <f t="shared" si="1"/>
        <v>27683.46</v>
      </c>
      <c r="F21" s="57"/>
      <c r="G21" s="58">
        <f>'数据-基础表'!M28</f>
        <v>27683.46</v>
      </c>
      <c r="H21" s="723">
        <f t="shared" si="7"/>
        <v>191.91</v>
      </c>
      <c r="I21" s="51">
        <f t="shared" si="2"/>
        <v>556.48</v>
      </c>
      <c r="J21" s="1392"/>
      <c r="K21" s="1391">
        <f t="shared" si="3"/>
        <v>556.48</v>
      </c>
      <c r="L21" s="1247">
        <f t="shared" si="4"/>
        <v>0</v>
      </c>
      <c r="M21" s="1403">
        <f t="shared" si="8"/>
        <v>556.48</v>
      </c>
      <c r="N21" s="2262"/>
      <c r="O21" s="2263"/>
      <c r="P21" s="1403">
        <f t="shared" si="9"/>
        <v>0</v>
      </c>
      <c r="R21" s="1247">
        <f t="shared" si="5"/>
        <v>9738.7899999999991</v>
      </c>
      <c r="S21" s="1248">
        <f t="shared" si="5"/>
        <v>28239.94</v>
      </c>
    </row>
    <row r="22" spans="1:19">
      <c r="A22" s="2264"/>
      <c r="B22" s="50" t="s">
        <v>1962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1962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1962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1963</v>
      </c>
      <c r="D27" s="1393">
        <f>SUM(D19:D26)</f>
        <v>41212.009999999995</v>
      </c>
      <c r="E27" s="1394">
        <f>IF(SUM(E19:E26)='数据-基础表'!BA5,SUM(E19:E26),IF(F27="地上面积有误","面积有误","地下面积有误"))</f>
        <v>119504.07</v>
      </c>
      <c r="F27" s="1393">
        <f>IF(SUM(F19:F26)=E8,SUM(F19:F26),"地上面积有误")</f>
        <v>91820.61</v>
      </c>
      <c r="G27" s="1395">
        <f>SUM(G19:G26)</f>
        <v>27683.46</v>
      </c>
      <c r="H27" s="1396">
        <f>SUM(H19:H26)</f>
        <v>1247.7900000000002</v>
      </c>
      <c r="I27" s="1397">
        <f>SUM(I19:I26)</f>
        <v>3618.2599999999998</v>
      </c>
      <c r="J27" s="1392"/>
      <c r="K27" s="1400">
        <f>SUM(K19:K26)</f>
        <v>2402.2200000000003</v>
      </c>
      <c r="L27" s="1401">
        <f>SUM(L19:L26)</f>
        <v>1216.04</v>
      </c>
      <c r="M27" s="1404">
        <f>SUM(M19:M26)</f>
        <v>3618.2599999999998</v>
      </c>
      <c r="N27" s="1400">
        <f t="shared" ref="N27:O27" si="10">SUM(N19:N26)</f>
        <v>0</v>
      </c>
      <c r="O27" s="1401">
        <f t="shared" si="10"/>
        <v>0</v>
      </c>
      <c r="P27" s="1402">
        <f>SUM(P19:P26)</f>
        <v>0</v>
      </c>
      <c r="R27" s="1249">
        <f>IF(SUM(R19:R26)=$D$3,SUM(R19:R26),SUM(R19:R26)&amp;"误差"&amp;ROUND(SUM(R19:R26)-$D$3,2))</f>
        <v>42459.8</v>
      </c>
      <c r="S27" s="1247" t="str">
        <f>IF(SUM(S19:S26)=$E$3,SUM(S19:S26),SUM(S19:S26)&amp;"误差"&amp;ROUND(SUM(S19:S26)-E3,2))</f>
        <v>123122.33误差-0.01</v>
      </c>
    </row>
    <row r="28" spans="1:19">
      <c r="A28" s="2264"/>
      <c r="B28" s="50" t="s">
        <v>1964</v>
      </c>
      <c r="C28" s="1259" t="s">
        <v>1965</v>
      </c>
      <c r="D28" s="48">
        <f>ROUND($D$3*E28/$E$3,2)</f>
        <v>828.43</v>
      </c>
      <c r="E28" s="56">
        <f>SUM(F28:G28)</f>
        <v>2402.23</v>
      </c>
      <c r="F28" s="64">
        <f>'数据-基础表'!BQ5+'数据-基础表'!BS5</f>
        <v>2402.23</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419.36</v>
      </c>
      <c r="E29" s="56">
        <f>SUM(F29:G29)</f>
        <v>1216.04</v>
      </c>
      <c r="F29" s="66">
        <f>'数据-基础表'!BM5+'数据-基础表'!BO5</f>
        <v>1216.04</v>
      </c>
      <c r="G29" s="67">
        <f>'数据-基础表'!BN5+'数据-基础表'!BP5</f>
        <v>0</v>
      </c>
      <c r="H29" s="1392"/>
      <c r="I29" s="1392"/>
      <c r="J29" s="1392"/>
      <c r="K29" s="1392"/>
      <c r="L29" s="1392"/>
      <c r="M29" s="1392"/>
      <c r="N29" s="1392"/>
      <c r="O29" s="1392"/>
      <c r="P29" s="1392"/>
    </row>
    <row r="30" spans="1:19" ht="15">
      <c r="A30" s="2264"/>
      <c r="B30" s="50"/>
      <c r="C30" s="2269" t="s">
        <v>1963</v>
      </c>
      <c r="D30" s="1393">
        <f>SUM(D28:D29)</f>
        <v>1247.79</v>
      </c>
      <c r="E30" s="1393">
        <f>SUM(E28:E29)</f>
        <v>3618.27</v>
      </c>
      <c r="F30" s="1393">
        <f>SUM(F28:F29)</f>
        <v>3618.27</v>
      </c>
      <c r="G30" s="1395">
        <f>SUM(G28:G29)</f>
        <v>0</v>
      </c>
      <c r="H30" s="1392"/>
      <c r="I30" s="1392"/>
      <c r="J30" s="1392"/>
      <c r="K30" s="1392"/>
      <c r="L30" s="1392"/>
      <c r="M30" s="1392"/>
      <c r="N30" s="1392"/>
      <c r="O30" s="1392"/>
      <c r="P30" s="1392"/>
    </row>
    <row r="31" spans="1:19" ht="15.75" thickBot="1">
      <c r="A31" s="2270"/>
      <c r="B31" s="2271"/>
      <c r="C31" s="1007" t="s">
        <v>1967</v>
      </c>
      <c r="D31" s="729">
        <f>D27+D30</f>
        <v>42459.799999999996</v>
      </c>
      <c r="E31" s="729">
        <f>E27+E30</f>
        <v>123122.34000000001</v>
      </c>
      <c r="F31" s="730">
        <f>F27+F30</f>
        <v>95438.88</v>
      </c>
      <c r="G31" s="731">
        <f>G27+G30</f>
        <v>27683.46</v>
      </c>
      <c r="H31" s="1392"/>
      <c r="I31" s="1392"/>
      <c r="J31" s="1392"/>
      <c r="K31" s="1392"/>
      <c r="L31" s="1392"/>
      <c r="M31" s="1392"/>
      <c r="N31" s="1392"/>
      <c r="O31" s="1392"/>
      <c r="P31" s="1392"/>
    </row>
    <row r="32" spans="1:19">
      <c r="A32" s="2234"/>
      <c r="B32" s="2234" t="s">
        <v>1968</v>
      </c>
      <c r="C32" s="2234"/>
      <c r="D32" s="2234"/>
      <c r="E32" s="1274">
        <f>SUMIF(C19:C26,"*住宅*",E19:E26)</f>
        <v>79984.58</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3" activePane="bottomRight" state="frozen"/>
      <selection activeCell="C50" sqref="C50"/>
      <selection pane="topRight" activeCell="C50" sqref="C50"/>
      <selection pane="bottomLeft" activeCell="C50" sqref="C50"/>
      <selection pane="bottomRight" activeCell="R51" sqref="R5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6">
        <f>项目基本情况!D3</f>
        <v>43488</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8" t="s">
        <v>1981</v>
      </c>
      <c r="F5" s="2294" t="s">
        <v>1982</v>
      </c>
      <c r="G5" s="1268" t="s">
        <v>1983</v>
      </c>
      <c r="H5" s="1268" t="s">
        <v>1984</v>
      </c>
      <c r="I5" s="1268" t="s">
        <v>1985</v>
      </c>
      <c r="J5" s="2295" t="s">
        <v>1986</v>
      </c>
      <c r="K5" s="2296" t="s">
        <v>1987</v>
      </c>
      <c r="L5" s="2297" t="s">
        <v>1988</v>
      </c>
      <c r="M5" s="2298" t="s">
        <v>1989</v>
      </c>
      <c r="N5" s="2299" t="s">
        <v>1990</v>
      </c>
      <c r="O5" s="2297" t="s">
        <v>1991</v>
      </c>
      <c r="P5" s="2300" t="s">
        <v>1992</v>
      </c>
      <c r="Q5" s="69" t="s">
        <v>1993</v>
      </c>
      <c r="R5" s="2301" t="s">
        <v>1994</v>
      </c>
      <c r="S5" s="2302" t="s">
        <v>1995</v>
      </c>
      <c r="T5" s="2303" t="s">
        <v>1996</v>
      </c>
      <c r="U5" s="1267" t="s">
        <v>1997</v>
      </c>
      <c r="V5" s="1268" t="s">
        <v>1998</v>
      </c>
      <c r="W5" s="1268" t="s">
        <v>1999</v>
      </c>
      <c r="X5" s="71"/>
      <c r="Y5" s="70" t="s">
        <v>2000</v>
      </c>
      <c r="Z5" s="2304" t="s">
        <v>1997</v>
      </c>
      <c r="AA5" s="1268" t="s">
        <v>1998</v>
      </c>
      <c r="AB5" s="1268" t="s">
        <v>1999</v>
      </c>
      <c r="AC5" s="71"/>
      <c r="AD5" s="71" t="s">
        <v>2000</v>
      </c>
      <c r="AE5" s="1267" t="s">
        <v>2001</v>
      </c>
      <c r="AF5" s="1268" t="s">
        <v>2002</v>
      </c>
      <c r="AG5" s="70" t="s">
        <v>2003</v>
      </c>
      <c r="AH5" s="1267" t="s">
        <v>2004</v>
      </c>
      <c r="AI5" s="2304" t="s">
        <v>2005</v>
      </c>
      <c r="AJ5" s="2304" t="s">
        <v>2006</v>
      </c>
      <c r="AK5" s="1268" t="s">
        <v>2007</v>
      </c>
      <c r="AL5" s="1268" t="s">
        <v>2008</v>
      </c>
      <c r="AM5" s="70" t="s">
        <v>2009</v>
      </c>
      <c r="AN5" s="2305" t="s">
        <v>2010</v>
      </c>
      <c r="AO5" s="2075" t="s">
        <v>2011</v>
      </c>
      <c r="AP5" s="1249" t="s">
        <v>2012</v>
      </c>
      <c r="AQ5" s="2306" t="s">
        <v>2013</v>
      </c>
      <c r="AR5" s="2306" t="s">
        <v>2014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3053</v>
      </c>
      <c r="D6" s="1051">
        <f>SUMIF(项目基本情况!D$12:I$12,C6,项目基本情况!D$14:I$14)</f>
        <v>70</v>
      </c>
      <c r="E6" s="1048">
        <f>IF(B6="","",SUMIF(项目基本情况!D$12:I$12,C6,项目基本情况!D$13:I$13))</f>
        <v>68827</v>
      </c>
      <c r="F6" s="72">
        <f>SUMIF(项目基本情况!D$12:I$12,C6,项目基本情况!D$15:I$15)</f>
        <v>69.42</v>
      </c>
      <c r="G6" s="73">
        <f>IF(ISERROR(ROUND(POWER(1+H6,D6-F6)*(POWER(1+H6,F6)-1)/(POWER(1+H6,D6)-1),3)),0,ROUND(POWER(1+H6,D6-F6)*(POWER(1+H6,F6)-1)/(POWER(1+H6,D6)-1),3))</f>
        <v>0.999</v>
      </c>
      <c r="H6" s="802">
        <v>4.4999999999999998E-2</v>
      </c>
      <c r="I6" s="802">
        <v>0.05</v>
      </c>
      <c r="J6" s="74">
        <v>8.5000000000000006E-2</v>
      </c>
      <c r="K6" s="1251">
        <f>SUMIF('数据-汇总表'!C$19:C$33,A6,'数据-汇总表'!E$19:E$33)</f>
        <v>79984.58</v>
      </c>
      <c r="L6" s="803">
        <v>2300</v>
      </c>
      <c r="M6" s="75">
        <f t="shared" ref="M6:M14" si="0">ROUND(K6*L6/10000,0)</f>
        <v>18396</v>
      </c>
      <c r="N6" s="2968">
        <v>0.3</v>
      </c>
      <c r="O6" s="75">
        <f>IF($N$5="成新度","——",ROUND(M6*N6,0))</f>
        <v>5519</v>
      </c>
      <c r="P6" s="76">
        <f>IF($N$5="成新度","——",M6-O6)</f>
        <v>12877</v>
      </c>
      <c r="Q6" s="804">
        <v>0.15</v>
      </c>
      <c r="R6" s="77">
        <f ca="1">SUMIF('数据-汇总表'!C$19:C$33,A6,'数据-汇总表'!R$19:R$27)</f>
        <v>28557.200000000001</v>
      </c>
      <c r="S6" s="54">
        <f>IF('数据-汇总表'!$I$17="按面积比例",SUMIF('数据-汇总表'!C$19:C$33,A6,'数据-汇总表'!K$19:K$33),SUMIF('数据-汇总表'!C$19:C$33,A6,'数据-汇总表'!N$19:N$33))</f>
        <v>1607.82</v>
      </c>
      <c r="T6" s="1443">
        <f>ROUND($L$14*S6/10000,0)</f>
        <v>354</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v>1.4999999999999999E-2</v>
      </c>
      <c r="AL6" s="88">
        <v>2E-3</v>
      </c>
      <c r="AM6" s="89">
        <v>0.02</v>
      </c>
      <c r="AN6" s="2310"/>
      <c r="AO6" s="55" t="e">
        <f ca="1">SUMIF(INDIRECT("'"&amp;AN6&amp;"'"&amp;"!A:A"),"总价",INDIRECT("'"&amp;AN6&amp;"'"&amp;"!B:B"))</f>
        <v>#REF!</v>
      </c>
      <c r="AP6" s="2311">
        <f>IF(C6="住宅",K6*L6,0)</f>
        <v>183964534</v>
      </c>
      <c r="AQ6" s="55">
        <f>ROUND($L$14*$N$14*S6/10000,0)</f>
        <v>53</v>
      </c>
      <c r="AR6" s="55">
        <f>ROUND($L$14*(1-$N$14)*S6/10000,0)</f>
        <v>301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商业</v>
      </c>
      <c r="B7" s="2308" t="str">
        <f t="shared" ref="B7:B13" si="1">IF(A7=0,"","经营性")</f>
        <v>经营性</v>
      </c>
      <c r="C7" s="2309" t="s">
        <v>1377</v>
      </c>
      <c r="D7" s="1051">
        <f>SUMIF(项目基本情况!D$12:I$12,C7,项目基本情况!D$14:I$14)</f>
        <v>40</v>
      </c>
      <c r="E7" s="1048">
        <f>IF(B7="","",SUMIF(项目基本情况!D$12:I$12,C7,项目基本情况!D$13:I$13))</f>
        <v>57869</v>
      </c>
      <c r="F7" s="72">
        <f>SUMIF(项目基本情况!D$12:I$12,C7,项目基本情况!D$15:I$15)</f>
        <v>39.4</v>
      </c>
      <c r="G7" s="73">
        <f t="shared" ref="G7:G11" si="2">IF(ISERROR(ROUND(POWER(1+H7,D7-F7)*(POWER(1+H7,F7)-1)/(POWER(1+H7,D7)-1),3)),0,ROUND(POWER(1+H7,D7-F7)*(POWER(1+H7,F7)-1)/(POWER(1+H7,D7)-1),3))</f>
        <v>0.995</v>
      </c>
      <c r="H7" s="802">
        <v>0.05</v>
      </c>
      <c r="I7" s="802">
        <v>5.5E-2</v>
      </c>
      <c r="J7" s="74">
        <f>J6</f>
        <v>8.5000000000000006E-2</v>
      </c>
      <c r="K7" s="1251">
        <f>SUMIF('数据-汇总表'!C$19:C$33,A7,'数据-汇总表'!E$19:E$33)</f>
        <v>11836.029999999999</v>
      </c>
      <c r="L7" s="803">
        <v>2800</v>
      </c>
      <c r="M7" s="75">
        <f t="shared" si="0"/>
        <v>3314</v>
      </c>
      <c r="N7" s="2968">
        <v>0.3</v>
      </c>
      <c r="O7" s="75">
        <f t="shared" ref="O7:O14" si="3">IF($N$5="成新度","——",ROUND(M7*N7,0))</f>
        <v>994</v>
      </c>
      <c r="P7" s="76">
        <f t="shared" ref="P7:P14" si="4">IF($N$5="成新度","——",M7-O7)</f>
        <v>2320</v>
      </c>
      <c r="Q7" s="804">
        <v>0.15</v>
      </c>
      <c r="R7" s="77">
        <f ca="1">SUMIF('数据-汇总表'!C$19:C$33,A7,'数据-汇总表'!R$19:R$27)</f>
        <v>4163.8100000000004</v>
      </c>
      <c r="S7" s="54">
        <f>IF('数据-汇总表'!$I$17="按面积比例",SUMIF('数据-汇总表'!C$19:C$33,A7,'数据-汇总表'!K$19:K$33),SUMIF('数据-汇总表'!C$19:C$33,A7,'数据-汇总表'!N$19:N$33))</f>
        <v>237.92</v>
      </c>
      <c r="T7" s="1443">
        <f t="shared" ref="T7:T13" si="5">ROUND($L$14*S7/10000,0)</f>
        <v>52</v>
      </c>
      <c r="U7" s="78">
        <v>1.5</v>
      </c>
      <c r="V7" s="79"/>
      <c r="W7" s="79"/>
      <c r="X7" s="1261"/>
      <c r="Y7" s="80"/>
      <c r="Z7" s="81"/>
      <c r="AA7" s="74"/>
      <c r="AB7" s="74"/>
      <c r="AC7" s="1261"/>
      <c r="AD7" s="82"/>
      <c r="AE7" s="1262">
        <f t="shared" ref="AE7:AE13" ca="1" si="6">IF(AN7="",0,SUMIF(INDIRECT("'"&amp;AN7&amp;"'"&amp;"!E:E"),$AE$5,INDIRECT("'"&amp;AN7&amp;"'"&amp;"!F:F")))</f>
        <v>37.994</v>
      </c>
      <c r="AF7" s="1804"/>
      <c r="AG7" s="147">
        <f t="shared" ref="AG7:AG13" si="7">IF(AF7="",0,AE7-AF7)</f>
        <v>0</v>
      </c>
      <c r="AH7" s="83"/>
      <c r="AI7" s="85">
        <v>365</v>
      </c>
      <c r="AJ7" s="86"/>
      <c r="AK7" s="87">
        <v>1.4999999999999999E-2</v>
      </c>
      <c r="AL7" s="88">
        <v>2E-3</v>
      </c>
      <c r="AM7" s="89">
        <v>0.02</v>
      </c>
      <c r="AN7" s="2310" t="s">
        <v>3318</v>
      </c>
      <c r="AO7" s="55">
        <f t="shared" ref="AO7:AO13" ca="1" si="8">SUMIF(INDIRECT("'"&amp;AN7&amp;"'"&amp;"!A:A"),"总价",INDIRECT("'"&amp;AN7&amp;"'"&amp;"!B:B"))</f>
        <v>7628</v>
      </c>
      <c r="AP7" s="2311">
        <f t="shared" ref="AP7:AP13" si="9">IF(C7="住宅",K7*L7,0)</f>
        <v>0</v>
      </c>
      <c r="AQ7" s="55">
        <f t="shared" ref="AQ7:AQ13" si="10">ROUND($L$14*$N$14*S7/10000,0)</f>
        <v>8</v>
      </c>
      <c r="AR7" s="55">
        <f t="shared" ref="AR7:AR13" si="11">ROUND($L$14*(1-$N$14)*S7/10000,0)</f>
        <v>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t="str">
        <f>'数据-汇总表'!C21</f>
        <v>车库</v>
      </c>
      <c r="B8" s="2308" t="str">
        <f t="shared" si="1"/>
        <v>经营性</v>
      </c>
      <c r="C8" s="2309" t="s">
        <v>3303</v>
      </c>
      <c r="D8" s="1051">
        <f>SUMIF(项目基本情况!D$12:I$12,C8,项目基本情况!D$14:I$14)</f>
        <v>40</v>
      </c>
      <c r="E8" s="1048">
        <f>IF(B8="","",SUMIF(项目基本情况!D$12:I$12,C8,项目基本情况!D$13:I$13))</f>
        <v>57869</v>
      </c>
      <c r="F8" s="72">
        <f>SUMIF(项目基本情况!D$12:I$12,C8,项目基本情况!D$15:I$15)</f>
        <v>39.4</v>
      </c>
      <c r="G8" s="73">
        <f t="shared" si="2"/>
        <v>0.995</v>
      </c>
      <c r="H8" s="802">
        <v>0.05</v>
      </c>
      <c r="I8" s="802">
        <v>5.5E-2</v>
      </c>
      <c r="J8" s="74">
        <f>J6</f>
        <v>8.5000000000000006E-2</v>
      </c>
      <c r="K8" s="1251">
        <f>SUMIF('数据-汇总表'!C$19:C$33,A8,'数据-汇总表'!E$19:E$33)</f>
        <v>27683.46</v>
      </c>
      <c r="L8" s="803">
        <v>2200</v>
      </c>
      <c r="M8" s="75">
        <f>ROUND(K8*L8/10000,0)</f>
        <v>6090</v>
      </c>
      <c r="N8" s="2968">
        <v>0.3</v>
      </c>
      <c r="O8" s="75">
        <f t="shared" si="3"/>
        <v>1827</v>
      </c>
      <c r="P8" s="76">
        <f t="shared" si="4"/>
        <v>4263</v>
      </c>
      <c r="Q8" s="804">
        <v>0.15</v>
      </c>
      <c r="R8" s="77">
        <f ca="1">SUMIF('数据-汇总表'!C$19:C$33,A8,'数据-汇总表'!R$19:R$27)</f>
        <v>9738.7899999999991</v>
      </c>
      <c r="S8" s="54">
        <f>IF('数据-汇总表'!$I$17="按面积比例",SUMIF('数据-汇总表'!C$19:C$33,A8,'数据-汇总表'!K$19:K$33),SUMIF('数据-汇总表'!C$19:C$33,A8,'数据-汇总表'!N$19:N$33))</f>
        <v>556.48</v>
      </c>
      <c r="T8" s="1443">
        <f t="shared" si="5"/>
        <v>122</v>
      </c>
      <c r="U8" s="805">
        <v>0.7</v>
      </c>
      <c r="V8" s="806"/>
      <c r="W8" s="806"/>
      <c r="X8" s="1261"/>
      <c r="Y8" s="807"/>
      <c r="Z8" s="81"/>
      <c r="AA8" s="74"/>
      <c r="AB8" s="74"/>
      <c r="AC8" s="1261"/>
      <c r="AD8" s="82"/>
      <c r="AE8" s="1262">
        <f t="shared" ca="1" si="6"/>
        <v>37.994</v>
      </c>
      <c r="AF8" s="1804"/>
      <c r="AG8" s="147">
        <f t="shared" si="7"/>
        <v>0</v>
      </c>
      <c r="AH8" s="808"/>
      <c r="AI8" s="85">
        <v>365</v>
      </c>
      <c r="AJ8" s="86"/>
      <c r="AK8" s="87">
        <v>1.4999999999999999E-2</v>
      </c>
      <c r="AL8" s="88">
        <v>2E-3</v>
      </c>
      <c r="AM8" s="89">
        <v>0.02</v>
      </c>
      <c r="AN8" s="2310" t="s">
        <v>3317</v>
      </c>
      <c r="AO8" s="55">
        <f t="shared" ca="1" si="8"/>
        <v>6806</v>
      </c>
      <c r="AP8" s="2311">
        <f t="shared" si="9"/>
        <v>0</v>
      </c>
      <c r="AQ8" s="55">
        <f t="shared" si="10"/>
        <v>18</v>
      </c>
      <c r="AR8" s="55">
        <f t="shared" si="11"/>
        <v>104</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2015</v>
      </c>
      <c r="B14" s="2308" t="s">
        <v>2016</v>
      </c>
      <c r="C14" s="2313" t="s">
        <v>2015</v>
      </c>
      <c r="D14" s="1051"/>
      <c r="E14" s="1048"/>
      <c r="F14" s="72"/>
      <c r="G14" s="73"/>
      <c r="H14" s="1250"/>
      <c r="I14" s="1250"/>
      <c r="J14" s="1250"/>
      <c r="K14" s="1251">
        <f>SUMIF('数据-汇总表'!C$19:C$33,A14,'数据-汇总表'!E$19:E$33)</f>
        <v>2402.23</v>
      </c>
      <c r="L14" s="91">
        <v>2200</v>
      </c>
      <c r="M14" s="75">
        <f t="shared" si="0"/>
        <v>528</v>
      </c>
      <c r="N14" s="92">
        <v>0.15</v>
      </c>
      <c r="O14" s="75">
        <f t="shared" si="3"/>
        <v>79</v>
      </c>
      <c r="P14" s="76">
        <f t="shared" si="4"/>
        <v>449</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2017</v>
      </c>
      <c r="B15" s="2308" t="s">
        <v>2016</v>
      </c>
      <c r="C15" s="2313" t="s">
        <v>2018</v>
      </c>
      <c r="D15" s="1051"/>
      <c r="E15" s="1048"/>
      <c r="F15" s="72"/>
      <c r="G15" s="73"/>
      <c r="H15" s="1250"/>
      <c r="I15" s="1250"/>
      <c r="J15" s="1250"/>
      <c r="K15" s="1251">
        <f>SUMIF('数据-汇总表'!C$19:C$33,A15,'数据-汇总表'!E$19:E$33)</f>
        <v>1216.04</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2019</v>
      </c>
      <c r="B16" s="97"/>
      <c r="C16" s="1005"/>
      <c r="D16" s="2315"/>
      <c r="E16" s="97"/>
      <c r="F16" s="97"/>
      <c r="G16" s="98">
        <f>ROUND(SUMPRODUCT(G6:G13,K6:K13)/SUMPRODUCT((G6:G13&gt;0)*(K6:K13)),3)</f>
        <v>0.998</v>
      </c>
      <c r="H16" s="99">
        <f>ROUND(SUMPRODUCT(H6:H13,K6:K13)/SUMPRODUCT((H6:H13&gt;0)*(K6:K13)),3)</f>
        <v>4.7E-2</v>
      </c>
      <c r="I16" s="100"/>
      <c r="J16" s="100"/>
      <c r="K16" s="101">
        <f>SUM(K6:K15)</f>
        <v>123122.34</v>
      </c>
      <c r="L16" s="102">
        <f>ROUND(M16*10000/SUM(K6:K14),0)</f>
        <v>2324</v>
      </c>
      <c r="M16" s="102">
        <f>SUM(M6:M14)</f>
        <v>28328</v>
      </c>
      <c r="N16" s="103">
        <f>ROUND(SUMPRODUCT(M6:M14,N6:N14)/M16,3)</f>
        <v>0.29699999999999999</v>
      </c>
      <c r="O16" s="102">
        <f>SUM(O6:O14)</f>
        <v>8419</v>
      </c>
      <c r="P16" s="102">
        <f>SUM(P6:P14)</f>
        <v>19909</v>
      </c>
      <c r="Q16" s="104">
        <f>ROUND(SUMPRODUCT(Q6:Q13,K6:K13)/SUMPRODUCT((Q6:Q13&gt;0)*(K6:K13)),2)</f>
        <v>0.15</v>
      </c>
      <c r="R16" s="1255">
        <f ca="1">SUM(R6:R13)</f>
        <v>42459.8</v>
      </c>
      <c r="S16" s="105">
        <f>SUM(S6:S13)</f>
        <v>2402.2200000000003</v>
      </c>
      <c r="T16" s="106">
        <f>IF(SUMIF(T6:T13,"&lt;9E307")=M14,SUMIF(T6:T13,"&lt;9E307"),"有误，请检查")</f>
        <v>528</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2021</v>
      </c>
      <c r="B19" s="112">
        <v>0</v>
      </c>
      <c r="C19" s="2278" t="s">
        <v>2022</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2023</v>
      </c>
      <c r="B20" s="113">
        <v>2</v>
      </c>
      <c r="C20" s="2278" t="s">
        <v>2024</v>
      </c>
      <c r="D20" s="2279"/>
      <c r="E20" s="2278"/>
      <c r="F20" s="2278"/>
      <c r="G20" s="2278"/>
      <c r="H20" s="2278"/>
      <c r="I20" s="2278"/>
      <c r="J20" s="2278"/>
      <c r="K20" s="168"/>
      <c r="L20" s="168"/>
      <c r="M20" s="1581"/>
      <c r="N20" s="3346">
        <v>8</v>
      </c>
      <c r="O20" s="1581">
        <f>'数据-基础表'!I13</f>
        <v>10204.370000000001</v>
      </c>
      <c r="P20" s="1581"/>
      <c r="Q20" s="1581"/>
      <c r="R20" s="1581">
        <f>3/32</f>
        <v>9.375E-2</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2025</v>
      </c>
      <c r="B21" s="113">
        <f>B20*N16</f>
        <v>0.59399999999999997</v>
      </c>
      <c r="C21" s="2278"/>
      <c r="D21" s="2279"/>
      <c r="E21" s="2278"/>
      <c r="F21" s="2278"/>
      <c r="G21" s="2278"/>
      <c r="H21" s="2278"/>
      <c r="I21" s="2278"/>
      <c r="J21" s="2278"/>
      <c r="K21" s="168"/>
      <c r="L21" s="168"/>
      <c r="M21" s="1581"/>
      <c r="N21" s="3346">
        <v>9</v>
      </c>
      <c r="O21" s="1581">
        <f>'数据-基础表'!I14</f>
        <v>15394.49</v>
      </c>
      <c r="P21" s="1581"/>
      <c r="Q21" s="1581"/>
      <c r="R21" s="1581">
        <f>10/32</f>
        <v>0.3125</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2026</v>
      </c>
      <c r="B22" s="114">
        <f>B19+B20</f>
        <v>2</v>
      </c>
      <c r="C22" s="2278"/>
      <c r="D22" s="2279"/>
      <c r="E22" s="2278"/>
      <c r="F22" s="2278"/>
      <c r="G22" s="2278"/>
      <c r="H22" s="2278"/>
      <c r="I22" s="2278"/>
      <c r="J22" s="2278"/>
      <c r="K22" s="168"/>
      <c r="L22" s="168"/>
      <c r="M22" s="1581"/>
      <c r="N22" s="3346">
        <v>10</v>
      </c>
      <c r="O22" s="1581">
        <f>'数据-基础表'!I15</f>
        <v>14489.36</v>
      </c>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2027</v>
      </c>
      <c r="B23" s="114">
        <f>B19+B21</f>
        <v>0.59399999999999997</v>
      </c>
      <c r="C23" s="2278"/>
      <c r="D23" s="2279"/>
      <c r="E23" s="2278"/>
      <c r="F23" s="2278"/>
      <c r="G23" s="2278"/>
      <c r="H23" s="2278"/>
      <c r="I23" s="2278"/>
      <c r="J23" s="2278"/>
      <c r="K23" s="168"/>
      <c r="L23" s="168"/>
      <c r="M23" s="1581"/>
      <c r="N23" s="3346">
        <v>11</v>
      </c>
      <c r="O23" s="1581">
        <f>'数据-基础表'!I16</f>
        <v>14071.15</v>
      </c>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2028</v>
      </c>
      <c r="B24" s="115">
        <f>B20-B21</f>
        <v>1.4060000000000001</v>
      </c>
      <c r="C24" s="2278"/>
      <c r="D24" s="2279"/>
      <c r="E24" s="2278"/>
      <c r="F24" s="2278"/>
      <c r="G24" s="2278"/>
      <c r="H24" s="2278"/>
      <c r="I24" s="2278"/>
      <c r="J24" s="2278"/>
      <c r="K24" s="168"/>
      <c r="L24" s="168"/>
      <c r="M24" s="1581"/>
      <c r="N24" s="3346">
        <v>12</v>
      </c>
      <c r="O24" s="1581">
        <f>'数据-基础表'!I17</f>
        <v>15620.84</v>
      </c>
      <c r="P24" s="1581"/>
      <c r="Q24" s="1581"/>
      <c r="R24" s="1581"/>
      <c r="S24" s="3019">
        <v>0.3</v>
      </c>
      <c r="T24" s="1581">
        <f>S24*Q25*R25</f>
        <v>9.6570000000000003E-2</v>
      </c>
      <c r="U24" s="1581">
        <v>0.26</v>
      </c>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3346">
        <v>13</v>
      </c>
      <c r="O25" s="1581">
        <f>'数据-基础表'!I18</f>
        <v>10204.370000000001</v>
      </c>
      <c r="P25" s="1581">
        <f>SUM(O20:O25)</f>
        <v>79984.58</v>
      </c>
      <c r="Q25" s="1581">
        <f>ROUND(P25/(P25+P32),2)</f>
        <v>0.87</v>
      </c>
      <c r="R25" s="3019">
        <f>ROUND(10/27,2)</f>
        <v>0.37</v>
      </c>
      <c r="S25" s="1581"/>
      <c r="T25" s="1581">
        <f>R25*0.15*Q25</f>
        <v>4.8285000000000002E-2</v>
      </c>
      <c r="U25" s="1581">
        <v>0.124</v>
      </c>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2029</v>
      </c>
      <c r="B26" s="2321" t="s">
        <v>2030</v>
      </c>
      <c r="C26" s="2322" t="s">
        <v>2031</v>
      </c>
      <c r="D26" s="2279"/>
      <c r="E26" s="2278"/>
      <c r="F26" s="2278"/>
      <c r="G26" s="2278"/>
      <c r="H26" s="2278"/>
      <c r="I26" s="2278"/>
      <c r="J26" s="2278"/>
      <c r="K26" s="168"/>
      <c r="L26" s="168"/>
      <c r="M26" s="1581"/>
      <c r="N26" s="3346" t="s">
        <v>3322</v>
      </c>
      <c r="O26" s="1581">
        <f>'数据-基础表'!K19</f>
        <v>1284.27</v>
      </c>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2032</v>
      </c>
      <c r="B27" s="116">
        <v>200</v>
      </c>
      <c r="C27" s="1764" t="s">
        <v>2033</v>
      </c>
      <c r="D27" s="2324"/>
      <c r="E27" s="1427"/>
      <c r="F27" s="1427"/>
      <c r="G27" s="2278"/>
      <c r="H27" s="2278"/>
      <c r="I27" s="2278"/>
      <c r="J27" s="2278"/>
      <c r="K27" s="168"/>
      <c r="L27" s="168"/>
      <c r="M27" s="1581"/>
      <c r="N27" s="3346" t="s">
        <v>3323</v>
      </c>
      <c r="O27" s="1581">
        <f>'数据-基础表'!K20</f>
        <v>1290.6199999999999</v>
      </c>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2034</v>
      </c>
      <c r="B28" s="119">
        <v>200</v>
      </c>
      <c r="C28" s="2327"/>
      <c r="D28" s="2324"/>
      <c r="E28" s="1427"/>
      <c r="F28" s="1427"/>
      <c r="G28" s="2278"/>
      <c r="H28" s="2278"/>
      <c r="I28" s="2278"/>
      <c r="J28" s="2278"/>
      <c r="K28" s="168"/>
      <c r="L28" s="168"/>
      <c r="M28" s="1581"/>
      <c r="N28" s="3346" t="s">
        <v>3310</v>
      </c>
      <c r="O28" s="1581">
        <f>'数据-基础表'!K21</f>
        <v>3092.28</v>
      </c>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2035</v>
      </c>
      <c r="B29" s="121">
        <f ca="1">成本法!C9+成本法!C10</f>
        <v>1632</v>
      </c>
      <c r="C29" s="1764" t="s">
        <v>2036</v>
      </c>
      <c r="D29" s="2324"/>
      <c r="E29" s="1427"/>
      <c r="F29" s="1427"/>
      <c r="G29" s="2278"/>
      <c r="H29" s="2278"/>
      <c r="I29" s="2278"/>
      <c r="J29" s="2278"/>
      <c r="K29" s="168"/>
      <c r="L29" s="168"/>
      <c r="M29" s="1581"/>
      <c r="N29" s="3346" t="s">
        <v>3311</v>
      </c>
      <c r="O29" s="1581">
        <f>'数据-基础表'!K22</f>
        <v>1120.57</v>
      </c>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2037</v>
      </c>
      <c r="B30" s="724">
        <v>200</v>
      </c>
      <c r="C30" s="2327"/>
      <c r="D30" s="2324"/>
      <c r="E30" s="1427"/>
      <c r="F30" s="1427"/>
      <c r="G30" s="2278"/>
      <c r="H30" s="2278"/>
      <c r="I30" s="2278"/>
      <c r="J30" s="2278"/>
      <c r="K30" s="168"/>
      <c r="L30" s="168"/>
      <c r="M30" s="1581"/>
      <c r="N30" s="3346" t="s">
        <v>3312</v>
      </c>
      <c r="O30" s="1581">
        <f>'数据-基础表'!K23</f>
        <v>2136.02</v>
      </c>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2038</v>
      </c>
      <c r="B31" s="120">
        <f>B30-B32</f>
        <v>100</v>
      </c>
      <c r="C31" s="1764"/>
      <c r="D31" s="2324"/>
      <c r="E31" s="1427"/>
      <c r="F31" s="1427"/>
      <c r="G31" s="2278"/>
      <c r="H31" s="2278"/>
      <c r="I31" s="2278"/>
      <c r="J31" s="2278"/>
      <c r="K31" s="168"/>
      <c r="L31" s="168"/>
      <c r="M31" s="1581"/>
      <c r="N31" s="3346" t="s">
        <v>3313</v>
      </c>
      <c r="O31" s="1581">
        <f>'数据-基础表'!K24</f>
        <v>1515.05</v>
      </c>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2039</v>
      </c>
      <c r="B32" s="725">
        <v>100</v>
      </c>
      <c r="C32" s="2327"/>
      <c r="D32" s="2279"/>
      <c r="E32" s="2278"/>
      <c r="F32" s="2278"/>
      <c r="G32" s="2278"/>
      <c r="H32" s="2278"/>
      <c r="I32" s="2278"/>
      <c r="J32" s="2278"/>
      <c r="K32" s="168"/>
      <c r="L32" s="168"/>
      <c r="M32" s="1581"/>
      <c r="N32" s="3346" t="s">
        <v>3314</v>
      </c>
      <c r="O32" s="1581">
        <f>'数据-基础表'!K25</f>
        <v>1397.22</v>
      </c>
      <c r="P32" s="1581">
        <f>SUM(O26:O32)</f>
        <v>11836.029999999999</v>
      </c>
      <c r="Q32" s="1581">
        <f>ROUND(P32/(P25+P32),2)</f>
        <v>0.13</v>
      </c>
      <c r="R32" s="3019">
        <v>0</v>
      </c>
      <c r="S32" s="1581">
        <v>0</v>
      </c>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2040</v>
      </c>
      <c r="B33" s="726">
        <v>0.03</v>
      </c>
      <c r="C33" s="1763" t="s">
        <v>2041</v>
      </c>
      <c r="D33" s="2279"/>
      <c r="E33" s="2278"/>
      <c r="F33" s="2278"/>
      <c r="G33" s="2278"/>
      <c r="H33" s="2278"/>
      <c r="I33" s="2278"/>
      <c r="J33" s="2278"/>
      <c r="K33" s="168"/>
      <c r="L33" s="168"/>
      <c r="M33" s="1581"/>
      <c r="N33" s="3347" t="s">
        <v>3325</v>
      </c>
      <c r="O33" s="1581">
        <f>'数据-基础表'!M28</f>
        <v>27683.46</v>
      </c>
      <c r="P33" s="1581"/>
      <c r="Q33" s="1581"/>
      <c r="R33" s="3019">
        <v>1</v>
      </c>
      <c r="S33" s="3019">
        <v>0.2</v>
      </c>
      <c r="T33" s="1581"/>
      <c r="U33" s="1581">
        <v>0.2</v>
      </c>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2042</v>
      </c>
      <c r="B34" s="122">
        <v>0.05</v>
      </c>
      <c r="C34" s="1763" t="s">
        <v>2043</v>
      </c>
      <c r="D34" s="2279" t="s">
        <v>2044</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2045</v>
      </c>
      <c r="B35" s="119">
        <v>200</v>
      </c>
      <c r="C35" s="1763" t="s">
        <v>2046</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2047</v>
      </c>
      <c r="B36" s="123">
        <v>1.4999999999999999E-2</v>
      </c>
      <c r="C36" s="1763" t="s">
        <v>2048</v>
      </c>
      <c r="D36" s="2279"/>
      <c r="E36" s="2278"/>
      <c r="F36" s="2278"/>
      <c r="G36" s="2278"/>
      <c r="H36" s="2278"/>
      <c r="I36" s="2278"/>
      <c r="J36" s="2278"/>
      <c r="K36" s="168"/>
      <c r="L36" s="168"/>
      <c r="M36" s="3348"/>
      <c r="N36" s="3348"/>
      <c r="O36" s="3348"/>
      <c r="P36" s="3348"/>
      <c r="Q36" s="3348"/>
      <c r="R36" s="3348"/>
      <c r="S36" s="3348"/>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2049</v>
      </c>
      <c r="B37" s="124">
        <v>0.02</v>
      </c>
      <c r="C37" s="1763" t="s">
        <v>2050</v>
      </c>
      <c r="D37" s="2279"/>
      <c r="E37" s="2278"/>
      <c r="F37" s="2278"/>
      <c r="G37" s="2278"/>
      <c r="H37" s="2278"/>
      <c r="I37" s="2278"/>
      <c r="J37" s="2278"/>
      <c r="K37" s="168"/>
      <c r="L37" s="168"/>
      <c r="M37" s="3349"/>
      <c r="N37" s="3349"/>
      <c r="O37" s="3349"/>
      <c r="P37" s="3350">
        <v>0.5</v>
      </c>
      <c r="Q37" s="3350">
        <v>0.5</v>
      </c>
      <c r="R37" s="3349"/>
      <c r="S37" s="3348"/>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2051</v>
      </c>
      <c r="B38" s="122">
        <v>0.02</v>
      </c>
      <c r="C38" s="1763" t="s">
        <v>2050</v>
      </c>
      <c r="D38" s="2279"/>
      <c r="E38" s="2278"/>
      <c r="F38" s="2278"/>
      <c r="G38" s="2278"/>
      <c r="H38" s="2278"/>
      <c r="I38" s="2278"/>
      <c r="J38" s="2278"/>
      <c r="K38" s="168"/>
      <c r="L38" s="168"/>
      <c r="M38" s="3349"/>
      <c r="N38" s="3349">
        <v>8</v>
      </c>
      <c r="O38" s="3349">
        <v>10204.370000000001</v>
      </c>
      <c r="P38" s="3349">
        <f>2/32</f>
        <v>6.25E-2</v>
      </c>
      <c r="Q38" s="3349">
        <v>0</v>
      </c>
      <c r="R38" s="3349">
        <f>ROUND((P38*0.5*O38)+(Q38*0.5*O38),2)</f>
        <v>318.89</v>
      </c>
      <c r="S38" s="3348"/>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2052</v>
      </c>
      <c r="B39" s="362">
        <f ca="1">存贷款利率!I1</f>
        <v>1.4999999999999999E-2</v>
      </c>
      <c r="C39" s="1763"/>
      <c r="D39" s="2279"/>
      <c r="E39" s="2278"/>
      <c r="F39" s="2278"/>
      <c r="G39" s="2278"/>
      <c r="H39" s="2278"/>
      <c r="I39" s="2278"/>
      <c r="J39" s="2278"/>
      <c r="K39" s="168"/>
      <c r="L39" s="168"/>
      <c r="M39" s="3349"/>
      <c r="N39" s="3349">
        <v>9</v>
      </c>
      <c r="O39" s="3349">
        <v>15394.49</v>
      </c>
      <c r="P39" s="3349">
        <f>9/32</f>
        <v>0.28125</v>
      </c>
      <c r="Q39" s="3349">
        <v>0</v>
      </c>
      <c r="R39" s="3349">
        <f t="shared" ref="R39:R52" si="12">ROUND((P39*0.5*O39)+(Q39*0.5*O39),2)</f>
        <v>2164.85</v>
      </c>
      <c r="S39" s="3348"/>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2053</v>
      </c>
      <c r="B40" s="1300">
        <f ca="1">存贷款利率!G1</f>
        <v>4.7500000000000001E-2</v>
      </c>
      <c r="C40" s="1763" t="s">
        <v>2054</v>
      </c>
      <c r="D40" s="1581"/>
      <c r="E40" s="2279"/>
      <c r="F40" s="2278"/>
      <c r="G40" s="2278"/>
      <c r="H40" s="2278"/>
      <c r="I40" s="2278"/>
      <c r="J40" s="2278"/>
      <c r="K40" s="168"/>
      <c r="L40" s="168"/>
      <c r="M40" s="3349"/>
      <c r="N40" s="3349">
        <v>10</v>
      </c>
      <c r="O40" s="3349">
        <v>14489.36</v>
      </c>
      <c r="P40" s="3349">
        <f>12/32</f>
        <v>0.375</v>
      </c>
      <c r="Q40" s="3349">
        <v>0</v>
      </c>
      <c r="R40" s="3349">
        <f t="shared" si="12"/>
        <v>2716.76</v>
      </c>
      <c r="S40" s="3348"/>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2055</v>
      </c>
      <c r="B41" s="125">
        <f>B42+B43</f>
        <v>5.5000000000000007E-2</v>
      </c>
      <c r="C41" s="1764"/>
      <c r="D41" s="1581"/>
      <c r="E41" s="2279"/>
      <c r="F41" s="2278"/>
      <c r="G41" s="2278"/>
      <c r="H41" s="2278"/>
      <c r="I41" s="2278"/>
      <c r="J41" s="2278"/>
      <c r="K41" s="168"/>
      <c r="L41" s="168"/>
      <c r="M41" s="3349"/>
      <c r="N41" s="3349">
        <v>11</v>
      </c>
      <c r="O41" s="3349">
        <v>14071.15</v>
      </c>
      <c r="P41" s="3349">
        <f>23/32</f>
        <v>0.71875</v>
      </c>
      <c r="Q41" s="3349">
        <v>0</v>
      </c>
      <c r="R41" s="3349">
        <f t="shared" si="12"/>
        <v>5056.82</v>
      </c>
      <c r="S41" s="3348"/>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2056</v>
      </c>
      <c r="B42" s="126">
        <v>0.05</v>
      </c>
      <c r="C42" s="2332">
        <f>IF(B2&lt;DATE(2016,5,1),0,B42)</f>
        <v>0.05</v>
      </c>
      <c r="D42" s="2279"/>
      <c r="E42" s="2278"/>
      <c r="F42" s="2278"/>
      <c r="G42" s="2278"/>
      <c r="H42" s="2278"/>
      <c r="I42" s="2278"/>
      <c r="J42" s="2278"/>
      <c r="K42" s="168"/>
      <c r="L42" s="168"/>
      <c r="M42" s="3349"/>
      <c r="N42" s="3349">
        <v>12</v>
      </c>
      <c r="O42" s="3349">
        <v>15620.84</v>
      </c>
      <c r="P42" s="3349">
        <f>26/32</f>
        <v>0.8125</v>
      </c>
      <c r="Q42" s="3349">
        <v>0</v>
      </c>
      <c r="R42" s="3349">
        <f t="shared" si="12"/>
        <v>6345.97</v>
      </c>
      <c r="S42" s="3348"/>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2057</v>
      </c>
      <c r="B43" s="127">
        <f>B42*(B44+B45+B46)+B47</f>
        <v>5.000000000000001E-3</v>
      </c>
      <c r="C43" s="1764"/>
      <c r="D43" s="2279"/>
      <c r="E43" s="2278"/>
      <c r="F43" s="2278"/>
      <c r="G43" s="2278"/>
      <c r="H43" s="2278"/>
      <c r="I43" s="2278"/>
      <c r="J43" s="2278"/>
      <c r="K43" s="168"/>
      <c r="L43" s="168"/>
      <c r="M43" s="3349"/>
      <c r="N43" s="3349">
        <v>13</v>
      </c>
      <c r="O43" s="3349">
        <v>10204.370000000001</v>
      </c>
      <c r="P43" s="3349">
        <f>12/32</f>
        <v>0.375</v>
      </c>
      <c r="Q43" s="3349">
        <v>0</v>
      </c>
      <c r="R43" s="3349">
        <f t="shared" si="12"/>
        <v>1913.32</v>
      </c>
      <c r="S43" s="3348"/>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2058</v>
      </c>
      <c r="B44" s="128">
        <v>0.05</v>
      </c>
      <c r="C44" s="1763" t="s">
        <v>2059</v>
      </c>
      <c r="D44" s="2279"/>
      <c r="E44" s="2278"/>
      <c r="F44" s="2278"/>
      <c r="G44" s="2278"/>
      <c r="H44" s="2278"/>
      <c r="I44" s="2278"/>
      <c r="J44" s="2278"/>
      <c r="K44" s="168"/>
      <c r="L44" s="168"/>
      <c r="M44" s="3349"/>
      <c r="N44" s="3349" t="s">
        <v>3321</v>
      </c>
      <c r="O44" s="3349">
        <v>1284.27</v>
      </c>
      <c r="P44" s="3349">
        <v>0</v>
      </c>
      <c r="Q44" s="3349">
        <v>0</v>
      </c>
      <c r="R44" s="3349">
        <f t="shared" si="12"/>
        <v>0</v>
      </c>
      <c r="S44" s="3348"/>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2060</v>
      </c>
      <c r="B45" s="126">
        <v>0.03</v>
      </c>
      <c r="C45" s="1764" t="s">
        <v>2061</v>
      </c>
      <c r="D45" s="2279"/>
      <c r="E45" s="2278"/>
      <c r="F45" s="2278"/>
      <c r="G45" s="2278"/>
      <c r="H45" s="2278"/>
      <c r="I45" s="2278"/>
      <c r="J45" s="2278"/>
      <c r="K45" s="168"/>
      <c r="L45" s="168"/>
      <c r="M45" s="3349"/>
      <c r="N45" s="3349" t="s">
        <v>3323</v>
      </c>
      <c r="O45" s="3349">
        <v>1290.6199999999999</v>
      </c>
      <c r="P45" s="3349">
        <v>0</v>
      </c>
      <c r="Q45" s="3349">
        <v>0</v>
      </c>
      <c r="R45" s="3349">
        <f t="shared" si="12"/>
        <v>0</v>
      </c>
      <c r="S45" s="3348"/>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2062</v>
      </c>
      <c r="B46" s="126">
        <v>0.02</v>
      </c>
      <c r="C46" s="1764" t="s">
        <v>2063</v>
      </c>
      <c r="D46" s="2279"/>
      <c r="E46" s="2278"/>
      <c r="F46" s="2278"/>
      <c r="G46" s="2278"/>
      <c r="H46" s="2278"/>
      <c r="I46" s="2278"/>
      <c r="J46" s="2278"/>
      <c r="K46" s="168"/>
      <c r="L46" s="168"/>
      <c r="M46" s="3349"/>
      <c r="N46" s="3349" t="s">
        <v>3310</v>
      </c>
      <c r="O46" s="3349">
        <v>3092.28</v>
      </c>
      <c r="P46" s="3349">
        <v>0</v>
      </c>
      <c r="Q46" s="3349">
        <v>0</v>
      </c>
      <c r="R46" s="3349">
        <f t="shared" si="12"/>
        <v>0</v>
      </c>
      <c r="S46" s="3348"/>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2064</v>
      </c>
      <c r="B47" s="129"/>
      <c r="C47" s="1764" t="s">
        <v>2065</v>
      </c>
      <c r="D47" s="2279"/>
      <c r="E47" s="2278"/>
      <c r="F47" s="2278"/>
      <c r="G47" s="2278"/>
      <c r="H47" s="2278"/>
      <c r="I47" s="2278"/>
      <c r="J47" s="2278"/>
      <c r="K47" s="168"/>
      <c r="L47" s="168"/>
      <c r="M47" s="3349"/>
      <c r="N47" s="3349" t="s">
        <v>3311</v>
      </c>
      <c r="O47" s="3349">
        <v>1120.57</v>
      </c>
      <c r="P47" s="3349">
        <v>0</v>
      </c>
      <c r="Q47" s="3349">
        <v>0</v>
      </c>
      <c r="R47" s="3349">
        <f t="shared" si="12"/>
        <v>0</v>
      </c>
      <c r="S47" s="3348"/>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2066</v>
      </c>
      <c r="B48" s="130">
        <v>0.04</v>
      </c>
      <c r="C48" s="1771" t="s">
        <v>2067</v>
      </c>
      <c r="D48" s="2279"/>
      <c r="E48" s="2278"/>
      <c r="F48" s="2278"/>
      <c r="G48" s="2278"/>
      <c r="H48" s="2278"/>
      <c r="I48" s="2278"/>
      <c r="J48" s="2278"/>
      <c r="K48" s="168"/>
      <c r="L48" s="168"/>
      <c r="M48" s="3349"/>
      <c r="N48" s="3349" t="s">
        <v>3312</v>
      </c>
      <c r="O48" s="3349">
        <v>2136.02</v>
      </c>
      <c r="P48" s="3349">
        <v>0</v>
      </c>
      <c r="Q48" s="3349">
        <v>0</v>
      </c>
      <c r="R48" s="3349">
        <f t="shared" si="12"/>
        <v>0</v>
      </c>
      <c r="S48" s="3348"/>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2068</v>
      </c>
      <c r="B49" s="126">
        <v>5.0000000000000001E-4</v>
      </c>
      <c r="C49" s="1771" t="s">
        <v>2069</v>
      </c>
      <c r="D49" s="2279"/>
      <c r="E49" s="2278"/>
      <c r="F49" s="2278"/>
      <c r="G49" s="2278"/>
      <c r="H49" s="2278"/>
      <c r="I49" s="2278"/>
      <c r="J49" s="2278"/>
      <c r="K49" s="168"/>
      <c r="L49" s="168"/>
      <c r="M49" s="3349"/>
      <c r="N49" s="3349" t="s">
        <v>3313</v>
      </c>
      <c r="O49" s="3349">
        <v>1515.05</v>
      </c>
      <c r="P49" s="3349">
        <v>0</v>
      </c>
      <c r="Q49" s="3349">
        <v>0</v>
      </c>
      <c r="R49" s="3349">
        <f t="shared" si="12"/>
        <v>0</v>
      </c>
      <c r="S49" s="3348"/>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2070</v>
      </c>
      <c r="B50" s="131">
        <v>1.2E-2</v>
      </c>
      <c r="C50" s="1427"/>
      <c r="D50" s="2279"/>
      <c r="E50" s="2278"/>
      <c r="F50" s="2278"/>
      <c r="G50" s="2278"/>
      <c r="H50" s="2278"/>
      <c r="I50" s="2278"/>
      <c r="J50" s="2278"/>
      <c r="K50" s="168"/>
      <c r="L50" s="168"/>
      <c r="M50" s="3349"/>
      <c r="N50" s="3349" t="s">
        <v>3314</v>
      </c>
      <c r="O50" s="3349">
        <v>1397.22</v>
      </c>
      <c r="P50" s="3349">
        <v>0</v>
      </c>
      <c r="Q50" s="3349">
        <v>0</v>
      </c>
      <c r="R50" s="3349">
        <f t="shared" si="12"/>
        <v>0</v>
      </c>
      <c r="S50" s="3348"/>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2071</v>
      </c>
      <c r="B51" s="132">
        <v>0.12</v>
      </c>
      <c r="C51" s="1427"/>
      <c r="D51" s="2279"/>
      <c r="E51" s="2278"/>
      <c r="F51" s="2278"/>
      <c r="G51" s="2278"/>
      <c r="H51" s="2278"/>
      <c r="I51" s="2278"/>
      <c r="J51" s="2278"/>
      <c r="K51" s="168"/>
      <c r="L51" s="168"/>
      <c r="M51" s="3349"/>
      <c r="N51" s="3349" t="s">
        <v>3324</v>
      </c>
      <c r="O51" s="3349">
        <v>27683.46</v>
      </c>
      <c r="P51" s="3351">
        <v>1</v>
      </c>
      <c r="Q51" s="3351">
        <v>1</v>
      </c>
      <c r="R51" s="3349">
        <f t="shared" si="12"/>
        <v>27683.46</v>
      </c>
      <c r="S51" s="3348"/>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2072</v>
      </c>
      <c r="B52" s="133">
        <f>SUMIF(A54:A63,B53,B54:B63)</f>
        <v>18</v>
      </c>
      <c r="C52" s="1427"/>
      <c r="D52" s="2279"/>
      <c r="E52" s="2278"/>
      <c r="F52" s="2278"/>
      <c r="G52" s="2278"/>
      <c r="H52" s="2278"/>
      <c r="I52" s="2278"/>
      <c r="J52" s="2278"/>
      <c r="K52" s="168"/>
      <c r="L52" s="168"/>
      <c r="M52" s="3349"/>
      <c r="N52" s="3349"/>
      <c r="O52" s="3349">
        <f>SUM(O38:O51)</f>
        <v>119504.07</v>
      </c>
      <c r="P52" s="3349"/>
      <c r="Q52" s="3349"/>
      <c r="R52" s="3349">
        <f>SUM(R38:R51)</f>
        <v>46200.07</v>
      </c>
      <c r="S52" s="3348"/>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2073</v>
      </c>
      <c r="B53" s="2337" t="s">
        <v>442</v>
      </c>
      <c r="C53" s="1427" t="s">
        <v>2074</v>
      </c>
      <c r="D53" s="2338" t="s">
        <v>2075</v>
      </c>
      <c r="E53" s="2278"/>
      <c r="F53" s="2278"/>
      <c r="G53" s="2278"/>
      <c r="H53" s="2278"/>
      <c r="I53" s="2278"/>
      <c r="J53" s="2278"/>
      <c r="K53" s="168"/>
      <c r="L53" s="168"/>
      <c r="M53" s="3348"/>
      <c r="N53" s="3348"/>
      <c r="O53" s="3348"/>
      <c r="P53" s="3348"/>
      <c r="Q53" s="3348"/>
      <c r="R53" s="3348">
        <f>R52/O52</f>
        <v>0.38659829744710783</v>
      </c>
      <c r="S53" s="3348"/>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2076</v>
      </c>
      <c r="B54" s="84"/>
      <c r="C54" s="1427">
        <v>30</v>
      </c>
      <c r="D54" s="2279"/>
      <c r="E54" s="2278"/>
      <c r="F54" s="2278"/>
      <c r="G54" s="2278"/>
      <c r="H54" s="2278"/>
      <c r="I54" s="2278"/>
      <c r="J54" s="2278"/>
      <c r="K54" s="168"/>
      <c r="L54" s="168"/>
      <c r="M54" s="3348"/>
      <c r="N54" s="3348"/>
      <c r="O54" s="3348"/>
      <c r="P54" s="3348"/>
      <c r="Q54" s="3348"/>
      <c r="R54" s="3348"/>
      <c r="S54" s="3348"/>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2077</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2078</v>
      </c>
      <c r="B56" s="84">
        <v>18</v>
      </c>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2079</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2080</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2081</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2082</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2083</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2084</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2085</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111" t="s">
        <v>2086</v>
      </c>
      <c r="B1" s="3112"/>
      <c r="C1" s="3112"/>
      <c r="D1" s="3112"/>
      <c r="E1" s="3112"/>
      <c r="F1" s="3112"/>
      <c r="G1" s="311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5" t="s">
        <v>2089</v>
      </c>
      <c r="B3" s="1268" t="s">
        <v>2090</v>
      </c>
      <c r="C3" s="2371" t="s">
        <v>2091</v>
      </c>
      <c r="D3" s="2372"/>
      <c r="E3" s="431" t="s">
        <v>2089</v>
      </c>
      <c r="F3" s="2373" t="s">
        <v>2092</v>
      </c>
      <c r="G3" s="2374" t="s">
        <v>2093</v>
      </c>
      <c r="H3" s="2369"/>
      <c r="I3" s="2369"/>
      <c r="J3" s="2369"/>
      <c r="K3" s="2369"/>
      <c r="L3" s="2369"/>
      <c r="M3" s="2369"/>
      <c r="N3" s="2369"/>
      <c r="O3" s="2369"/>
      <c r="P3" s="2369"/>
      <c r="Q3" s="2369"/>
      <c r="R3" s="2369"/>
    </row>
    <row r="4" spans="1:29" ht="41.25">
      <c r="A4" s="431"/>
      <c r="B4" s="1795" t="s">
        <v>2094</v>
      </c>
      <c r="C4" s="2375" t="s">
        <v>2095</v>
      </c>
      <c r="D4" s="2372"/>
      <c r="E4" s="2376"/>
      <c r="F4" s="42" t="s">
        <v>2096</v>
      </c>
      <c r="G4" s="2377" t="s">
        <v>2097</v>
      </c>
      <c r="H4" s="2369"/>
      <c r="I4" s="2369"/>
      <c r="J4" s="2369"/>
      <c r="K4" s="2369"/>
      <c r="L4" s="2369"/>
      <c r="M4" s="2369"/>
      <c r="N4" s="2369"/>
      <c r="O4" s="2369"/>
      <c r="P4" s="2369"/>
      <c r="Q4" s="2369"/>
      <c r="R4" s="2369"/>
    </row>
    <row r="5" spans="1:29" ht="41.25">
      <c r="A5" s="431"/>
      <c r="B5" s="1795" t="s">
        <v>2098</v>
      </c>
      <c r="C5" s="2375" t="s">
        <v>2099</v>
      </c>
      <c r="D5" s="2372"/>
      <c r="E5" s="2376"/>
      <c r="F5" s="1795" t="s">
        <v>2100</v>
      </c>
      <c r="G5" s="2377" t="s">
        <v>2101</v>
      </c>
      <c r="H5" s="2369"/>
      <c r="I5" s="2369"/>
      <c r="J5" s="2369"/>
      <c r="K5" s="2369"/>
      <c r="L5" s="2369"/>
      <c r="M5" s="2369"/>
      <c r="N5" s="2369"/>
      <c r="O5" s="2369"/>
      <c r="P5" s="2369"/>
      <c r="Q5" s="2369"/>
      <c r="R5" s="2369"/>
    </row>
    <row r="6" spans="1:29" ht="54">
      <c r="A6" s="431"/>
      <c r="B6" s="1795" t="s">
        <v>2102</v>
      </c>
      <c r="C6" s="2377" t="s">
        <v>2097</v>
      </c>
      <c r="D6" s="2372"/>
      <c r="E6" s="2376"/>
      <c r="F6" s="1795" t="s">
        <v>2103</v>
      </c>
      <c r="G6" s="2377" t="s">
        <v>2104</v>
      </c>
      <c r="H6" s="2369"/>
      <c r="I6" s="2369"/>
      <c r="J6" s="2369"/>
      <c r="K6" s="2369"/>
      <c r="L6" s="2369"/>
      <c r="M6" s="2369"/>
      <c r="N6" s="2369"/>
      <c r="O6" s="2369"/>
      <c r="P6" s="2369"/>
      <c r="Q6" s="2369"/>
      <c r="R6" s="2369"/>
    </row>
    <row r="7" spans="1:29" ht="41.25" thickBot="1">
      <c r="A7" s="431"/>
      <c r="B7" s="1795" t="s">
        <v>2100</v>
      </c>
      <c r="C7" s="2377" t="s">
        <v>2101</v>
      </c>
      <c r="D7" s="2378"/>
      <c r="E7" s="2379"/>
      <c r="F7" s="2380" t="s">
        <v>2105</v>
      </c>
      <c r="G7" s="2381" t="s">
        <v>2106</v>
      </c>
      <c r="H7" s="2369"/>
      <c r="I7" s="2369"/>
      <c r="J7" s="2369"/>
      <c r="K7" s="2369"/>
      <c r="L7" s="2369"/>
      <c r="M7" s="2369"/>
      <c r="N7" s="2369"/>
      <c r="O7" s="2369"/>
      <c r="P7" s="2369"/>
      <c r="Q7" s="2369"/>
      <c r="R7" s="2369"/>
    </row>
    <row r="8" spans="1:29" ht="27">
      <c r="A8" s="431"/>
      <c r="B8" s="1795" t="s">
        <v>2103</v>
      </c>
      <c r="C8" s="2377" t="s">
        <v>2104</v>
      </c>
      <c r="D8" s="2378"/>
      <c r="E8" s="2378"/>
      <c r="F8" s="1133"/>
      <c r="G8" s="1133"/>
      <c r="H8" s="2369"/>
      <c r="I8" s="2369"/>
      <c r="J8" s="2369"/>
      <c r="K8" s="2369"/>
      <c r="L8" s="2369"/>
      <c r="M8" s="2369"/>
      <c r="N8" s="2369"/>
      <c r="O8" s="2369"/>
      <c r="P8" s="2369"/>
      <c r="Q8" s="2369"/>
      <c r="R8" s="2369"/>
    </row>
    <row r="9" spans="1:29" ht="27">
      <c r="A9" s="431"/>
      <c r="B9" s="1795" t="s">
        <v>2107</v>
      </c>
      <c r="C9" s="2375" t="s">
        <v>2108</v>
      </c>
      <c r="D9" s="2372"/>
      <c r="E9" s="2378"/>
      <c r="F9" s="1133"/>
      <c r="G9" s="1133"/>
      <c r="H9" s="2369"/>
      <c r="I9" s="2369"/>
      <c r="J9" s="2369"/>
      <c r="K9" s="2369"/>
      <c r="L9" s="2369"/>
      <c r="M9" s="2369"/>
      <c r="N9" s="2369"/>
      <c r="O9" s="2369"/>
      <c r="P9" s="2369"/>
      <c r="Q9" s="2369"/>
      <c r="R9" s="2369"/>
    </row>
    <row r="10" spans="1:29" s="117" customFormat="1" ht="15.75" thickBot="1">
      <c r="A10" s="2382"/>
      <c r="B10" s="2383" t="s">
        <v>2109</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8" t="s">
        <v>2113</v>
      </c>
      <c r="B15" s="1267" t="s">
        <v>2090</v>
      </c>
      <c r="C15" s="2404" t="str">
        <f>C3</f>
        <v>估价对象周边居住用地比例、居住小区规模和社区发展完善程度，综合评价居住社区成熟度一般</v>
      </c>
      <c r="D15" s="2372"/>
      <c r="E15" s="2405" t="s">
        <v>2114</v>
      </c>
      <c r="F15" s="1267" t="s">
        <v>2115</v>
      </c>
      <c r="G15" s="135" t="str">
        <f>G3</f>
        <v>估价对象位于XX开发区，园区建设成熟度XX，产业集聚程度XX</v>
      </c>
    </row>
    <row r="16" spans="1:29" ht="42.75">
      <c r="A16" s="645"/>
      <c r="B16" s="2406" t="s">
        <v>2094</v>
      </c>
      <c r="C16" s="2407" t="str">
        <f>C4</f>
        <v>估价对象位于XX商圈，周边商业氛围成熟，人流量大，商业繁华度好</v>
      </c>
      <c r="D16" s="2372"/>
      <c r="E16" s="2408"/>
      <c r="F16" s="2409" t="s">
        <v>2096</v>
      </c>
      <c r="G16" s="136" t="str">
        <f>G4</f>
        <v>估价对象周边道路状况、公共交通通达情况、停车便捷程度，综合评价交通便捷度较好</v>
      </c>
    </row>
    <row r="17" spans="1:18" ht="42.75">
      <c r="A17" s="645"/>
      <c r="B17" s="2406" t="s">
        <v>2098</v>
      </c>
      <c r="C17" s="2407" t="str">
        <f>C5</f>
        <v>估价对象位于XX商圈，周边办公楼项目较多，入驻率高，办公集聚程度较好</v>
      </c>
      <c r="D17" s="2378"/>
      <c r="E17" s="2408"/>
      <c r="F17" s="2409" t="s">
        <v>2116</v>
      </c>
      <c r="G17" s="1569"/>
    </row>
    <row r="18" spans="1:18" ht="57">
      <c r="A18" s="645"/>
      <c r="B18" s="2409" t="s">
        <v>2102</v>
      </c>
      <c r="C18" s="136" t="str">
        <f>C6</f>
        <v>估价对象周边道路状况、公共交通通达情况、停车便捷程度，综合评价交通便捷度较好</v>
      </c>
      <c r="D18" s="2378"/>
      <c r="E18" s="2408"/>
      <c r="F18" s="2409" t="s">
        <v>2105</v>
      </c>
      <c r="G18" s="136" t="str">
        <f>G7</f>
        <v>该园区内是否有污染型企业，绿化情况，卫生条件，整体环境状况判断</v>
      </c>
    </row>
    <row r="19" spans="1:18" ht="28.5">
      <c r="A19" s="645"/>
      <c r="B19" s="2409" t="s">
        <v>2117</v>
      </c>
      <c r="C19" s="1569"/>
      <c r="D19" s="2372"/>
      <c r="E19" s="2408"/>
      <c r="F19" s="1795" t="s">
        <v>2100</v>
      </c>
      <c r="G19" s="136" t="str">
        <f>G5</f>
        <v>估价对象所在区域公共配套设施齐备情况</v>
      </c>
    </row>
    <row r="20" spans="1:18" ht="28.5">
      <c r="A20" s="645"/>
      <c r="B20" s="2409" t="s">
        <v>2118</v>
      </c>
      <c r="C20" s="2407" t="str">
        <f>C9</f>
        <v>区域自然环境：；人文环境；综合评价环境状况一般</v>
      </c>
      <c r="D20" s="2378"/>
      <c r="E20" s="2408"/>
      <c r="F20" s="1795" t="s">
        <v>2119</v>
      </c>
      <c r="G20" s="136" t="str">
        <f>G6</f>
        <v>估价对象所在区域基础设施水平</v>
      </c>
    </row>
    <row r="21" spans="1:18" ht="28.5">
      <c r="A21" s="645"/>
      <c r="B21" s="1795" t="s">
        <v>2100</v>
      </c>
      <c r="C21" s="136" t="str">
        <f>C7</f>
        <v>估价对象所在区域公共配套设施齐备情况</v>
      </c>
      <c r="D21" s="2372"/>
      <c r="E21" s="2408"/>
      <c r="F21" s="2409" t="s">
        <v>2120</v>
      </c>
      <c r="G21" s="2410"/>
    </row>
    <row r="22" spans="1:18" ht="13.5" customHeight="1">
      <c r="A22" s="645"/>
      <c r="B22" s="1795" t="s">
        <v>2103</v>
      </c>
      <c r="C22" s="136" t="str">
        <f>C8</f>
        <v>估价对象所在区域基础设施水平</v>
      </c>
      <c r="D22" s="2372"/>
      <c r="E22" s="2408"/>
      <c r="F22" s="2409" t="s">
        <v>2109</v>
      </c>
      <c r="G22" s="1569"/>
    </row>
    <row r="23" spans="1:18" s="2369" customFormat="1" ht="15.75" thickBot="1">
      <c r="A23" s="645"/>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123122.34</v>
      </c>
      <c r="C1" s="1742"/>
      <c r="D1" s="1742"/>
      <c r="E1" s="1742"/>
      <c r="F1" s="1742"/>
      <c r="G1" s="1740"/>
    </row>
    <row r="2" spans="1:10" ht="16.5">
      <c r="A2" s="1743" t="s">
        <v>1353</v>
      </c>
      <c r="B2" s="1743">
        <f>SUM(C14:C23)</f>
        <v>42459.8</v>
      </c>
      <c r="C2" s="1742"/>
      <c r="D2" s="1742"/>
      <c r="E2" s="1742"/>
      <c r="F2" s="1742"/>
      <c r="G2" s="1740"/>
    </row>
    <row r="3" spans="1:10" ht="16.5">
      <c r="A3" s="1743" t="s">
        <v>1362</v>
      </c>
      <c r="B3" s="1744">
        <f>项目基本情况!D3</f>
        <v>43488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49352</v>
      </c>
      <c r="C5" s="1743">
        <f ca="1">ROUND(B5*10000/$B$1,0)</f>
        <v>4008</v>
      </c>
      <c r="D5" s="1743">
        <f ca="1">ROUND(B5*10000/$B$2,0)</f>
        <v>11623</v>
      </c>
      <c r="E5" s="1742"/>
      <c r="F5" s="1740"/>
      <c r="G5" s="1740"/>
    </row>
    <row r="6" spans="1:10" ht="16.5">
      <c r="A6" s="1743" t="s">
        <v>1356</v>
      </c>
      <c r="B6" s="1743">
        <f ca="1">SUM(G14:G23)</f>
        <v>49352</v>
      </c>
      <c r="C6" s="1743">
        <f ca="1">ROUND(B6*10000/$B$1,0)</f>
        <v>4008</v>
      </c>
      <c r="D6" s="1743">
        <f ca="1">ROUND(B6*10000/$B$2,0)</f>
        <v>11623</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123122.34</v>
      </c>
      <c r="C14" s="1741">
        <f>结果表!C118</f>
        <v>42459.8</v>
      </c>
      <c r="D14" s="1741">
        <f ca="1">结果表!H118</f>
        <v>49352</v>
      </c>
      <c r="E14" s="1741">
        <f ca="1">ROUND(D14*10000/B14,0)</f>
        <v>4008</v>
      </c>
      <c r="F14" s="1741">
        <f ca="1">ROUND(D14*10000/C14,0)</f>
        <v>11623</v>
      </c>
      <c r="G14" s="1741">
        <f ca="1">结果表!D122</f>
        <v>49352</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D36" sqref="D3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2123</v>
      </c>
      <c r="B1" s="2420"/>
      <c r="C1" s="2421"/>
      <c r="D1" s="2420"/>
      <c r="E1" s="2420"/>
      <c r="F1" s="2422" t="s">
        <v>2124</v>
      </c>
      <c r="G1" s="2071" t="s">
        <v>2125</v>
      </c>
      <c r="H1" s="2423" t="str">
        <f>IF(G1="现房","——","估价对象范围")</f>
        <v>估价对象范围</v>
      </c>
      <c r="I1" s="2424"/>
    </row>
    <row r="2" spans="1:12" ht="21.75" customHeight="1" thickBot="1">
      <c r="A2" s="3185" t="str">
        <f>项目基本情况!S2</f>
        <v>出让国有建设用地使用权及在建建筑物房地产</v>
      </c>
      <c r="B2" s="3186"/>
      <c r="C2" s="3186"/>
      <c r="D2" s="3186"/>
      <c r="E2" s="3186"/>
      <c r="F2" s="3186"/>
      <c r="G2" s="3186"/>
      <c r="H2" s="3186"/>
      <c r="I2" s="3187"/>
    </row>
    <row r="3" spans="1:12" ht="12.75">
      <c r="A3" s="3188" t="s">
        <v>2126</v>
      </c>
      <c r="B3" s="3189"/>
      <c r="C3" s="3189"/>
      <c r="D3" s="3189"/>
      <c r="E3" s="3189"/>
      <c r="F3" s="3189"/>
      <c r="G3" s="3189"/>
      <c r="H3" s="3189"/>
      <c r="I3" s="3189"/>
    </row>
    <row r="4" spans="1:12" ht="14.25">
      <c r="A4" s="2427" t="s">
        <v>2127</v>
      </c>
      <c r="B4" s="2428" t="s">
        <v>2128</v>
      </c>
      <c r="C4" s="2429" t="s">
        <v>3059</v>
      </c>
      <c r="D4" s="2429" t="s">
        <v>3060</v>
      </c>
      <c r="E4" s="3169" t="s">
        <v>2129</v>
      </c>
      <c r="F4" s="3182"/>
      <c r="G4" s="3182"/>
      <c r="H4" s="3182"/>
      <c r="I4" s="317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60" t="s">
        <v>2130</v>
      </c>
      <c r="B5" s="3086">
        <v>25</v>
      </c>
      <c r="C5" s="3190"/>
      <c r="D5" s="3178"/>
      <c r="E5" s="140" t="s">
        <v>2131</v>
      </c>
      <c r="F5" s="2431"/>
      <c r="G5" s="2431"/>
      <c r="H5" s="2431"/>
      <c r="I5" s="1831"/>
    </row>
    <row r="6" spans="1:12" ht="12.75">
      <c r="A6" s="3160"/>
      <c r="B6" s="3086"/>
      <c r="C6" s="3192"/>
      <c r="D6" s="3178"/>
      <c r="E6" s="140" t="s">
        <v>2132</v>
      </c>
      <c r="F6" s="2431"/>
      <c r="G6" s="2431"/>
      <c r="H6" s="2431"/>
      <c r="I6" s="1831"/>
    </row>
    <row r="7" spans="1:12" ht="12.75">
      <c r="A7" s="3160"/>
      <c r="B7" s="3086"/>
      <c r="C7" s="3191"/>
      <c r="D7" s="3178"/>
      <c r="E7" s="140" t="s">
        <v>2133</v>
      </c>
      <c r="F7" s="2431"/>
      <c r="G7" s="2431"/>
      <c r="H7" s="2431"/>
      <c r="I7" s="1831"/>
    </row>
    <row r="8" spans="1:12" ht="12.75">
      <c r="A8" s="3160" t="s">
        <v>2134</v>
      </c>
      <c r="B8" s="3086">
        <v>15</v>
      </c>
      <c r="C8" s="3190"/>
      <c r="D8" s="3178"/>
      <c r="E8" s="140" t="s">
        <v>2135</v>
      </c>
      <c r="F8" s="2431"/>
      <c r="G8" s="2431"/>
      <c r="H8" s="2431"/>
      <c r="I8" s="1831"/>
    </row>
    <row r="9" spans="1:12" ht="12.75">
      <c r="A9" s="3160"/>
      <c r="B9" s="3086"/>
      <c r="C9" s="3191"/>
      <c r="D9" s="3178"/>
      <c r="E9" s="140" t="s">
        <v>2136</v>
      </c>
      <c r="F9" s="2431"/>
      <c r="G9" s="2431"/>
      <c r="H9" s="2431"/>
      <c r="I9" s="1831"/>
    </row>
    <row r="10" spans="1:12" ht="12.75">
      <c r="A10" s="3160" t="s">
        <v>2137</v>
      </c>
      <c r="B10" s="3086">
        <v>15</v>
      </c>
      <c r="C10" s="3190"/>
      <c r="D10" s="3178"/>
      <c r="E10" s="140" t="s">
        <v>2138</v>
      </c>
      <c r="F10" s="2431"/>
      <c r="G10" s="2431"/>
      <c r="H10" s="2431"/>
      <c r="I10" s="1831"/>
    </row>
    <row r="11" spans="1:12" ht="12.75">
      <c r="A11" s="3160"/>
      <c r="B11" s="3086"/>
      <c r="C11" s="3191"/>
      <c r="D11" s="3178"/>
      <c r="E11" s="140" t="s">
        <v>2139</v>
      </c>
      <c r="F11" s="2431"/>
      <c r="G11" s="2431"/>
      <c r="H11" s="2431"/>
      <c r="I11" s="1831"/>
    </row>
    <row r="12" spans="1:12" ht="12.75">
      <c r="A12" s="3160" t="s">
        <v>2140</v>
      </c>
      <c r="B12" s="3086">
        <v>15</v>
      </c>
      <c r="C12" s="3190"/>
      <c r="D12" s="3178"/>
      <c r="E12" s="140" t="s">
        <v>2141</v>
      </c>
      <c r="F12" s="2431"/>
      <c r="G12" s="2431"/>
      <c r="H12" s="2431"/>
      <c r="I12" s="1831"/>
    </row>
    <row r="13" spans="1:12" ht="12.75">
      <c r="A13" s="3160"/>
      <c r="B13" s="3086"/>
      <c r="C13" s="3191"/>
      <c r="D13" s="3178"/>
      <c r="E13" s="140" t="s">
        <v>2142</v>
      </c>
      <c r="F13" s="2431"/>
      <c r="G13" s="2431"/>
      <c r="H13" s="2431"/>
      <c r="I13" s="1831"/>
    </row>
    <row r="14" spans="1:12" ht="12.75">
      <c r="A14" s="3160" t="s">
        <v>2143</v>
      </c>
      <c r="B14" s="3086">
        <v>30</v>
      </c>
      <c r="C14" s="3190">
        <v>5</v>
      </c>
      <c r="D14" s="3178">
        <v>5</v>
      </c>
      <c r="E14" s="140" t="s">
        <v>2144</v>
      </c>
      <c r="F14" s="2431"/>
      <c r="G14" s="2431"/>
      <c r="H14" s="2431"/>
      <c r="I14" s="1831"/>
    </row>
    <row r="15" spans="1:12" ht="12.75">
      <c r="A15" s="3160"/>
      <c r="B15" s="3086"/>
      <c r="C15" s="3192"/>
      <c r="D15" s="3178"/>
      <c r="E15" s="140" t="s">
        <v>2145</v>
      </c>
      <c r="F15" s="2431"/>
      <c r="G15" s="2431"/>
      <c r="H15" s="2431"/>
      <c r="I15" s="1831"/>
    </row>
    <row r="16" spans="1:12" ht="12.75">
      <c r="A16" s="3160"/>
      <c r="B16" s="3086"/>
      <c r="C16" s="3191"/>
      <c r="D16" s="3178"/>
      <c r="E16" s="140" t="s">
        <v>2146</v>
      </c>
      <c r="F16" s="2431"/>
      <c r="G16" s="2431"/>
      <c r="H16" s="2431"/>
      <c r="I16" s="1831"/>
    </row>
    <row r="17" spans="1:35" ht="15">
      <c r="A17" s="2432" t="s">
        <v>2147</v>
      </c>
      <c r="B17" s="64"/>
      <c r="C17" s="141">
        <f>SUM(C5:C16)</f>
        <v>5</v>
      </c>
      <c r="D17" s="141">
        <f>SUM(D5:D16)</f>
        <v>5</v>
      </c>
      <c r="E17" s="138"/>
      <c r="F17" s="138"/>
      <c r="G17" s="138"/>
      <c r="H17" s="138"/>
      <c r="I17" s="138"/>
      <c r="K17" s="2430"/>
      <c r="L17" s="2433" t="s">
        <v>2148</v>
      </c>
      <c r="M17" s="2433" t="s">
        <v>2149</v>
      </c>
    </row>
    <row r="18" spans="1:35" ht="15.75" thickBot="1">
      <c r="A18" s="2434" t="s">
        <v>2150</v>
      </c>
      <c r="B18" s="2435"/>
      <c r="C18" s="142">
        <f>ROUND(C17/SUM(C17:D17),2)</f>
        <v>0.5</v>
      </c>
      <c r="D18" s="142">
        <f>1-C18</f>
        <v>0.5</v>
      </c>
      <c r="E18" s="138"/>
      <c r="F18" s="138"/>
      <c r="G18" s="138"/>
      <c r="H18" s="138"/>
      <c r="I18" s="138"/>
      <c r="K18" s="2430" t="s">
        <v>2151</v>
      </c>
      <c r="L18" s="2430">
        <f>IF(C1="",'数据-汇总表'!E3,SUMIF(项目类型,C1,'数据-汇总表'!E17:E26)+SUMIF(项目类型,C1,'数据-汇总表'!I17:I26))</f>
        <v>123122.34</v>
      </c>
      <c r="M18" s="2430">
        <f>IF(C1="",'数据-汇总表'!E3,SUMIF(项目类型,C1,'数据-汇总表'!E17:E26))</f>
        <v>123122.34</v>
      </c>
    </row>
    <row r="19" spans="1:35" ht="15">
      <c r="A19" s="2436" t="s">
        <v>2152</v>
      </c>
      <c r="B19" s="2437" t="s">
        <v>2153</v>
      </c>
      <c r="C19" s="143">
        <f ca="1">SUMIF(INDIRECT("'"&amp;C4&amp;"'"&amp;"!A:A"),结果表!B19,INDIRECT("'"&amp;C4&amp;"'"&amp;"!B:B"))</f>
        <v>41313</v>
      </c>
      <c r="D19" s="144">
        <f ca="1">SUMIF(INDIRECT("'"&amp;D4&amp;"'"&amp;"!A:A"),结果表!B19,INDIRECT("'"&amp;D4&amp;"'"&amp;"!B:B"))</f>
        <v>57390</v>
      </c>
      <c r="E19" s="2436" t="s">
        <v>2154</v>
      </c>
      <c r="F19" s="2437" t="s">
        <v>2153</v>
      </c>
      <c r="G19" s="145">
        <f ca="1">ROUND(C19*$C$18+D19*$D$18,0)</f>
        <v>49352</v>
      </c>
      <c r="H19" s="2438" t="s">
        <v>2155</v>
      </c>
      <c r="I19" s="138"/>
      <c r="K19" s="2430" t="s">
        <v>2156</v>
      </c>
      <c r="L19" s="2430">
        <f>IF(C1="",'数据-汇总表'!D3,SUMIF(项目类型,C1,'数据-汇总表'!D17:D26)+SUMIF(项目类型,C1,'数据-汇总表'!H17:H27))</f>
        <v>42459.8</v>
      </c>
      <c r="M19" s="2430">
        <f>IF(C1="",'数据-汇总表'!D3,SUMIF(项目类型,C1,'数据-汇总表'!D17:D26))</f>
        <v>42459.8</v>
      </c>
    </row>
    <row r="20" spans="1:35" ht="15">
      <c r="A20" s="2439"/>
      <c r="B20" s="1247" t="s">
        <v>2157</v>
      </c>
      <c r="C20" s="146">
        <f ca="1">SUMIF(INDIRECT("'"&amp;C4&amp;"'"&amp;"!A:A"),结果表!B20,INDIRECT("'"&amp;C4&amp;"'"&amp;"!B:B"))</f>
        <v>5165</v>
      </c>
      <c r="D20" s="147">
        <f ca="1">SUMIF(INDIRECT("'"&amp;D4&amp;"'"&amp;"!A:A"),结果表!B20,INDIRECT("'"&amp;D4&amp;"'"&amp;"!B:B"))</f>
        <v>4661</v>
      </c>
      <c r="E20" s="2439"/>
      <c r="F20" s="1247" t="s">
        <v>2157</v>
      </c>
      <c r="G20" s="148">
        <f ca="1">ROUND(C20*$C$18+D20*$D$18,0)</f>
        <v>4913</v>
      </c>
      <c r="H20" s="980" t="s">
        <v>2158</v>
      </c>
      <c r="I20" s="138"/>
    </row>
    <row r="21" spans="1:35" ht="15" customHeight="1" thickBot="1">
      <c r="A21" s="1000"/>
      <c r="B21" s="2440" t="s">
        <v>2159</v>
      </c>
      <c r="C21" s="789">
        <f ca="1">ROUND(C19*10000/L19,0)</f>
        <v>9730</v>
      </c>
      <c r="D21" s="790">
        <f ca="1">ROUND(D19*10000/L19,0)</f>
        <v>13516</v>
      </c>
      <c r="E21" s="1000"/>
      <c r="F21" s="2440" t="s">
        <v>2159</v>
      </c>
      <c r="G21" s="149">
        <f ca="1">ROUND(G19*10000/L19,0)</f>
        <v>11623</v>
      </c>
      <c r="H21" s="2441" t="s">
        <v>2158</v>
      </c>
      <c r="I21" s="138"/>
    </row>
    <row r="22" spans="1:35" ht="15" thickBot="1">
      <c r="A22" s="2282" t="s">
        <v>2160</v>
      </c>
      <c r="B22" s="2442"/>
      <c r="C22" s="2443"/>
      <c r="D22" s="791">
        <f ca="1">IF(C19&lt;D19,D19/C19-1,C19/D19-1)</f>
        <v>0.38915111466124475</v>
      </c>
      <c r="E22" s="138"/>
      <c r="F22" s="138"/>
      <c r="G22" s="138"/>
      <c r="H22" s="138"/>
      <c r="I22" s="138"/>
    </row>
    <row r="23" spans="1:35" ht="13.5" thickBot="1">
      <c r="A23" s="2420"/>
      <c r="B23" s="2420"/>
      <c r="C23" s="2420"/>
      <c r="D23" s="2420"/>
      <c r="E23" s="138"/>
      <c r="F23" s="138"/>
      <c r="G23" s="138"/>
      <c r="H23" s="138"/>
      <c r="I23" s="138"/>
    </row>
    <row r="24" spans="1:35" ht="14.25">
      <c r="A24" s="3199" t="s">
        <v>2161</v>
      </c>
      <c r="B24" s="2437" t="s">
        <v>2153</v>
      </c>
      <c r="C24" s="145">
        <f>IF(B30=0,0,D30)</f>
        <v>0</v>
      </c>
      <c r="D24" s="2444"/>
      <c r="E24" s="138"/>
      <c r="F24" s="138"/>
      <c r="G24" s="138"/>
      <c r="H24" s="138"/>
      <c r="I24" s="138"/>
    </row>
    <row r="25" spans="1:35" ht="14.25">
      <c r="A25" s="3200"/>
      <c r="B25" s="1247" t="s">
        <v>2157</v>
      </c>
      <c r="C25" s="150">
        <f>IF(B30=0,0,C30)</f>
        <v>0</v>
      </c>
      <c r="D25" s="2445"/>
      <c r="E25" s="138"/>
      <c r="F25" s="138"/>
      <c r="G25" s="138"/>
      <c r="H25" s="138"/>
      <c r="I25" s="138"/>
    </row>
    <row r="26" spans="1:35" ht="13.5" customHeight="1">
      <c r="A26" s="2446" t="s">
        <v>2162</v>
      </c>
      <c r="B26" s="151" t="s">
        <v>2163</v>
      </c>
      <c r="C26" s="151" t="s">
        <v>2164</v>
      </c>
      <c r="D26" s="152" t="s">
        <v>2165</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2166</v>
      </c>
      <c r="B30" s="151"/>
      <c r="C30" s="151"/>
      <c r="D30" s="151"/>
      <c r="E30" s="2929" t="s">
        <v>3042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2167</v>
      </c>
      <c r="B32" s="2450"/>
      <c r="C32" s="153">
        <f ca="1">IF(D32="总价",G19-C24,G20-C25)</f>
        <v>49352</v>
      </c>
      <c r="D32" s="2451" t="s">
        <v>2168</v>
      </c>
      <c r="E32" s="138"/>
      <c r="F32" s="138"/>
      <c r="G32" s="138"/>
      <c r="H32" s="138"/>
      <c r="I32" s="138"/>
    </row>
    <row r="33" spans="1:15" ht="15">
      <c r="A33" s="957" t="s">
        <v>2169</v>
      </c>
      <c r="B33" s="2452"/>
      <c r="C33" s="2453" t="s">
        <v>3328</v>
      </c>
      <c r="D33" s="2454" t="s">
        <v>3059</v>
      </c>
      <c r="E33" s="2455" t="s">
        <v>2170</v>
      </c>
      <c r="F33" s="2456" t="str">
        <f>IF(D32="楼面单价","取值（单价）","取值（总价）")</f>
        <v>取值（总价）</v>
      </c>
      <c r="G33" s="138"/>
      <c r="H33" s="138"/>
      <c r="I33" s="138"/>
    </row>
    <row r="34" spans="1:15" ht="15">
      <c r="A34" s="2457"/>
      <c r="B34" s="2458" t="s">
        <v>2171</v>
      </c>
      <c r="C34" s="157">
        <f ca="1">IF(C33="自定义",F34,C32-C35)</f>
        <v>39235</v>
      </c>
      <c r="D34" s="1055">
        <f ca="1">IF(C33="自定义",ROUND(C34/C32,3),IF(C33="收益比率",SUMIF(INDIRECT("'"&amp;D33&amp;"'"&amp;"!b:b"),"土地收益比率",INDIRECT("'"&amp;D33&amp;"'"&amp;"!c:c")),SUMIF(INDIRECT("'"&amp;D33&amp;"'"&amp;"!b:b"),"土地成本比率",INDIRECT("'"&amp;D33&amp;"'"&amp;"!c:c"))))</f>
        <v>0.79500000000000004</v>
      </c>
      <c r="E34" s="2459" t="s">
        <v>2172</v>
      </c>
      <c r="F34" s="1736"/>
      <c r="G34" s="138"/>
      <c r="H34" s="138"/>
      <c r="I34" s="138"/>
    </row>
    <row r="35" spans="1:15" ht="15.75" thickBot="1">
      <c r="A35" s="2460"/>
      <c r="B35" s="2461" t="s">
        <v>2173</v>
      </c>
      <c r="C35" s="1441">
        <f ca="1">IF(C33="自定义",F35,ROUND(C32*D35,0))</f>
        <v>10117</v>
      </c>
      <c r="D35" s="1442">
        <f ca="1">IF(C33="自定义",ROUND(C35/C32,3),IF(C33="收益比率",SUMIF(INDIRECT("'"&amp;D33&amp;"'"&amp;"!b:b"),"建筑物收益比率",INDIRECT("'"&amp;D33&amp;"'"&amp;"!c:c")),SUMIF(INDIRECT("'"&amp;D33&amp;"'"&amp;"!b:b"),"建筑物成本比率",INDIRECT("'"&amp;D33&amp;"'"&amp;"!c:c"))))</f>
        <v>0.20499999999999999</v>
      </c>
      <c r="E35" s="2462" t="s">
        <v>2174</v>
      </c>
      <c r="F35" s="163"/>
      <c r="G35" s="138"/>
      <c r="H35" s="138"/>
      <c r="I35" s="138"/>
    </row>
    <row r="36" spans="1:15" ht="15.75" thickBot="1">
      <c r="A36" s="3179" t="s">
        <v>2175</v>
      </c>
      <c r="B36" s="2463" t="s">
        <v>2176</v>
      </c>
      <c r="C36" s="154"/>
      <c r="D36" s="2464"/>
      <c r="E36" s="2465"/>
      <c r="F36" s="2466"/>
      <c r="G36" s="138"/>
      <c r="H36" s="138"/>
      <c r="I36" s="138"/>
    </row>
    <row r="37" spans="1:15" ht="15.75" thickBot="1">
      <c r="A37" s="3180"/>
      <c r="B37" s="2268" t="s">
        <v>2177</v>
      </c>
      <c r="C37" s="156"/>
      <c r="D37" s="1392"/>
      <c r="E37" s="1392"/>
      <c r="F37" s="2466"/>
      <c r="G37" s="138"/>
      <c r="H37" s="138"/>
      <c r="I37" s="138"/>
    </row>
    <row r="38" spans="1:15" ht="15.75" thickBot="1">
      <c r="A38" s="3181"/>
      <c r="B38" s="2467" t="s">
        <v>2178</v>
      </c>
      <c r="C38" s="727"/>
      <c r="D38" s="2468" t="s">
        <v>2179</v>
      </c>
      <c r="E38" s="1392"/>
      <c r="F38" s="2466"/>
      <c r="G38" s="138"/>
      <c r="H38" s="138"/>
      <c r="I38" s="138"/>
    </row>
    <row r="39" spans="1:15" ht="15">
      <c r="A39" s="2439" t="s">
        <v>2180</v>
      </c>
      <c r="B39" s="2469" t="s">
        <v>2181</v>
      </c>
      <c r="C39" s="2470" t="s">
        <v>2182</v>
      </c>
      <c r="D39" s="2470" t="s">
        <v>2183</v>
      </c>
      <c r="E39" s="2471" t="s">
        <v>2184</v>
      </c>
      <c r="F39" s="2466"/>
      <c r="G39" s="138"/>
      <c r="H39" s="138"/>
      <c r="I39" s="138"/>
    </row>
    <row r="40" spans="1:15" ht="14.25">
      <c r="A40" s="2472" t="s">
        <v>2185</v>
      </c>
      <c r="B40" s="158"/>
      <c r="C40" s="159"/>
      <c r="D40" s="159"/>
      <c r="E40" s="160"/>
      <c r="F40" s="2466"/>
      <c r="G40" s="138"/>
      <c r="H40" s="138"/>
      <c r="I40" s="138"/>
    </row>
    <row r="41" spans="1:15" ht="14.25">
      <c r="A41" s="2472" t="s">
        <v>2186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2187</v>
      </c>
      <c r="B44" s="2477"/>
      <c r="C44" s="2477"/>
      <c r="D44" s="2478"/>
      <c r="E44" s="2478"/>
      <c r="F44" s="2479"/>
      <c r="G44" s="2479"/>
      <c r="H44" s="2479"/>
      <c r="I44" s="2479"/>
      <c r="J44" s="2480" t="s">
        <v>2188</v>
      </c>
      <c r="K44" s="2481"/>
      <c r="L44" s="2481"/>
      <c r="M44" s="2481"/>
      <c r="N44" s="2481"/>
      <c r="O44" s="2481"/>
    </row>
    <row r="45" spans="1:15" ht="14.25" customHeight="1" thickBot="1">
      <c r="A45" s="3196" t="s">
        <v>2189</v>
      </c>
      <c r="B45" s="3197"/>
      <c r="C45" s="3198"/>
      <c r="D45" s="164">
        <f ca="1">ROUND(H101*F45,0)</f>
        <v>49352</v>
      </c>
      <c r="E45" s="165" t="s">
        <v>2190</v>
      </c>
      <c r="F45" s="166">
        <v>1</v>
      </c>
      <c r="G45" s="167" t="s">
        <v>2191</v>
      </c>
      <c r="H45" s="138"/>
      <c r="I45" s="138"/>
      <c r="J45" s="3115" t="s">
        <v>2192</v>
      </c>
      <c r="K45" s="3115"/>
      <c r="L45" s="3115"/>
      <c r="M45" s="3115"/>
      <c r="N45" s="3115"/>
      <c r="O45" s="3115"/>
    </row>
    <row r="46" spans="1:15" ht="14.25" customHeight="1">
      <c r="A46" s="3193" t="s">
        <v>2193</v>
      </c>
      <c r="B46" s="3194"/>
      <c r="C46" s="3194"/>
      <c r="D46" s="3194"/>
      <c r="E46" s="3194"/>
      <c r="F46" s="3194"/>
      <c r="G46" s="3195"/>
      <c r="H46" s="2482"/>
      <c r="I46" s="168"/>
      <c r="J46" s="1809">
        <v>1</v>
      </c>
      <c r="K46" s="3115" t="s">
        <v>2194</v>
      </c>
      <c r="L46" s="3115"/>
      <c r="M46" s="3116"/>
      <c r="N46" s="3116"/>
      <c r="O46" s="3116"/>
    </row>
    <row r="47" spans="1:15" ht="12" customHeight="1">
      <c r="A47" s="169" t="s">
        <v>2195</v>
      </c>
      <c r="B47" s="170"/>
      <c r="C47" s="171"/>
      <c r="D47" s="172" t="s">
        <v>2196</v>
      </c>
      <c r="E47" s="24" t="s">
        <v>2197</v>
      </c>
      <c r="F47" s="173" t="s">
        <v>2198</v>
      </c>
      <c r="G47" s="174" t="s">
        <v>2199</v>
      </c>
      <c r="H47" s="2482"/>
      <c r="I47" s="168"/>
      <c r="J47" s="1809">
        <v>2</v>
      </c>
      <c r="K47" s="3115" t="s">
        <v>2200</v>
      </c>
      <c r="L47" s="3115"/>
      <c r="M47" s="3117">
        <f>'数据-取费表'!B2</f>
        <v>43488</v>
      </c>
      <c r="N47" s="3117"/>
      <c r="O47" s="3117"/>
    </row>
    <row r="48" spans="1:15" ht="25.5">
      <c r="A48" s="3183" t="s">
        <v>2201</v>
      </c>
      <c r="B48" s="3184"/>
      <c r="C48" s="3184"/>
      <c r="D48" s="140">
        <f>IF(H48="情况1",0,IF(H48="情况2",D52,IF(H48="情况3",D53,IF(H48="情况4",D54))))</f>
        <v>0</v>
      </c>
      <c r="E48" s="1798" t="str">
        <f>IF(H48="情况4","(销售额-原购置价)×税（费）率","销售额×税（费）率")</f>
        <v>销售额×税（费）率</v>
      </c>
      <c r="F48" s="175" t="str">
        <f>IF(H48="情况1","免征",'数据-取费表'!B41)</f>
        <v>免征</v>
      </c>
      <c r="G48" s="2483" t="s">
        <v>2202</v>
      </c>
      <c r="H48" s="2484" t="s">
        <v>2203</v>
      </c>
      <c r="I48" s="2482"/>
      <c r="J48" s="1809">
        <v>3</v>
      </c>
      <c r="K48" s="3115" t="s">
        <v>2204</v>
      </c>
      <c r="L48" s="3115"/>
      <c r="M48" s="3118">
        <f ca="1">H101</f>
        <v>49352</v>
      </c>
      <c r="N48" s="3118"/>
      <c r="O48" s="3118"/>
    </row>
    <row r="49" spans="1:35" ht="25.5" customHeight="1">
      <c r="A49" s="176" t="s">
        <v>2205</v>
      </c>
      <c r="B49" s="3163" t="s">
        <v>2206</v>
      </c>
      <c r="C49" s="3163"/>
      <c r="D49" s="177">
        <v>0</v>
      </c>
      <c r="E49" s="23" t="s">
        <v>2207</v>
      </c>
      <c r="F49" s="28" t="s">
        <v>34</v>
      </c>
      <c r="G49" s="3144"/>
      <c r="H49" s="138"/>
      <c r="I49" s="2485"/>
      <c r="J49" s="1809">
        <v>4</v>
      </c>
      <c r="K49" s="3115" t="str">
        <f>IF(项目基本情况!E8="房地产抵押价值","房地产抵押价值","抵押担保权已注销时的房地产抵押价值")</f>
        <v>房地产抵押价值</v>
      </c>
      <c r="L49" s="3115"/>
      <c r="M49" s="3118">
        <f ca="1">IF(项目基本情况!E8="房地产抵押价值",H107,H109)</f>
        <v>49352</v>
      </c>
      <c r="N49" s="3118"/>
      <c r="O49" s="3118"/>
    </row>
    <row r="50" spans="1:35" ht="25.5" customHeight="1">
      <c r="A50" s="178"/>
      <c r="B50" s="3163" t="s">
        <v>2208</v>
      </c>
      <c r="C50" s="3163"/>
      <c r="D50" s="179"/>
      <c r="E50" s="31"/>
      <c r="F50" s="180"/>
      <c r="G50" s="3145"/>
      <c r="H50" s="138"/>
      <c r="I50" s="2485"/>
      <c r="J50" s="3115" t="s">
        <v>2209</v>
      </c>
      <c r="K50" s="3115"/>
      <c r="L50" s="3115"/>
      <c r="M50" s="3115"/>
      <c r="N50" s="3115"/>
      <c r="O50" s="3115"/>
    </row>
    <row r="51" spans="1:35" ht="12" customHeight="1">
      <c r="A51" s="181"/>
      <c r="B51" s="3163" t="s">
        <v>2210</v>
      </c>
      <c r="C51" s="3163"/>
      <c r="D51" s="182"/>
      <c r="E51" s="30"/>
      <c r="F51" s="180"/>
      <c r="G51" s="3146"/>
      <c r="H51" s="138"/>
      <c r="I51" s="2485"/>
      <c r="J51" s="2486" t="s">
        <v>2211</v>
      </c>
      <c r="K51" s="3115" t="s">
        <v>2212</v>
      </c>
      <c r="L51" s="3115"/>
      <c r="M51" s="2486" t="s">
        <v>2213</v>
      </c>
      <c r="N51" s="2486" t="s">
        <v>2214</v>
      </c>
      <c r="O51" s="2486" t="s">
        <v>2215</v>
      </c>
    </row>
    <row r="52" spans="1:35" ht="24" customHeight="1">
      <c r="A52" s="183" t="s">
        <v>2216</v>
      </c>
      <c r="B52" s="3163" t="s">
        <v>2217</v>
      </c>
      <c r="C52" s="3163"/>
      <c r="D52" s="182">
        <f ca="1">ROUND(D45*'数据-取费表'!B41/(1+'数据-取费表'!C42),0)</f>
        <v>2585</v>
      </c>
      <c r="E52" s="11" t="s">
        <v>2218</v>
      </c>
      <c r="F52" s="184">
        <f>'数据-取费表'!B41</f>
        <v>5.5000000000000007E-2</v>
      </c>
      <c r="G52" s="2487"/>
      <c r="H52" s="138"/>
      <c r="I52" s="2485"/>
      <c r="J52" s="1809">
        <v>1</v>
      </c>
      <c r="K52" s="3138" t="s">
        <v>2219</v>
      </c>
      <c r="L52" s="3138"/>
      <c r="M52" s="1751">
        <f>D48</f>
        <v>0</v>
      </c>
      <c r="N52" s="1809" t="str">
        <f>E48</f>
        <v>销售额×税（费）率</v>
      </c>
      <c r="O52" s="1752" t="str">
        <f>F48</f>
        <v>免征</v>
      </c>
    </row>
    <row r="53" spans="1:35" ht="12" customHeight="1">
      <c r="A53" s="183" t="s">
        <v>2220</v>
      </c>
      <c r="B53" s="3164" t="s">
        <v>2221</v>
      </c>
      <c r="C53" s="3165"/>
      <c r="D53" s="182">
        <f ca="1">ROUND(D45*'数据-取费表'!B41/(1+'数据-取费表'!C42),0)</f>
        <v>2585</v>
      </c>
      <c r="E53" s="11" t="s">
        <v>2218</v>
      </c>
      <c r="F53" s="184">
        <f>'数据-取费表'!B41</f>
        <v>5.5000000000000007E-2</v>
      </c>
      <c r="G53" s="2487"/>
      <c r="H53" s="138"/>
      <c r="I53" s="2485"/>
      <c r="J53" s="1809">
        <v>2</v>
      </c>
      <c r="K53" s="3138" t="s">
        <v>2222</v>
      </c>
      <c r="L53" s="3138"/>
      <c r="M53" s="1751">
        <f t="shared" ref="M53:O54" ca="1" si="0">D55</f>
        <v>25</v>
      </c>
      <c r="N53" s="1809" t="str">
        <f t="shared" si="0"/>
        <v>销售额×税（费）率</v>
      </c>
      <c r="O53" s="1752">
        <f t="shared" si="0"/>
        <v>5.0000000000000001E-4</v>
      </c>
    </row>
    <row r="54" spans="1:35" ht="12" customHeight="1">
      <c r="A54" s="183" t="s">
        <v>2223</v>
      </c>
      <c r="B54" s="3164" t="s">
        <v>2224</v>
      </c>
      <c r="C54" s="3165"/>
      <c r="D54" s="182">
        <f ca="1">C68</f>
        <v>2585</v>
      </c>
      <c r="E54" s="30" t="s">
        <v>2225</v>
      </c>
      <c r="F54" s="184">
        <f>'数据-取费表'!B41</f>
        <v>5.5000000000000007E-2</v>
      </c>
      <c r="G54" s="2487"/>
      <c r="H54" s="2488"/>
      <c r="I54" s="2485"/>
      <c r="J54" s="1809">
        <v>3</v>
      </c>
      <c r="K54" s="3138" t="s">
        <v>2226</v>
      </c>
      <c r="L54" s="3138"/>
      <c r="M54" s="1751">
        <f t="shared" ca="1" si="0"/>
        <v>27978</v>
      </c>
      <c r="N54" s="1809" t="str">
        <f t="shared" si="0"/>
        <v>增值额×税（费）率</v>
      </c>
      <c r="O54" s="1753" t="str">
        <f t="shared" si="0"/>
        <v>——</v>
      </c>
    </row>
    <row r="55" spans="1:35" ht="24" customHeight="1">
      <c r="A55" s="3202" t="s">
        <v>2227</v>
      </c>
      <c r="B55" s="3184"/>
      <c r="C55" s="3184"/>
      <c r="D55" s="185">
        <f ca="1">IF(H55="个人住宅",0,ROUND(D45*I55,0))</f>
        <v>25</v>
      </c>
      <c r="E55" s="11" t="s">
        <v>2228</v>
      </c>
      <c r="F55" s="184">
        <f>IF(H55="正常",I55,"免征")</f>
        <v>5.0000000000000001E-4</v>
      </c>
      <c r="G55" s="2487"/>
      <c r="H55" s="2484" t="s">
        <v>2229</v>
      </c>
      <c r="I55" s="186">
        <f>'数据-取费表'!B49</f>
        <v>5.0000000000000001E-4</v>
      </c>
      <c r="J55" s="1809" t="str">
        <f>IF(H59="非个人房产","",4)</f>
        <v/>
      </c>
      <c r="K55" s="3138" t="str">
        <f>IF(H59="非个人房产","——","个人所得税")</f>
        <v>——</v>
      </c>
      <c r="L55" s="3138"/>
      <c r="M55" s="1754" t="str">
        <f>D59</f>
        <v>——</v>
      </c>
      <c r="N55" s="1807" t="str">
        <f>E59</f>
        <v>——</v>
      </c>
      <c r="O55" s="1755" t="str">
        <f>F59</f>
        <v>——</v>
      </c>
    </row>
    <row r="56" spans="1:35" ht="24.75">
      <c r="A56" s="3202" t="s">
        <v>2230</v>
      </c>
      <c r="B56" s="3184"/>
      <c r="C56" s="3184"/>
      <c r="D56" s="185">
        <f ca="1">IF(H56="个人住宅",D57,D58)</f>
        <v>27978</v>
      </c>
      <c r="E56" s="11" t="s">
        <v>2231</v>
      </c>
      <c r="F56" s="184" t="str">
        <f>IF(H56="正常",F58,"免征")</f>
        <v>——</v>
      </c>
      <c r="G56" s="2489" t="s">
        <v>2232</v>
      </c>
      <c r="H56" s="2490" t="s">
        <v>2229</v>
      </c>
      <c r="I56" s="2491"/>
      <c r="J56" s="1809" t="str">
        <f>IF(项目基本情况!K6="上海银行",IF(J55="",4,J55+1),"")</f>
        <v/>
      </c>
      <c r="K56" s="3121" t="str">
        <f>IF(项目基本情况!K6="上海银行","其他处置费用","")</f>
        <v/>
      </c>
      <c r="L56" s="3122"/>
      <c r="M56" s="1751" t="str">
        <f>IF(项目基本情况!K6="上海银行",M69,"")</f>
        <v/>
      </c>
      <c r="N56" s="3124" t="str">
        <f>IF(项目基本情况!K6="上海银行","包含处置中涉及的律师、诉讼、拍卖、评估等费用","")</f>
        <v/>
      </c>
      <c r="O56" s="3125"/>
    </row>
    <row r="57" spans="1:35" ht="12.75">
      <c r="A57" s="183" t="s">
        <v>2205</v>
      </c>
      <c r="B57" s="3169" t="s">
        <v>2233</v>
      </c>
      <c r="C57" s="3170"/>
      <c r="D57" s="187">
        <v>0</v>
      </c>
      <c r="E57" s="23" t="s">
        <v>2207</v>
      </c>
      <c r="F57" s="155"/>
      <c r="G57" s="2487"/>
      <c r="H57" s="2491"/>
      <c r="I57" s="2491"/>
      <c r="J57" s="3138">
        <f>IF(AND(J55="",J56=""),4,IF(项目基本情况!K6="上海银行",结果表!J56+1,结果表!J55+1))</f>
        <v>4</v>
      </c>
      <c r="K57" s="3138" t="s">
        <v>2234</v>
      </c>
      <c r="L57" s="2492" t="s">
        <v>2235</v>
      </c>
      <c r="M57" s="1756"/>
      <c r="N57" s="1757">
        <f ca="1">SUMIF(M52:M56,"&lt;9e307")</f>
        <v>28003</v>
      </c>
      <c r="O57" s="2493"/>
      <c r="P57" s="1750">
        <f ca="1">N57/M49</f>
        <v>0.56741368130977465</v>
      </c>
    </row>
    <row r="58" spans="1:35" ht="24.75">
      <c r="A58" s="183" t="s">
        <v>2216</v>
      </c>
      <c r="B58" s="3169" t="s">
        <v>2236</v>
      </c>
      <c r="C58" s="3182"/>
      <c r="D58" s="185">
        <f ca="1">IF(H58="转让取得",C81,C97)</f>
        <v>27978</v>
      </c>
      <c r="E58" s="11" t="s">
        <v>2231</v>
      </c>
      <c r="F58" s="24" t="s">
        <v>34</v>
      </c>
      <c r="G58" s="2487"/>
      <c r="H58" s="2490" t="s">
        <v>2237</v>
      </c>
      <c r="I58" s="2491"/>
      <c r="J58" s="3138"/>
      <c r="K58" s="3138"/>
      <c r="L58" s="2492" t="s">
        <v>2238</v>
      </c>
      <c r="M58" s="1758"/>
      <c r="N58" s="2494" t="str">
        <f ca="1">NUMBERSTRING(INT(N57*10000),2)&amp;"元整"</f>
        <v>贰亿捌仟零叁万元整</v>
      </c>
      <c r="O58" s="2495"/>
    </row>
    <row r="59" spans="1:35" ht="24.75" thickBot="1">
      <c r="A59" s="3142" t="s">
        <v>2239</v>
      </c>
      <c r="B59" s="3143"/>
      <c r="C59" s="3143"/>
      <c r="D59" s="188" t="str">
        <f>IF(H59="非个人房产","——",IF(H59="个人住宅",0,ROUND(D45*I59,0)))</f>
        <v>——</v>
      </c>
      <c r="E59" s="189" t="str">
        <f>IF(H59="非个人房产","——","销售额×税（费）率")</f>
        <v>——</v>
      </c>
      <c r="F59" s="190" t="str">
        <f>IF(H59="非个人房产","——",IF(H59="个人住宅","免征",I59))</f>
        <v>——</v>
      </c>
      <c r="G59" s="2496" t="s">
        <v>2232</v>
      </c>
      <c r="H59" s="2490" t="s">
        <v>2240</v>
      </c>
      <c r="I59" s="191">
        <v>0.01</v>
      </c>
      <c r="J59" s="3140">
        <f>J57+1</f>
        <v>5</v>
      </c>
      <c r="K59" s="3138" t="s">
        <v>2241</v>
      </c>
      <c r="L59" s="1809" t="s">
        <v>2235</v>
      </c>
      <c r="M59" s="1759"/>
      <c r="N59" s="1760">
        <f ca="1">M49-N57</f>
        <v>21349</v>
      </c>
      <c r="O59" s="2497"/>
    </row>
    <row r="60" spans="1:35" ht="12" customHeight="1">
      <c r="A60" s="2498"/>
      <c r="B60" s="2420"/>
      <c r="C60" s="2420"/>
      <c r="D60" s="2420"/>
      <c r="E60" s="2167"/>
      <c r="F60" s="2491"/>
      <c r="G60" s="2491"/>
      <c r="H60" s="2499"/>
      <c r="I60" s="138"/>
      <c r="J60" s="3141"/>
      <c r="K60" s="3138"/>
      <c r="L60" s="2492" t="s">
        <v>2238</v>
      </c>
      <c r="M60" s="1758"/>
      <c r="N60" s="2494" t="str">
        <f ca="1">NUMBERSTRING(INT(N59*10000),2)&amp;"元整"</f>
        <v>贰亿壹仟叁佰肆拾玖万元整</v>
      </c>
      <c r="O60" s="2495"/>
    </row>
    <row r="61" spans="1:35" ht="13.5" thickBot="1">
      <c r="A61" s="3201" t="s">
        <v>2242</v>
      </c>
      <c r="B61" s="3201"/>
      <c r="C61" s="3201"/>
      <c r="D61" s="3201"/>
      <c r="E61" s="3201"/>
      <c r="F61" s="2491"/>
      <c r="G61" s="2491"/>
      <c r="H61" s="2499"/>
      <c r="I61" s="138"/>
      <c r="J61" s="1809">
        <f>J59+1</f>
        <v>6</v>
      </c>
      <c r="K61" s="3138" t="s">
        <v>2243</v>
      </c>
      <c r="L61" s="3138"/>
      <c r="M61" s="1761"/>
      <c r="N61" s="1762">
        <f ca="1">ROUND(N59*10000/'数据-汇总表'!E3,0)</f>
        <v>1734</v>
      </c>
      <c r="O61" s="2500"/>
    </row>
    <row r="62" spans="1:35" ht="12.75">
      <c r="A62" s="3158" t="s">
        <v>2244</v>
      </c>
      <c r="B62" s="3159"/>
      <c r="C62" s="1801"/>
      <c r="D62" s="1801" t="s">
        <v>2245</v>
      </c>
      <c r="E62" s="192" t="s">
        <v>2246</v>
      </c>
      <c r="F62" s="2491"/>
      <c r="G62" s="2491"/>
      <c r="H62" s="2499"/>
      <c r="I62" s="138"/>
    </row>
    <row r="63" spans="1:35" ht="12.75">
      <c r="A63" s="203" t="s">
        <v>775</v>
      </c>
      <c r="B63" s="193" t="s">
        <v>2247</v>
      </c>
      <c r="C63" s="194">
        <f ca="1">ROUND((C64+C65)/(1+'数据-取费表'!C42),0)</f>
        <v>47002</v>
      </c>
      <c r="D63" s="195"/>
      <c r="E63" s="196"/>
      <c r="F63" s="2491"/>
      <c r="G63" s="2491"/>
      <c r="H63" s="2499"/>
      <c r="I63" s="138"/>
      <c r="J63" s="3123" t="s">
        <v>2248</v>
      </c>
      <c r="K63" s="2501" t="s">
        <v>2249</v>
      </c>
      <c r="L63" s="1749">
        <f ca="1">IF(M49&gt;10000,M49*0.5%,IF(AND(M49&gt;1000,M49&lt;=10000),M49*1%,IF(AND(M49&gt;100,M49&lt;=1000),M49*3%,IF(AND(M49&gt;10,M49&lt;=100),M49*5%,M49*8%))))</f>
        <v>246.76000000000002</v>
      </c>
      <c r="M63" s="24">
        <f ca="1">ROUND(L63,1)</f>
        <v>246.8</v>
      </c>
      <c r="Z63" s="2425"/>
      <c r="AI63" s="2426"/>
    </row>
    <row r="64" spans="1:35" ht="14.25" customHeight="1">
      <c r="A64" s="197" t="s">
        <v>770</v>
      </c>
      <c r="B64" s="198" t="s">
        <v>2250</v>
      </c>
      <c r="C64" s="199">
        <f ca="1">D45</f>
        <v>49352</v>
      </c>
      <c r="D64" s="200" t="s">
        <v>32</v>
      </c>
      <c r="E64" s="201"/>
      <c r="F64" s="2491"/>
      <c r="G64" s="2491"/>
      <c r="H64" s="2499"/>
      <c r="I64" s="138"/>
      <c r="J64" s="3123"/>
      <c r="K64" s="2501" t="s">
        <v>2251</v>
      </c>
      <c r="L64" s="1749">
        <f ca="1">IF(M49&gt;2000,M49*0.5%,IF(AND(M49&gt;1000,M49&lt;=2000),M49*0.6%,IF(AND(M49&gt;500,M49&lt;=1000),M49*0.7%,IF(AND(M49&gt;200,M49&lt;=500),M49*0.8%,IF(AND(M49&gt;100,M49&lt;=200),M49*0.9%,IF(AND(M49&gt;50,M49&lt;=100),M49*1%,IF(AND(M49&gt;20,M49&lt;=50),M49*1.5%,IF(AND(M49&gt;10,M49&lt;=20),M49*2%,IF(AND(M49&gt;1,M49&lt;=10),M49*2.5%)))))))))</f>
        <v>246.76000000000002</v>
      </c>
      <c r="M64" s="24">
        <f t="shared" ref="M64:M65" ca="1" si="1">ROUND(L64,1)</f>
        <v>246.8</v>
      </c>
      <c r="N64" s="138" t="s">
        <v>2252</v>
      </c>
      <c r="Z64" s="2425"/>
      <c r="AI64" s="2426"/>
    </row>
    <row r="65" spans="1:35" ht="14.25" customHeight="1">
      <c r="A65" s="197" t="s">
        <v>771</v>
      </c>
      <c r="B65" s="198" t="s">
        <v>2253</v>
      </c>
      <c r="C65" s="202"/>
      <c r="D65" s="200"/>
      <c r="E65" s="201"/>
      <c r="F65" s="2491"/>
      <c r="G65" s="2491"/>
      <c r="H65" s="2499"/>
      <c r="I65" s="138"/>
      <c r="J65" s="3123"/>
      <c r="K65" s="2501" t="s">
        <v>2254</v>
      </c>
      <c r="L65" s="1749">
        <f ca="1">IF(M49&gt;1000,M49*0.1%,IF(AND(M49&gt;500,M49&lt;=1000),M49*0.5%,IF(AND(M49&gt;50,M49&lt;=500),M49*1%,IF(AND(M49&gt;1,M49&lt;=50),M49*1.5%))))</f>
        <v>49.352000000000004</v>
      </c>
      <c r="M65" s="24">
        <f t="shared" ca="1" si="1"/>
        <v>49.4</v>
      </c>
      <c r="N65" s="138" t="s">
        <v>2252</v>
      </c>
      <c r="Z65" s="2425"/>
      <c r="AI65" s="2426"/>
    </row>
    <row r="66" spans="1:35" ht="14.25" customHeight="1">
      <c r="A66" s="203" t="s">
        <v>772</v>
      </c>
      <c r="B66" s="204" t="s">
        <v>2255</v>
      </c>
      <c r="C66" s="205"/>
      <c r="D66" s="206" t="s">
        <v>32</v>
      </c>
      <c r="E66" s="1773" t="s">
        <v>1371</v>
      </c>
      <c r="F66" s="2491"/>
      <c r="G66" s="2491"/>
      <c r="H66" s="2499"/>
      <c r="I66" s="138"/>
      <c r="J66" s="3123"/>
      <c r="K66" s="2501" t="s">
        <v>2256</v>
      </c>
      <c r="L66" s="1749">
        <f ca="1">M49*0.5%</f>
        <v>246.76000000000002</v>
      </c>
      <c r="M66" s="24">
        <f ca="1">IF(L66&gt;0.5,0.5,ROUND(L66,0))</f>
        <v>0.5</v>
      </c>
      <c r="N66" s="138" t="s">
        <v>2257</v>
      </c>
      <c r="Z66" s="2425"/>
      <c r="AI66" s="2426"/>
    </row>
    <row r="67" spans="1:35" ht="14.25" customHeight="1">
      <c r="A67" s="203" t="s">
        <v>773</v>
      </c>
      <c r="B67" s="204" t="s">
        <v>2258</v>
      </c>
      <c r="C67" s="207">
        <f ca="1">C63-C66</f>
        <v>47002</v>
      </c>
      <c r="D67" s="200" t="s">
        <v>32</v>
      </c>
      <c r="E67" s="201"/>
      <c r="F67" s="2491"/>
      <c r="G67" s="2491"/>
      <c r="H67" s="2499"/>
      <c r="I67" s="138"/>
      <c r="J67" s="3123"/>
      <c r="K67" s="2501" t="s">
        <v>2259</v>
      </c>
      <c r="L67" s="1749">
        <f ca="1">IF(M49&gt;=10000,(8.25+(M49-10000)*0.01%),IF(AND(M49&gt;=8000,M49&lt;10000),(7.85+(M49-8000)*0.02%),IF(AND(M49&gt;=5000,M49&lt;8000),(6.65+(M49-5000)*0.04%),IF(AND(M49&gt;=2000,M49&lt;5000),(4.25+(PM49-2000)*0.08%),IF(AND(M49&gt;=1000,M49&lt;2000),(2.75+(M49-1000)*0.15%),IF(AND(M49&gt;=100,M49&lt;1000),(0.5+(M49-100)*0.25%),IF(AND(M49&gt;0,M49&lt;100),M49*0.5%)))))))</f>
        <v>12.1852</v>
      </c>
      <c r="M67" s="24">
        <f ca="1">ROUND(L67*0.9,1)</f>
        <v>11</v>
      </c>
      <c r="Z67" s="2425"/>
      <c r="AI67" s="2426"/>
    </row>
    <row r="68" spans="1:35" ht="14.25" customHeight="1" thickBot="1">
      <c r="A68" s="208" t="s">
        <v>774</v>
      </c>
      <c r="B68" s="209" t="s">
        <v>2260</v>
      </c>
      <c r="C68" s="210">
        <f ca="1">IF(C67&lt;=0,0,ROUND(C67*D68,0))</f>
        <v>2585</v>
      </c>
      <c r="D68" s="211">
        <f>'数据-取费表'!B41</f>
        <v>5.5000000000000007E-2</v>
      </c>
      <c r="E68" s="212"/>
      <c r="F68" s="2491"/>
      <c r="G68" s="2491"/>
      <c r="H68" s="2499"/>
      <c r="I68" s="138"/>
      <c r="J68" s="3123"/>
      <c r="K68" s="2501" t="s">
        <v>2261</v>
      </c>
      <c r="L68" s="1749">
        <f ca="1">IF(M49&gt;10000,M49*0.5%,IF(AND(M49&gt;5000,M49&lt;=10000),M49*1%,IF(AND(M49&gt;1000,M49&lt;=5000),M49*2%,IF(AND(M49&gt;200,M49&lt;=1000),M49*3%,M49*5%))))</f>
        <v>246.76000000000002</v>
      </c>
      <c r="M68" s="24">
        <f ca="1">ROUND(L68,1)</f>
        <v>246.8</v>
      </c>
      <c r="Z68" s="2425"/>
      <c r="AI68" s="2426"/>
    </row>
    <row r="69" spans="1:35" s="2448" customFormat="1" ht="16.5" customHeight="1">
      <c r="A69" s="2502"/>
      <c r="B69" s="2503"/>
      <c r="C69" s="2504"/>
      <c r="D69" s="2505"/>
      <c r="E69" s="2506"/>
      <c r="F69" s="2167"/>
      <c r="G69" s="2167"/>
      <c r="H69" s="2166"/>
      <c r="I69" s="2420"/>
      <c r="J69" s="3123"/>
      <c r="K69" s="2501" t="s">
        <v>2262</v>
      </c>
      <c r="L69" s="2507"/>
      <c r="M69" s="24">
        <f ca="1">ROUND(SUM(M63:M68),0)</f>
        <v>801</v>
      </c>
      <c r="N69" s="1750">
        <f ca="1">M69/M49</f>
        <v>1.6230345274760902E-2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67" t="s">
        <v>2263</v>
      </c>
      <c r="B70" s="3168"/>
      <c r="C70" s="3168"/>
      <c r="D70" s="3168"/>
      <c r="E70" s="3168"/>
      <c r="F70" s="3168"/>
      <c r="G70" s="3168"/>
      <c r="H70" s="316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58" t="s">
        <v>2244</v>
      </c>
      <c r="B71" s="3159"/>
      <c r="C71" s="1801"/>
      <c r="D71" s="1801" t="s">
        <v>2245</v>
      </c>
      <c r="E71" s="213" t="s">
        <v>2246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2264</v>
      </c>
      <c r="C72" s="207">
        <f ca="1">ROUND(D45/(1+'数据-取费表'!C42),0)</f>
        <v>47002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2265</v>
      </c>
      <c r="C73" s="207">
        <f ca="1">C74+C78</f>
        <v>235</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2266</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2267</v>
      </c>
      <c r="C75" s="218"/>
      <c r="D75" s="200" t="s">
        <v>32</v>
      </c>
      <c r="E75" s="219" t="s">
        <v>2268</v>
      </c>
      <c r="F75" s="2513" t="s">
        <v>2269</v>
      </c>
      <c r="G75" s="219" t="s">
        <v>2270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2271</v>
      </c>
      <c r="C76" s="200">
        <f>IF(F75="购房发票",ROUND(C75*H75*D76,0),0)</f>
        <v>0</v>
      </c>
      <c r="D76" s="222">
        <v>0.05</v>
      </c>
      <c r="E76" s="3164" t="s">
        <v>2272</v>
      </c>
      <c r="F76" s="3163"/>
      <c r="G76" s="3163"/>
      <c r="H76" s="316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2273</v>
      </c>
      <c r="C77" s="200">
        <f>ROUND(IF(G77="个人住宅",0,IF(G77="2016年5月1日前购买",C75*D77,C75*D77/(1+'数据-取费表'!C42))),0)</f>
        <v>0</v>
      </c>
      <c r="D77" s="223">
        <f>'数据-取费表'!B48+'数据-取费表'!B49</f>
        <v>4.0500000000000001E-2</v>
      </c>
      <c r="E77" s="15" t="s">
        <v>2274</v>
      </c>
      <c r="F77" s="224"/>
      <c r="G77" s="2515" t="s">
        <v>2275</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2276</v>
      </c>
      <c r="C78" s="225">
        <f ca="1">ROUND(D45*D78/(1+'数据-取费表'!C42),0)</f>
        <v>235</v>
      </c>
      <c r="D78" s="226">
        <f>'数据-取费表'!B43</f>
        <v>5.000000000000001E-3</v>
      </c>
      <c r="E78" s="3155" t="s">
        <v>2277</v>
      </c>
      <c r="F78" s="3156"/>
      <c r="G78" s="3156"/>
      <c r="H78" s="315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2278</v>
      </c>
      <c r="C79" s="207">
        <f ca="1">C72-C73</f>
        <v>46767</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2279</v>
      </c>
      <c r="C80" s="227">
        <f ca="1">IF(C79&lt;=0,0,C79/C73)</f>
        <v>199.00851063829788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2280</v>
      </c>
      <c r="C81" s="228">
        <f ca="1">ROUND(IF(C79&lt;=0,0,IF(C80&gt;=200%,C79*60%-C73*35%,IF(C80&gt;=100%,C79*50%-C73*15%,IF(C80&gt;=50%,C79*40%-C73*5%,IF(C80&lt;50%,C79*30%,0))))),0)</f>
        <v>27978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67" t="s">
        <v>2281</v>
      </c>
      <c r="B83" s="3168"/>
      <c r="C83" s="3168"/>
      <c r="D83" s="3168"/>
      <c r="E83" s="3168"/>
      <c r="F83" s="3168"/>
      <c r="G83" s="3168"/>
      <c r="H83" s="316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58" t="s">
        <v>2244</v>
      </c>
      <c r="B84" s="3159"/>
      <c r="C84" s="1801"/>
      <c r="D84" s="1801" t="s">
        <v>2245</v>
      </c>
      <c r="E84" s="213" t="s">
        <v>2246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2264</v>
      </c>
      <c r="C85" s="207">
        <f ca="1">ROUND(D45/(1+'数据-取费表'!C42),0)</f>
        <v>47002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2265</v>
      </c>
      <c r="C86" s="207">
        <f ca="1">IF(H88="仅含出让金",C87+C90+C91+C92+C93+C94,C87+C91+C92+C93+C94)</f>
        <v>235</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2282</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2283</v>
      </c>
      <c r="C88" s="236"/>
      <c r="D88" s="226"/>
      <c r="E88" s="237" t="s">
        <v>2284</v>
      </c>
      <c r="F88" s="1797"/>
      <c r="G88" s="238" t="s">
        <v>2285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2273</v>
      </c>
      <c r="C89" s="225">
        <f>ROUND(C88*D89,0)</f>
        <v>0</v>
      </c>
      <c r="D89" s="226">
        <f>'数据-取费表'!B48+'数据-取费表'!B49</f>
        <v>4.0500000000000001E-2</v>
      </c>
      <c r="E89" s="237" t="s">
        <v>2286</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2287</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2288</v>
      </c>
      <c r="B91" s="198" t="s">
        <v>2289</v>
      </c>
      <c r="C91" s="225">
        <f>IF(H91="——",成本法!C33,I91)</f>
        <v>0</v>
      </c>
      <c r="D91" s="226"/>
      <c r="E91" s="3155" t="s">
        <v>2290</v>
      </c>
      <c r="F91" s="3156"/>
      <c r="G91" s="3156"/>
      <c r="H91" s="2520" t="s">
        <v>2291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2292</v>
      </c>
      <c r="B92" s="198" t="s">
        <v>2293</v>
      </c>
      <c r="C92" s="225">
        <f>ROUND((C87+C90+C91)*D92,0)</f>
        <v>0</v>
      </c>
      <c r="D92" s="226">
        <v>0.1</v>
      </c>
      <c r="E92" s="3155" t="s">
        <v>2294</v>
      </c>
      <c r="F92" s="3156"/>
      <c r="G92" s="3156"/>
      <c r="H92" s="315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2295</v>
      </c>
      <c r="B93" s="198" t="s">
        <v>2276</v>
      </c>
      <c r="C93" s="225">
        <f ca="1">ROUND(D45*D93/(1+'数据-取费表'!C42),0)</f>
        <v>235</v>
      </c>
      <c r="D93" s="226">
        <f>'数据-取费表'!B43</f>
        <v>5.000000000000001E-3</v>
      </c>
      <c r="E93" s="3155" t="s">
        <v>2277</v>
      </c>
      <c r="F93" s="3156"/>
      <c r="G93" s="3156"/>
      <c r="H93" s="315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2296</v>
      </c>
      <c r="B94" s="198" t="s">
        <v>2297</v>
      </c>
      <c r="C94" s="236">
        <f>ROUND((C87+C90+C91)*D94,0)</f>
        <v>0</v>
      </c>
      <c r="D94" s="226">
        <v>0.2</v>
      </c>
      <c r="E94" s="3203" t="s">
        <v>2298</v>
      </c>
      <c r="F94" s="3204"/>
      <c r="G94" s="3204"/>
      <c r="H94" s="320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2278</v>
      </c>
      <c r="C95" s="207">
        <f ca="1">ROUND(C85-C86,0)</f>
        <v>46767</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2279</v>
      </c>
      <c r="C96" s="227">
        <f ca="1">IF(C95&lt;=0,0,C95/C86)</f>
        <v>199.00851063829788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2280</v>
      </c>
      <c r="C97" s="228">
        <f ca="1">ROUND(IF(C95&lt;=0,0,IF(C96&gt;=200%,C95*60%-C86*35%,IF(C96&gt;=100%,C95*50%-C86*15%,IF(C96&gt;=50%,C95*40%-C86*5%,IF(C96&lt;50%,C95*30%,0))))),0)</f>
        <v>27978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2299</v>
      </c>
      <c r="B99" s="2420"/>
      <c r="C99" s="2420"/>
      <c r="D99" s="2420"/>
      <c r="E99" s="2167"/>
      <c r="F99" s="2167"/>
      <c r="G99" s="2167"/>
      <c r="H99" s="2166"/>
      <c r="I99" s="138"/>
    </row>
    <row r="100" spans="1:35" ht="18.75" customHeight="1">
      <c r="A100" s="3107" t="s">
        <v>2300</v>
      </c>
      <c r="B100" s="3108"/>
      <c r="C100" s="3108"/>
      <c r="D100" s="3139"/>
      <c r="E100" s="3108" t="s">
        <v>2301</v>
      </c>
      <c r="F100" s="3108"/>
      <c r="G100" s="3108"/>
      <c r="H100" s="3139"/>
      <c r="I100" s="138"/>
    </row>
    <row r="101" spans="1:35" ht="18.75" customHeight="1">
      <c r="A101" s="3147" t="s">
        <v>2302</v>
      </c>
      <c r="B101" s="3148"/>
      <c r="C101" s="736" t="str">
        <f>C4</f>
        <v>成本法</v>
      </c>
      <c r="D101" s="737" t="str">
        <f>D4</f>
        <v>假设开发法</v>
      </c>
      <c r="E101" s="3119" t="s">
        <v>2303</v>
      </c>
      <c r="F101" s="3120"/>
      <c r="G101" s="2522" t="s">
        <v>2304</v>
      </c>
      <c r="H101" s="1045">
        <f ca="1">H118</f>
        <v>49352</v>
      </c>
      <c r="I101" s="138"/>
    </row>
    <row r="102" spans="1:35" ht="18.75" customHeight="1">
      <c r="A102" s="3149" t="s">
        <v>2305</v>
      </c>
      <c r="B102" s="2522" t="s">
        <v>2304</v>
      </c>
      <c r="C102" s="736">
        <f ca="1">C19</f>
        <v>41313</v>
      </c>
      <c r="D102" s="737">
        <f ca="1">D19</f>
        <v>57390</v>
      </c>
      <c r="E102" s="3119"/>
      <c r="F102" s="3120"/>
      <c r="G102" s="2522" t="s">
        <v>2306</v>
      </c>
      <c r="H102" s="371">
        <f ca="1">I118</f>
        <v>4008</v>
      </c>
      <c r="I102" s="138"/>
    </row>
    <row r="103" spans="1:35" ht="42.75" customHeight="1">
      <c r="A103" s="3149"/>
      <c r="B103" s="2522" t="s">
        <v>2306</v>
      </c>
      <c r="C103" s="738">
        <f ca="1">C20</f>
        <v>5165</v>
      </c>
      <c r="D103" s="739">
        <f ca="1">D20</f>
        <v>4661</v>
      </c>
      <c r="E103" s="3113" t="s">
        <v>2307</v>
      </c>
      <c r="F103" s="3114"/>
      <c r="G103" s="2523" t="s">
        <v>2308</v>
      </c>
      <c r="H103" s="1045">
        <f>IF(D36="正常操作",H104+H105+H106,H105+H106)</f>
        <v>0</v>
      </c>
      <c r="I103" s="138"/>
    </row>
    <row r="104" spans="1:35" ht="18.75" customHeight="1">
      <c r="A104" s="3149" t="s">
        <v>2309</v>
      </c>
      <c r="B104" s="2524" t="s">
        <v>2304</v>
      </c>
      <c r="C104" s="740">
        <f ca="1">H118</f>
        <v>49352</v>
      </c>
      <c r="D104" s="741"/>
      <c r="E104" s="2268" t="s">
        <v>2310</v>
      </c>
      <c r="F104" s="2259"/>
      <c r="G104" s="2523" t="s">
        <v>2308</v>
      </c>
      <c r="H104" s="1046">
        <f>IF(D36="同一抵押权人同一抵押物续贷",C36&amp;"（未扣减，详见特别提示）",C36)</f>
        <v>0</v>
      </c>
      <c r="I104" s="138"/>
    </row>
    <row r="105" spans="1:35" ht="18.75" customHeight="1" thickBot="1">
      <c r="A105" s="3161"/>
      <c r="B105" s="2525" t="s">
        <v>2306</v>
      </c>
      <c r="C105" s="742">
        <f ca="1">I118</f>
        <v>4008</v>
      </c>
      <c r="D105" s="743"/>
      <c r="E105" s="2268" t="s">
        <v>2311</v>
      </c>
      <c r="F105" s="2259"/>
      <c r="G105" s="2523" t="s">
        <v>2308</v>
      </c>
      <c r="H105" s="1046">
        <f>C37</f>
        <v>0</v>
      </c>
      <c r="I105" s="138"/>
    </row>
    <row r="106" spans="1:35" ht="18.75" customHeight="1">
      <c r="A106" s="2420" t="s">
        <v>2312</v>
      </c>
      <c r="B106" s="2420"/>
      <c r="C106" s="2420"/>
      <c r="D106" s="2420"/>
      <c r="E106" s="2526" t="s">
        <v>2313</v>
      </c>
      <c r="F106" s="2259"/>
      <c r="G106" s="2523" t="s">
        <v>2308</v>
      </c>
      <c r="H106" s="1046">
        <f>C38</f>
        <v>0</v>
      </c>
      <c r="I106" s="138"/>
    </row>
    <row r="107" spans="1:35" ht="18.75" customHeight="1">
      <c r="A107" s="138"/>
      <c r="B107" s="138"/>
      <c r="C107" s="138"/>
      <c r="D107" s="138"/>
      <c r="E107" s="3150" t="str">
        <f>IF(项目基本情况!E8="已注销","——","3.房地产抵押价值")</f>
        <v>3.房地产抵押价值</v>
      </c>
      <c r="F107" s="3120"/>
      <c r="G107" s="2522" t="s">
        <v>2304</v>
      </c>
      <c r="H107" s="1045">
        <f ca="1">IF(E107="——","——",H101-H103)</f>
        <v>49352</v>
      </c>
      <c r="I107" s="138"/>
    </row>
    <row r="108" spans="1:35" ht="18.75" customHeight="1">
      <c r="A108" s="138"/>
      <c r="B108" s="138"/>
      <c r="C108" s="138"/>
      <c r="D108" s="138"/>
      <c r="E108" s="3150"/>
      <c r="F108" s="3120"/>
      <c r="G108" s="2522" t="s">
        <v>2306</v>
      </c>
      <c r="H108" s="371">
        <f ca="1">ROUND(H107*10000/'数据-汇总表'!E3,0)</f>
        <v>4008</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20"/>
      <c r="G109" s="2522" t="s">
        <v>2304</v>
      </c>
      <c r="H109" s="348" t="str">
        <f>IF(E109="——","——",H101-H105-H106)</f>
        <v>——</v>
      </c>
      <c r="I109" s="138"/>
    </row>
    <row r="110" spans="1:35" ht="18.75" customHeight="1">
      <c r="A110" s="138"/>
      <c r="B110" s="138"/>
      <c r="C110" s="138"/>
      <c r="D110" s="138"/>
      <c r="E110" s="3150"/>
      <c r="F110" s="3120"/>
      <c r="G110" s="2522" t="s">
        <v>2306</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22" t="s">
        <v>2304</v>
      </c>
      <c r="H111" s="1045" t="str">
        <f>IF(E111="——","——",N59)</f>
        <v>——</v>
      </c>
      <c r="I111" s="138"/>
    </row>
    <row r="112" spans="1:35" ht="18.75" customHeight="1" thickBot="1">
      <c r="A112" s="138"/>
      <c r="B112" s="138"/>
      <c r="C112" s="138"/>
      <c r="D112" s="138"/>
      <c r="E112" s="3153"/>
      <c r="F112" s="3154"/>
      <c r="G112" s="2527" t="s">
        <v>2306</v>
      </c>
      <c r="H112" s="790" t="str">
        <f>IF(E111="——","——",N61)</f>
        <v>——</v>
      </c>
      <c r="I112" s="138"/>
    </row>
    <row r="113" spans="1:11" ht="18.75" customHeight="1">
      <c r="A113" s="138"/>
      <c r="B113" s="138"/>
      <c r="C113" s="138"/>
      <c r="D113" s="138"/>
      <c r="E113" s="3162" t="s">
        <v>2312</v>
      </c>
      <c r="F113" s="3162"/>
      <c r="G113" s="3162"/>
      <c r="H113" s="3162"/>
      <c r="I113" s="138"/>
    </row>
    <row r="114" spans="1:11" ht="3.75" customHeight="1">
      <c r="A114" s="2420"/>
      <c r="B114" s="2420"/>
      <c r="C114" s="2420"/>
      <c r="D114" s="2420"/>
      <c r="E114" s="2498"/>
      <c r="F114" s="2498"/>
      <c r="G114" s="2498"/>
      <c r="H114" s="2498"/>
      <c r="I114" s="2420"/>
    </row>
    <row r="115" spans="1:11" ht="18.75" customHeight="1">
      <c r="A115" s="3175" t="s">
        <v>2314</v>
      </c>
      <c r="B115" s="3176"/>
      <c r="C115" s="3176"/>
      <c r="D115" s="3176"/>
      <c r="E115" s="3176"/>
      <c r="F115" s="3176"/>
      <c r="G115" s="3176"/>
      <c r="H115" s="3176"/>
      <c r="I115" s="3177"/>
    </row>
    <row r="116" spans="1:11" ht="27" customHeight="1">
      <c r="A116" s="3086" t="s">
        <v>2315</v>
      </c>
      <c r="B116" s="3129" t="s">
        <v>2316</v>
      </c>
      <c r="C116" s="3129" t="s">
        <v>2317</v>
      </c>
      <c r="D116" s="3135" t="s">
        <v>2318</v>
      </c>
      <c r="E116" s="3136"/>
      <c r="F116" s="3171" t="s">
        <v>2319</v>
      </c>
      <c r="G116" s="3171"/>
      <c r="H116" s="3086" t="s">
        <v>2320</v>
      </c>
      <c r="I116" s="3086"/>
    </row>
    <row r="117" spans="1:11" ht="18.75" customHeight="1">
      <c r="A117" s="3086"/>
      <c r="B117" s="3130"/>
      <c r="C117" s="3130"/>
      <c r="D117" s="1795" t="s">
        <v>2321</v>
      </c>
      <c r="E117" s="1795" t="s">
        <v>2322</v>
      </c>
      <c r="F117" s="1795" t="s">
        <v>2321</v>
      </c>
      <c r="G117" s="1795" t="s">
        <v>2323</v>
      </c>
      <c r="H117" s="1795" t="s">
        <v>2321</v>
      </c>
      <c r="I117" s="1795" t="s">
        <v>2323</v>
      </c>
    </row>
    <row r="118" spans="1:11" ht="24.75" customHeight="1">
      <c r="A118" s="2528" t="str">
        <f>项目基本情况!S2</f>
        <v>出让国有建设用地使用权及在建建筑物房地产</v>
      </c>
      <c r="B118" s="1795">
        <f>M18</f>
        <v>123122.34</v>
      </c>
      <c r="C118" s="1795">
        <f>M19</f>
        <v>42459.8</v>
      </c>
      <c r="D118" s="1795">
        <f ca="1">ROUND(IF(D32="总价",C34,E118*B118/10000),0)</f>
        <v>39235</v>
      </c>
      <c r="E118" s="1795">
        <f ca="1">ROUND(IF(C33="自定义",IF(D32="楼面单价",C34,D118*10000/B118),I118-G118),0)</f>
        <v>3186</v>
      </c>
      <c r="F118" s="1795">
        <f ca="1">ROUND(IF(D32="总价",C35,G118*B118/10000),0)</f>
        <v>10117</v>
      </c>
      <c r="G118" s="1795">
        <f ca="1">ROUND(IF(D32="楼面单价",C35,F118*10000/B118),0)</f>
        <v>822</v>
      </c>
      <c r="H118" s="1795">
        <f ca="1">ROUND(IF(D32="总价",C32,I118*B118/10000),0)</f>
        <v>49352</v>
      </c>
      <c r="I118" s="1795">
        <f ca="1">ROUND(IF(D32="楼面单价",C32,H118*10000/B118),0)</f>
        <v>4008</v>
      </c>
    </row>
    <row r="119" spans="1:11" ht="18.75" customHeight="1">
      <c r="A119" s="3086" t="s">
        <v>2324</v>
      </c>
      <c r="B119" s="3086"/>
      <c r="C119" s="3086"/>
      <c r="D119" s="3131" t="str">
        <f ca="1">NUMBERSTRING(INT(D118*10000),2)&amp;"元整"</f>
        <v>叁亿玖仟贰佰叁拾伍万元整</v>
      </c>
      <c r="E119" s="3132"/>
      <c r="F119" s="3131" t="str">
        <f ca="1">NUMBERSTRING(INT(F118*10000),2)&amp;"元整"</f>
        <v>壹亿零壹佰壹拾柒万元整</v>
      </c>
      <c r="G119" s="3132"/>
      <c r="H119" s="3131" t="str">
        <f ca="1">NUMBERSTRING(INT(H118*10000),2)&amp;"元整"</f>
        <v>肆亿玖仟叁佰伍拾贰万元整</v>
      </c>
      <c r="I119" s="3132"/>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5" t="str">
        <f>IF(D120=0,"故，本次评估不存在"&amp;A120,"故，本次评估"&amp;A120&amp;"为人民币"&amp;D120&amp;"万元整。")</f>
        <v>故，本次评估不存在估价师知悉的法定优先受偿款</v>
      </c>
    </row>
    <row r="121" spans="1:11" ht="18.75" customHeight="1">
      <c r="A121" s="3172" t="s">
        <v>2324</v>
      </c>
      <c r="B121" s="3173"/>
      <c r="C121" s="3174"/>
      <c r="D121" s="3131" t="str">
        <f>IF(D120=0,"零元整",NUMBERSTRING(INT(D120*10000),2)&amp;"元整")</f>
        <v>零元整</v>
      </c>
      <c r="E121" s="3133"/>
      <c r="F121" s="3133"/>
      <c r="G121" s="3133"/>
      <c r="H121" s="3133"/>
      <c r="I121" s="3132"/>
    </row>
    <row r="122" spans="1:11" ht="18.75" customHeight="1">
      <c r="A122" s="3137" t="str">
        <f>IF(项目基本情况!B9="房地产市场价值","",MID(E107,3,LEN(E107)-2))</f>
        <v>房地产抵押价值</v>
      </c>
      <c r="B122" s="3137"/>
      <c r="C122" s="3137"/>
      <c r="D122" s="3126">
        <f ca="1">H107</f>
        <v>49352</v>
      </c>
      <c r="E122" s="3127"/>
      <c r="F122" s="3127"/>
      <c r="G122" s="3127"/>
      <c r="H122" s="3127"/>
      <c r="I122" s="3128"/>
    </row>
    <row r="123" spans="1:11" ht="18.75" customHeight="1">
      <c r="A123" s="3086" t="s">
        <v>2324</v>
      </c>
      <c r="B123" s="3086"/>
      <c r="C123" s="3086"/>
      <c r="D123" s="3131" t="str">
        <f ca="1">NUMBERSTRING(INT(D122*10000),2)&amp;"元整"</f>
        <v>肆亿玖仟叁佰伍拾贰万元整</v>
      </c>
      <c r="E123" s="3133"/>
      <c r="F123" s="3133"/>
      <c r="G123" s="3133"/>
      <c r="H123" s="3133"/>
      <c r="I123" s="3132"/>
    </row>
    <row r="124" spans="1:11" ht="18.75" customHeight="1">
      <c r="A124" s="3137" t="str">
        <f>IF(项目基本情况!B9="房地产市场价值","",MID(E109,3,LEN(E109)-2))</f>
        <v/>
      </c>
      <c r="B124" s="3137"/>
      <c r="C124" s="3137"/>
      <c r="D124" s="3126" t="str">
        <f>H109</f>
        <v>——</v>
      </c>
      <c r="E124" s="3127"/>
      <c r="F124" s="3127"/>
      <c r="G124" s="3127"/>
      <c r="H124" s="3127"/>
      <c r="I124" s="3128"/>
    </row>
    <row r="125" spans="1:11" ht="18.75" customHeight="1">
      <c r="A125" s="3086" t="s">
        <v>2324</v>
      </c>
      <c r="B125" s="3086"/>
      <c r="C125" s="3086"/>
      <c r="D125" s="3131" t="e">
        <f>NUMBERSTRING(INT(D124*10000),2)&amp;"元整"</f>
        <v>#VALUE!</v>
      </c>
      <c r="E125" s="3133"/>
      <c r="F125" s="3133"/>
      <c r="G125" s="3133"/>
      <c r="H125" s="3133"/>
      <c r="I125" s="3132"/>
    </row>
    <row r="126" spans="1:11" ht="18.75" customHeight="1">
      <c r="A126" s="3137" t="str">
        <f>IF(项目基本情况!B9="房地产市场价值","",MID(E111,3,LEN(E111)-2))</f>
        <v/>
      </c>
      <c r="B126" s="3137"/>
      <c r="C126" s="3137"/>
      <c r="D126" s="3126" t="str">
        <f>H111</f>
        <v>——</v>
      </c>
      <c r="E126" s="3127"/>
      <c r="F126" s="3127"/>
      <c r="G126" s="3127"/>
      <c r="H126" s="3127"/>
      <c r="I126" s="3128"/>
    </row>
    <row r="127" spans="1:11" ht="18.75" customHeight="1">
      <c r="A127" s="3086" t="s">
        <v>2324</v>
      </c>
      <c r="B127" s="3086"/>
      <c r="C127" s="3086"/>
      <c r="D127" s="3131" t="e">
        <f>NUMBERSTRING(INT(D126*10000),2)&amp;"元整"</f>
        <v>#VALUE!</v>
      </c>
      <c r="E127" s="3133"/>
      <c r="F127" s="3133"/>
      <c r="G127" s="3133"/>
      <c r="H127" s="3133"/>
      <c r="I127" s="3132"/>
    </row>
    <row r="128" spans="1:11" ht="21.75" customHeight="1">
      <c r="A128" s="3134" t="s">
        <v>2325</v>
      </c>
      <c r="B128" s="3134"/>
      <c r="C128" s="3134"/>
      <c r="D128" s="3134"/>
      <c r="E128" s="3134"/>
      <c r="F128" s="3134"/>
      <c r="G128" s="3134"/>
      <c r="H128" s="3134"/>
      <c r="I128" s="3134"/>
    </row>
    <row r="129" spans="1:35" ht="21.75" customHeight="1">
      <c r="A129" s="2529" t="s">
        <v>2326</v>
      </c>
      <c r="B129" s="2530"/>
      <c r="C129" s="2531" t="s">
        <v>2327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2328</v>
      </c>
      <c r="G135" s="2546"/>
      <c r="H135" s="2546"/>
      <c r="I135" s="2547" t="s">
        <v>2329</v>
      </c>
    </row>
    <row r="136" spans="1:35" ht="21.75" customHeight="1">
      <c r="A136" s="795"/>
      <c r="B136" s="2548"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2331</v>
      </c>
    </row>
    <row r="139" spans="1:35" ht="21.75" customHeight="1">
      <c r="A139" s="795"/>
      <c r="B139" s="2548" t="s">
        <v>2332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2331</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5" sqref="J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37" t="s">
        <v>3053</v>
      </c>
      <c r="C1" s="242"/>
      <c r="D1" s="242"/>
      <c r="E1" s="242"/>
      <c r="F1" s="242"/>
      <c r="G1" s="1379">
        <f>MATCH(B1,'数据-取费表'!A6:A16,0)+5</f>
        <v>6</v>
      </c>
    </row>
    <row r="2" spans="1:9" s="244" customFormat="1" ht="18" customHeight="1">
      <c r="A2" s="245" t="s">
        <v>2334</v>
      </c>
      <c r="B2" s="246">
        <f ca="1">IF(D2="——",C52,C52-E2)</f>
        <v>41313</v>
      </c>
      <c r="C2" s="243" t="s">
        <v>2335</v>
      </c>
      <c r="D2" s="2551" t="s">
        <v>70</v>
      </c>
      <c r="E2" s="1440">
        <f ca="1">SUMIF(INDIRECT("'"&amp;G2&amp;"'"&amp;"!A:A"),"承租人权益价值",INDIRECT("'"&amp;G2&amp;"'"&amp;"!c:c"))</f>
        <v>0</v>
      </c>
      <c r="F2" s="2552" t="s">
        <v>2335</v>
      </c>
      <c r="G2" s="2553" t="s">
        <v>3059</v>
      </c>
    </row>
    <row r="3" spans="1:9" s="244" customFormat="1" ht="18" customHeight="1" thickBot="1">
      <c r="A3" s="247" t="s">
        <v>2336</v>
      </c>
      <c r="B3" s="248">
        <f ca="1">ROUND(B2*10000/(IF(B1="",'数据-汇总表'!E3,INDIRECT("'数据-取费表'!k"&amp;$G$1))),0)</f>
        <v>5165</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27009</v>
      </c>
      <c r="D5" s="255" t="s">
        <v>2341</v>
      </c>
      <c r="E5" s="256" t="s">
        <v>2342</v>
      </c>
      <c r="F5" s="256" t="s">
        <v>2343</v>
      </c>
      <c r="G5" s="257"/>
    </row>
    <row r="6" spans="1:9" s="258" customFormat="1" ht="13.5" customHeight="1">
      <c r="A6" s="949" t="s">
        <v>2344</v>
      </c>
      <c r="B6" s="259" t="s">
        <v>2345</v>
      </c>
      <c r="C6" s="260">
        <f>'土地比较法-住宅、综合'!B2</f>
        <v>25958</v>
      </c>
      <c r="D6" s="261"/>
      <c r="E6" s="262"/>
      <c r="F6" s="262"/>
      <c r="G6" s="263"/>
    </row>
    <row r="7" spans="1:9" s="258" customFormat="1" ht="13.5" customHeight="1">
      <c r="A7" s="949" t="s">
        <v>2346</v>
      </c>
      <c r="B7" s="259" t="s">
        <v>2347</v>
      </c>
      <c r="C7" s="264">
        <f>ROUND(C6*F7,0)</f>
        <v>1051</v>
      </c>
      <c r="D7" s="264"/>
      <c r="E7" s="262"/>
      <c r="F7" s="265">
        <f>'数据-取费表'!B48+'数据-取费表'!B49</f>
        <v>4.0500000000000001E-2</v>
      </c>
      <c r="G7" s="263"/>
    </row>
    <row r="8" spans="1:9" s="267" customFormat="1">
      <c r="A8" s="949" t="s">
        <v>2348</v>
      </c>
      <c r="B8" s="259" t="s">
        <v>2349</v>
      </c>
      <c r="C8" s="264" t="str">
        <f>IF(G8="已包含在土地购买价格中","0",IF(B1="",'数据-取费表'!B29,IF(G9="全部缴纳",C9+C10,H9)))</f>
        <v>0</v>
      </c>
      <c r="D8" s="266"/>
      <c r="E8" s="264"/>
      <c r="F8" s="265"/>
      <c r="G8" s="2554" t="s">
        <v>1148</v>
      </c>
    </row>
    <row r="9" spans="1:9" s="258" customFormat="1" ht="13.5" customHeight="1">
      <c r="A9" s="950" t="s">
        <v>800</v>
      </c>
      <c r="B9" s="268" t="s">
        <v>2350</v>
      </c>
      <c r="C9" s="269">
        <f ca="1">ROUND(D9*E9/10000,0)</f>
        <v>1600</v>
      </c>
      <c r="D9" s="1032">
        <f ca="1">IF(B1="",'数据-汇总表'!E5,IF(INDIRECT("'数据-取费表'!c"&amp;$G$1)="住宅",INDIRECT("'数据-取费表'!k"&amp;$G$1),0))</f>
        <v>79984.58</v>
      </c>
      <c r="E9" s="269">
        <f>'数据-取费表'!B27</f>
        <v>200</v>
      </c>
      <c r="F9" s="265"/>
      <c r="G9" s="2555" t="s">
        <v>3107</v>
      </c>
      <c r="H9" s="1390"/>
      <c r="I9" s="2556" t="s">
        <v>2351</v>
      </c>
    </row>
    <row r="10" spans="1:9" s="258" customFormat="1" ht="13.5" customHeight="1">
      <c r="A10" s="950" t="s">
        <v>801</v>
      </c>
      <c r="B10" s="268" t="s">
        <v>2352</v>
      </c>
      <c r="C10" s="269">
        <f ca="1">ROUND(D10*E10/10000,0)</f>
        <v>32</v>
      </c>
      <c r="D10" s="1032">
        <f ca="1">IF(B1="",'数据-汇总表'!E6,IF(INDIRECT("'数据-取费表'!c"&amp;$G$1)="住宅",INDIRECT("'数据-取费表'!s"&amp;$G$1),INDIRECT("'数据-取费表'!k"&amp;$G$1)+INDIRECT("'数据-取费表'!s"&amp;$G$1)))</f>
        <v>1607.82</v>
      </c>
      <c r="E10" s="269">
        <f>'数据-取费表'!B28</f>
        <v>200</v>
      </c>
      <c r="F10" s="265"/>
      <c r="G10" s="270"/>
    </row>
    <row r="11" spans="1:9" s="258" customFormat="1" ht="13.5" hidden="1" customHeight="1">
      <c r="A11" s="271" t="s">
        <v>7</v>
      </c>
      <c r="B11" s="259" t="s">
        <v>2353</v>
      </c>
      <c r="C11" s="255"/>
      <c r="D11" s="1034"/>
      <c r="E11" s="262"/>
      <c r="F11" s="262"/>
      <c r="G11" s="263"/>
    </row>
    <row r="12" spans="1:9" s="258" customFormat="1" ht="13.5" hidden="1" customHeight="1">
      <c r="A12" s="271" t="s">
        <v>8</v>
      </c>
      <c r="B12" s="259" t="s">
        <v>2354</v>
      </c>
      <c r="C12" s="255">
        <v>0</v>
      </c>
      <c r="D12" s="1034"/>
      <c r="E12" s="272"/>
      <c r="F12" s="265">
        <v>3.0499999999999999E-2</v>
      </c>
      <c r="G12" s="263"/>
    </row>
    <row r="13" spans="1:9" s="258" customFormat="1" ht="13.5" hidden="1" customHeight="1">
      <c r="A13" s="271" t="s">
        <v>9</v>
      </c>
      <c r="B13" s="259" t="s">
        <v>2355</v>
      </c>
      <c r="C13" s="255"/>
      <c r="D13" s="1034"/>
      <c r="E13" s="262"/>
      <c r="F13" s="262"/>
      <c r="G13" s="263"/>
    </row>
    <row r="14" spans="1:9" s="258" customFormat="1" ht="13.5" hidden="1" customHeight="1">
      <c r="A14" s="271" t="s">
        <v>10</v>
      </c>
      <c r="B14" s="259" t="s">
        <v>2356</v>
      </c>
      <c r="C14" s="255"/>
      <c r="D14" s="1034"/>
      <c r="E14" s="262"/>
      <c r="F14" s="262"/>
      <c r="G14" s="263" t="s">
        <v>2357</v>
      </c>
    </row>
    <row r="15" spans="1:9" s="258" customFormat="1" ht="13.5" hidden="1" customHeight="1">
      <c r="A15" s="271" t="s">
        <v>11</v>
      </c>
      <c r="B15" s="259" t="s">
        <v>2358</v>
      </c>
      <c r="C15" s="264"/>
      <c r="D15" s="1034"/>
      <c r="E15" s="262"/>
      <c r="F15" s="262"/>
      <c r="G15" s="263" t="s">
        <v>2359</v>
      </c>
    </row>
    <row r="16" spans="1:9" s="258" customFormat="1" ht="13.5" hidden="1" customHeight="1">
      <c r="A16" s="271" t="s">
        <v>12</v>
      </c>
      <c r="B16" s="259" t="s">
        <v>2356</v>
      </c>
      <c r="C16" s="264"/>
      <c r="D16" s="1034"/>
      <c r="E16" s="262"/>
      <c r="F16" s="262"/>
      <c r="G16" s="263"/>
    </row>
    <row r="17" spans="1:7" s="258" customFormat="1" ht="13.5" hidden="1" customHeight="1">
      <c r="A17" s="271" t="s">
        <v>13</v>
      </c>
      <c r="B17" s="259" t="s">
        <v>2360</v>
      </c>
      <c r="C17" s="273"/>
      <c r="D17" s="1035"/>
      <c r="E17" s="273"/>
      <c r="F17" s="273"/>
      <c r="G17" s="263" t="s">
        <v>2359</v>
      </c>
    </row>
    <row r="18" spans="1:7" s="258" customFormat="1" ht="13.5" hidden="1" customHeight="1">
      <c r="A18" s="271" t="s">
        <v>14</v>
      </c>
      <c r="B18" s="259" t="s">
        <v>2361</v>
      </c>
      <c r="C18" s="264">
        <v>0</v>
      </c>
      <c r="D18" s="1034"/>
      <c r="E18" s="262"/>
      <c r="F18" s="265">
        <v>3.0499999999999999E-2</v>
      </c>
      <c r="G18" s="263" t="s">
        <v>2362</v>
      </c>
    </row>
    <row r="19" spans="1:7" s="267" customFormat="1" ht="13.5" customHeight="1">
      <c r="A19" s="299" t="s">
        <v>2363</v>
      </c>
      <c r="B19" s="254" t="s">
        <v>2364</v>
      </c>
      <c r="C19" s="255">
        <f ca="1">IF(G19="已包含在土地取得成本中","0",ROUND(D19*E19/10000,0))</f>
        <v>816</v>
      </c>
      <c r="D19" s="1036">
        <f ca="1">D9+D10</f>
        <v>81592.400000000009</v>
      </c>
      <c r="E19" s="255">
        <f>'数据-取费表'!B31</f>
        <v>100</v>
      </c>
      <c r="F19" s="275"/>
      <c r="G19" s="2554" t="s">
        <v>1074</v>
      </c>
    </row>
    <row r="20" spans="1:7" s="258" customFormat="1" ht="13.5" customHeight="1">
      <c r="A20" s="299" t="s">
        <v>2365</v>
      </c>
      <c r="B20" s="254" t="s">
        <v>2366</v>
      </c>
      <c r="C20" s="276">
        <f ca="1">ROUND((C5+C19)*F20,0)</f>
        <v>557</v>
      </c>
      <c r="D20" s="276"/>
      <c r="E20" s="276"/>
      <c r="F20" s="277">
        <f>'数据-取费表'!B37</f>
        <v>0.02</v>
      </c>
      <c r="G20" s="278" t="s">
        <v>2367</v>
      </c>
    </row>
    <row r="21" spans="1:7" s="258" customFormat="1" ht="13.5" customHeight="1">
      <c r="A21" s="299" t="s">
        <v>2368</v>
      </c>
      <c r="B21" s="254" t="s">
        <v>2369</v>
      </c>
      <c r="C21" s="279">
        <f>F21</f>
        <v>0.02</v>
      </c>
      <c r="D21" s="280" t="s">
        <v>2370</v>
      </c>
      <c r="E21" s="276"/>
      <c r="F21" s="277">
        <f>'数据-取费表'!B38</f>
        <v>0.02</v>
      </c>
      <c r="G21" s="278" t="s">
        <v>2371</v>
      </c>
    </row>
    <row r="22" spans="1:7" s="258" customFormat="1" ht="13.5" customHeight="1">
      <c r="A22" s="299" t="s">
        <v>2372</v>
      </c>
      <c r="B22" s="254" t="s">
        <v>2373</v>
      </c>
      <c r="C22" s="1354">
        <f ca="1">ROUND(SUM(C23:C25),0)</f>
        <v>786</v>
      </c>
      <c r="D22" s="279">
        <f ca="1">C26</f>
        <v>2.9999999999999997E-4</v>
      </c>
      <c r="E22" s="280" t="s">
        <v>2370</v>
      </c>
      <c r="F22" s="281">
        <f ca="1">'数据-取费表'!B40</f>
        <v>4.7500000000000001E-2</v>
      </c>
      <c r="G22" s="278" t="str">
        <f>IF('数据-取费表'!B22&lt;=1,"单利计息","复利计息")</f>
        <v>复利计息</v>
      </c>
    </row>
    <row r="23" spans="1:7" s="258" customFormat="1" ht="13.5" customHeight="1">
      <c r="A23" s="951" t="s">
        <v>2374</v>
      </c>
      <c r="B23" s="259" t="s">
        <v>2375</v>
      </c>
      <c r="C23" s="1355">
        <f ca="1">ROUND(IF('数据-取费表'!B22&lt;=1,C5*F22*'数据-取费表'!B23,C5*(POWER((1+F22),'数据-取费表'!B23)-1)),0)</f>
        <v>755</v>
      </c>
      <c r="D23" s="282"/>
      <c r="E23" s="282"/>
      <c r="F23" s="283"/>
      <c r="G23" s="284" t="s">
        <v>2376</v>
      </c>
    </row>
    <row r="24" spans="1:7" s="258" customFormat="1" ht="13.5" customHeight="1">
      <c r="A24" s="951" t="s">
        <v>2377</v>
      </c>
      <c r="B24" s="259" t="s">
        <v>2378</v>
      </c>
      <c r="C24" s="1355">
        <f ca="1">ROUND(IF('数据-取费表'!B22&lt;=1,C19*F22*('数据-取费表'!B19/2+'数据-取费表'!B21),C19*(POWER((1+F22),('数据-取费表'!B19/2+'数据-取费表'!B21))-1)),0)</f>
        <v>23</v>
      </c>
      <c r="D24" s="282"/>
      <c r="E24" s="282"/>
      <c r="F24" s="283"/>
      <c r="G24" s="284" t="s">
        <v>2379</v>
      </c>
    </row>
    <row r="25" spans="1:7" s="258" customFormat="1" ht="24">
      <c r="A25" s="951" t="s">
        <v>2380</v>
      </c>
      <c r="B25" s="259" t="s">
        <v>2381</v>
      </c>
      <c r="C25" s="1355">
        <f ca="1">ROUND(IF('数据-取费表'!B22&lt;=1,C20*F22*'数据-取费表'!B23/2,C20*(POWER((1+F22),'数据-取费表'!B23/2)-1)),0)</f>
        <v>8</v>
      </c>
      <c r="D25" s="282"/>
      <c r="E25" s="285"/>
      <c r="F25" s="283"/>
      <c r="G25" s="286" t="s">
        <v>2382</v>
      </c>
    </row>
    <row r="26" spans="1:7" s="258" customFormat="1">
      <c r="A26" s="951" t="s">
        <v>795</v>
      </c>
      <c r="B26" s="259" t="s">
        <v>2383</v>
      </c>
      <c r="C26" s="282">
        <f ca="1">ROUND(IF('数据-取费表'!B22&lt;=1,F21*F22*'数据-取费表'!B23/2,F21*(POWER((1+F22),'数据-取费表'!B23/2)-1)),4)</f>
        <v>2.9999999999999997E-4</v>
      </c>
      <c r="D26" s="282"/>
      <c r="E26" s="285"/>
      <c r="F26" s="283"/>
      <c r="G26" s="287"/>
    </row>
    <row r="27" spans="1:7" s="258" customFormat="1" ht="24.75">
      <c r="A27" s="299" t="s">
        <v>2384</v>
      </c>
      <c r="B27" s="288" t="s">
        <v>2385</v>
      </c>
      <c r="C27" s="289">
        <f ca="1">C28</f>
        <v>1264</v>
      </c>
      <c r="D27" s="279">
        <f ca="1">C29</f>
        <v>8.9999999999999998E-4</v>
      </c>
      <c r="E27" s="280" t="s">
        <v>2386</v>
      </c>
      <c r="F27" s="290">
        <f ca="1">IF(B1="",'数据-取费表'!Q16,INDIRECT("'数据-取费表'!q"&amp;$G$1))</f>
        <v>0.15</v>
      </c>
      <c r="G27" s="291" t="s">
        <v>2387</v>
      </c>
    </row>
    <row r="28" spans="1:7" s="258" customFormat="1" ht="13.5" customHeight="1">
      <c r="A28" s="951" t="s">
        <v>791</v>
      </c>
      <c r="B28" s="292" t="s">
        <v>2388</v>
      </c>
      <c r="C28" s="293">
        <f ca="1">ROUND((C5+C19+C20)*F27*'数据-取费表'!B21/'数据-取费表'!B20,0)</f>
        <v>1264</v>
      </c>
      <c r="D28" s="279"/>
      <c r="E28" s="280"/>
      <c r="F28" s="290"/>
      <c r="G28" s="291"/>
    </row>
    <row r="29" spans="1:7" s="258" customFormat="1" ht="13.5" customHeight="1">
      <c r="A29" s="951" t="s">
        <v>792</v>
      </c>
      <c r="B29" s="292" t="s">
        <v>2389</v>
      </c>
      <c r="C29" s="282">
        <f ca="1">ROUND(C21*F27*'数据-取费表'!B21/'数据-取费表'!B20,4)</f>
        <v>8.9999999999999998E-4</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32850</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6589</v>
      </c>
      <c r="D33" s="276"/>
      <c r="E33" s="256"/>
      <c r="F33" s="285"/>
      <c r="G33" s="278"/>
    </row>
    <row r="34" spans="1:7" s="302" customFormat="1" ht="13.5" customHeight="1">
      <c r="A34" s="951" t="s">
        <v>791</v>
      </c>
      <c r="B34" s="259" t="s">
        <v>2397</v>
      </c>
      <c r="C34" s="264">
        <f ca="1">IF(B1="",IF(F34=100%,'数据-取费表'!M16,'数据-取费表'!O16),IF(F34=100%,INDIRECT("'数据-取费表'!m"&amp;$G$1)+INDIRECT("'数据-取费表'!t"&amp;$G$1),INDIRECT("'数据-取费表'!o"&amp;$G$1)+INDIRECT("'数据-取费表'!aq"&amp;$G$1)))</f>
        <v>5572</v>
      </c>
      <c r="D34" s="261"/>
      <c r="E34" s="264"/>
      <c r="F34" s="301">
        <f ca="1">IF('数据-取费表'!B24=0,1,IF(B1="",'数据-取费表'!N16,INDIRECT("'数据-取费表'!n"&amp;$G$1)))</f>
        <v>0.3</v>
      </c>
      <c r="G34" s="263" t="s">
        <v>2398</v>
      </c>
    </row>
    <row r="35" spans="1:7" ht="13.5" customHeight="1">
      <c r="A35" s="951" t="s">
        <v>796</v>
      </c>
      <c r="B35" s="259" t="s">
        <v>2399</v>
      </c>
      <c r="C35" s="264">
        <f ca="1">ROUND(C34*F35,0)</f>
        <v>167</v>
      </c>
      <c r="D35" s="264"/>
      <c r="E35" s="264"/>
      <c r="F35" s="303">
        <f>'数据-取费表'!B33</f>
        <v>0.03</v>
      </c>
      <c r="G35" s="263" t="s">
        <v>2400</v>
      </c>
    </row>
    <row r="36" spans="1:7" ht="24">
      <c r="A36" s="951" t="s">
        <v>797</v>
      </c>
      <c r="B36" s="259" t="s">
        <v>2401</v>
      </c>
      <c r="C36" s="264">
        <f ca="1">ROUND(IF(B1="",SUMIF('数据-取费表'!C:C,"住宅",IF(F34=100%,'数据-取费表'!M:M,'数据-取费表'!O:O))*F36,IF(INDIRECT("'数据-取费表'!c"&amp;$G$1)="住宅",IF(F34=100%,INDIRECT("'数据-取费表'!m"&amp;$G$1)*F36,INDIRECT("'数据-取费表'!o"&amp;$G$1)*F36),0)),0)</f>
        <v>276</v>
      </c>
      <c r="D36" s="264"/>
      <c r="E36" s="264"/>
      <c r="F36" s="303">
        <f>'数据-取费表'!B34</f>
        <v>0.05</v>
      </c>
      <c r="G36" s="304" t="s">
        <v>2402</v>
      </c>
    </row>
    <row r="37" spans="1:7" s="302" customFormat="1" ht="13.5" customHeight="1">
      <c r="A37" s="951" t="s">
        <v>798</v>
      </c>
      <c r="B37" s="259" t="s">
        <v>2403</v>
      </c>
      <c r="C37" s="293">
        <f ca="1">ROUND(E37*D37*F34/10000,0)</f>
        <v>490</v>
      </c>
      <c r="D37" s="261">
        <f ca="1">D19</f>
        <v>81592.400000000009</v>
      </c>
      <c r="E37" s="293">
        <f>'数据-取费表'!B35</f>
        <v>200</v>
      </c>
      <c r="F37" s="303"/>
      <c r="G37" s="305" t="s">
        <v>2404</v>
      </c>
    </row>
    <row r="38" spans="1:7" ht="13.5" customHeight="1">
      <c r="A38" s="951" t="s">
        <v>799</v>
      </c>
      <c r="B38" s="259" t="s">
        <v>2405</v>
      </c>
      <c r="C38" s="264">
        <f ca="1">ROUND(C34*F38,0)</f>
        <v>84</v>
      </c>
      <c r="D38" s="264"/>
      <c r="E38" s="264"/>
      <c r="F38" s="303">
        <f>'数据-取费表'!B36</f>
        <v>1.4999999999999999E-2</v>
      </c>
      <c r="G38" s="263" t="s">
        <v>2400</v>
      </c>
    </row>
    <row r="39" spans="1:7" s="258" customFormat="1" ht="13.5" customHeight="1">
      <c r="A39" s="299" t="s">
        <v>2406</v>
      </c>
      <c r="B39" s="254" t="s">
        <v>2407</v>
      </c>
      <c r="C39" s="276">
        <f ca="1">ROUND(C33*F20,0)</f>
        <v>132</v>
      </c>
      <c r="D39" s="276"/>
      <c r="E39" s="276"/>
      <c r="F39" s="277"/>
      <c r="G39" s="278" t="s">
        <v>2408</v>
      </c>
    </row>
    <row r="40" spans="1:7" s="258" customFormat="1" ht="13.5" customHeight="1">
      <c r="A40" s="299" t="s">
        <v>2409</v>
      </c>
      <c r="B40" s="254" t="s">
        <v>2410</v>
      </c>
      <c r="C40" s="1728">
        <f>F21</f>
        <v>0.02</v>
      </c>
      <c r="D40" s="280" t="s">
        <v>2411</v>
      </c>
      <c r="E40" s="276"/>
      <c r="F40" s="277"/>
      <c r="G40" s="278" t="s">
        <v>2412</v>
      </c>
    </row>
    <row r="41" spans="1:7" s="258" customFormat="1" ht="13.5" customHeight="1">
      <c r="A41" s="299" t="s">
        <v>2413</v>
      </c>
      <c r="B41" s="254" t="s">
        <v>2414</v>
      </c>
      <c r="C41" s="276">
        <f ca="1">ROUND(SUM(C42:C43),0)</f>
        <v>93</v>
      </c>
      <c r="D41" s="279">
        <f ca="1">C44</f>
        <v>2.9999999999999997E-4</v>
      </c>
      <c r="E41" s="280" t="s">
        <v>2411</v>
      </c>
      <c r="F41" s="281"/>
      <c r="G41" s="278" t="str">
        <f>IF('数据-取费表'!B22&lt;=1,"单利计息","复利计息")</f>
        <v>复利计息</v>
      </c>
    </row>
    <row r="42" spans="1:7" ht="13.5" customHeight="1">
      <c r="A42" s="951" t="s">
        <v>791</v>
      </c>
      <c r="B42" s="259" t="s">
        <v>2415</v>
      </c>
      <c r="C42" s="282">
        <f ca="1">ROUND(IF('数据-取费表'!B22&lt;=1,C33*F22*'数据-取费表'!B21/2,C33*(POWER((1+F22),'数据-取费表'!B21/2)-1)),0)</f>
        <v>91</v>
      </c>
      <c r="D42" s="282"/>
      <c r="E42" s="282"/>
      <c r="F42" s="283"/>
      <c r="G42" s="3206" t="s">
        <v>2416</v>
      </c>
    </row>
    <row r="43" spans="1:7" ht="13.5" customHeight="1">
      <c r="A43" s="951" t="s">
        <v>792</v>
      </c>
      <c r="B43" s="259" t="s">
        <v>2417</v>
      </c>
      <c r="C43" s="282">
        <f ca="1">ROUND(IF('数据-取费表'!B22&lt;=1,C39*F22*'数据-取费表'!B21/2,C39*(POWER((1+F22),'数据-取费表'!B21/2)-1)),0)</f>
        <v>2</v>
      </c>
      <c r="D43" s="282"/>
      <c r="E43" s="282"/>
      <c r="F43" s="283"/>
      <c r="G43" s="3207"/>
    </row>
    <row r="44" spans="1:7" ht="13.5" customHeight="1">
      <c r="A44" s="951" t="s">
        <v>793</v>
      </c>
      <c r="B44" s="259" t="s">
        <v>2418</v>
      </c>
      <c r="C44" s="282">
        <f ca="1">ROUND(IF('数据-取费表'!B22&lt;=1,C40*F22*'数据-取费表'!B21/2,C40*(POWER((1+F22),'数据-取费表'!B21/2)-1)),4)</f>
        <v>2.9999999999999997E-4</v>
      </c>
      <c r="D44" s="282"/>
      <c r="E44" s="282"/>
      <c r="F44" s="283"/>
      <c r="G44" s="3208"/>
    </row>
    <row r="45" spans="1:7" s="258" customFormat="1" ht="13.5" customHeight="1">
      <c r="A45" s="299" t="s">
        <v>2419</v>
      </c>
      <c r="B45" s="288" t="s">
        <v>2385</v>
      </c>
      <c r="C45" s="289">
        <f ca="1">C46</f>
        <v>1008</v>
      </c>
      <c r="D45" s="279">
        <f ca="1">C47</f>
        <v>3.0000000000000001E-3</v>
      </c>
      <c r="E45" s="280" t="s">
        <v>2411</v>
      </c>
      <c r="F45" s="290"/>
      <c r="G45" s="291" t="s">
        <v>2420</v>
      </c>
    </row>
    <row r="46" spans="1:7" s="258" customFormat="1" ht="13.5" customHeight="1">
      <c r="A46" s="951" t="s">
        <v>791</v>
      </c>
      <c r="B46" s="292" t="s">
        <v>2421</v>
      </c>
      <c r="C46" s="293">
        <f ca="1">ROUND((C33+C39)*F27,0)</f>
        <v>1008</v>
      </c>
      <c r="D46" s="307"/>
      <c r="E46" s="280"/>
      <c r="F46" s="290"/>
      <c r="G46" s="291"/>
    </row>
    <row r="47" spans="1:7" s="258" customFormat="1" ht="13.5" customHeight="1">
      <c r="A47" s="951" t="s">
        <v>792</v>
      </c>
      <c r="B47" s="292" t="s">
        <v>2422</v>
      </c>
      <c r="C47" s="282">
        <f ca="1">ROUND(C40*F27,4)</f>
        <v>3.0000000000000001E-3</v>
      </c>
      <c r="D47" s="307"/>
      <c r="E47" s="280"/>
      <c r="F47" s="290"/>
      <c r="G47" s="291"/>
    </row>
    <row r="48" spans="1:7" s="258" customFormat="1" ht="13.5" customHeight="1">
      <c r="A48" s="299" t="s">
        <v>2384</v>
      </c>
      <c r="B48" s="254" t="s">
        <v>2423</v>
      </c>
      <c r="C48" s="1728">
        <f>ROUND(F30/(1+'数据-取费表'!C42),4)</f>
        <v>5.2400000000000002E-2</v>
      </c>
      <c r="D48" s="280" t="s">
        <v>2411</v>
      </c>
      <c r="E48" s="276"/>
      <c r="F48" s="281"/>
      <c r="G48" s="278" t="s">
        <v>2424</v>
      </c>
    </row>
    <row r="49" spans="1:7" ht="16.5" customHeight="1">
      <c r="A49" s="299" t="s">
        <v>2390</v>
      </c>
      <c r="B49" s="254" t="s">
        <v>2425</v>
      </c>
      <c r="C49" s="276">
        <f ca="1">ROUND((C33+C39+C41+C45)/(1-C40-D41-D45-C48),0)</f>
        <v>8463</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8463</v>
      </c>
      <c r="D51" s="276"/>
      <c r="E51" s="276"/>
      <c r="F51" s="308"/>
      <c r="G51" s="278" t="s">
        <v>2432</v>
      </c>
    </row>
    <row r="52" spans="1:7" s="252" customFormat="1" ht="16.5" thickBot="1">
      <c r="A52" s="309" t="s">
        <v>2433</v>
      </c>
      <c r="B52" s="310"/>
      <c r="C52" s="311">
        <f ca="1">C31+C51</f>
        <v>41313</v>
      </c>
      <c r="D52" s="310"/>
      <c r="E52" s="310"/>
      <c r="F52" s="310"/>
      <c r="G52" s="312"/>
    </row>
    <row r="55" spans="1:7" ht="15">
      <c r="B55" s="314" t="s">
        <v>2434</v>
      </c>
      <c r="C55" s="315"/>
    </row>
    <row r="56" spans="1:7">
      <c r="B56" s="317" t="s">
        <v>1513</v>
      </c>
      <c r="C56" s="319">
        <f ca="1">1-C57</f>
        <v>0.79500000000000004</v>
      </c>
    </row>
    <row r="57" spans="1:7">
      <c r="B57" s="317" t="s">
        <v>1514</v>
      </c>
      <c r="C57" s="318">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0" t="str">
        <f>项目基本情况!B1</f>
        <v>出让国有建设用地使用权及在建建筑物房地产抵押价值预评估</v>
      </c>
      <c r="C37" s="3020"/>
      <c r="D37" s="3020"/>
      <c r="E37" s="3020"/>
      <c r="F37" s="3020"/>
      <c r="G37" s="3020"/>
      <c r="H37" s="3020"/>
      <c r="I37" s="302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C1"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37"/>
      <c r="C1" s="2557" t="s">
        <v>2435</v>
      </c>
      <c r="D1" s="242"/>
      <c r="E1" s="242"/>
      <c r="F1" s="242"/>
      <c r="G1" s="1379">
        <f>MATCH(B1,'数据-取费表'!A6:A16,0)+5</f>
        <v>9</v>
      </c>
      <c r="H1" s="1282" t="str">
        <f>IF(ISERROR(FIND("住宅",B1)),"非住宅","住宅")</f>
        <v>非住宅</v>
      </c>
    </row>
    <row r="2" spans="1:8" s="244" customFormat="1" ht="18" customHeight="1">
      <c r="A2" s="245" t="s">
        <v>2334</v>
      </c>
      <c r="B2" s="246">
        <f ca="1">ROUND(IF(D2="——",C52/10000,C52/10000-E2),0)</f>
        <v>48708</v>
      </c>
      <c r="C2" s="243" t="s">
        <v>2335</v>
      </c>
      <c r="D2" s="2551" t="s">
        <v>70</v>
      </c>
      <c r="E2" s="1440" t="e">
        <f ca="1">SUMIF(INDIRECT("'"&amp;G2&amp;"'"&amp;"!A:A"),"承租人权益价值",INDIRECT("'"&amp;G2&amp;"'"&amp;"!c:c"))</f>
        <v>#REF!</v>
      </c>
      <c r="F2" s="2552" t="s">
        <v>2335</v>
      </c>
      <c r="G2" s="2553"/>
    </row>
    <row r="3" spans="1:8" s="244" customFormat="1" ht="18" customHeight="1" thickBot="1">
      <c r="A3" s="247" t="s">
        <v>2336</v>
      </c>
      <c r="B3" s="248">
        <f ca="1">ROUND(B2*10000/(IF(B1="",'数据-汇总表'!E3,INDIRECT("'数据-取费表'!k"&amp;$G$1))),0)</f>
        <v>3956</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24624468</v>
      </c>
      <c r="D5" s="255" t="s">
        <v>2341</v>
      </c>
      <c r="E5" s="256" t="s">
        <v>2342</v>
      </c>
      <c r="F5" s="256" t="s">
        <v>2343</v>
      </c>
      <c r="G5" s="257"/>
    </row>
    <row r="6" spans="1:8" s="258" customFormat="1" ht="13.5" customHeight="1">
      <c r="A6" s="949" t="s">
        <v>2344</v>
      </c>
      <c r="B6" s="259" t="s">
        <v>2345</v>
      </c>
      <c r="C6" s="260"/>
      <c r="D6" s="261"/>
      <c r="E6" s="262"/>
      <c r="F6" s="262"/>
      <c r="G6" s="263"/>
    </row>
    <row r="7" spans="1:8" s="258" customFormat="1" ht="13.5" customHeight="1">
      <c r="A7" s="949" t="s">
        <v>2346</v>
      </c>
      <c r="B7" s="259" t="s">
        <v>2347</v>
      </c>
      <c r="C7" s="264">
        <f>ROUND(C6*F7,0)</f>
        <v>0</v>
      </c>
      <c r="D7" s="264"/>
      <c r="E7" s="262"/>
      <c r="F7" s="265">
        <f>'数据-取费表'!B48+'数据-取费表'!B49</f>
        <v>4.0500000000000001E-2</v>
      </c>
      <c r="G7" s="263"/>
    </row>
    <row r="8" spans="1:8" s="267" customFormat="1">
      <c r="A8" s="949" t="s">
        <v>2348</v>
      </c>
      <c r="B8" s="259" t="s">
        <v>2349</v>
      </c>
      <c r="C8" s="264">
        <f ca="1">IF(G8="已包含在土地购买价格中",0,C9+C10)</f>
        <v>24624468</v>
      </c>
      <c r="D8" s="266"/>
      <c r="E8" s="264"/>
      <c r="F8" s="265"/>
      <c r="G8" s="2554"/>
    </row>
    <row r="9" spans="1:8" s="258" customFormat="1" ht="13.5" customHeight="1">
      <c r="A9" s="950" t="s">
        <v>800</v>
      </c>
      <c r="B9" s="268" t="s">
        <v>2350</v>
      </c>
      <c r="C9" s="269">
        <f ca="1">ROUND(D9*E9,0)</f>
        <v>15996916</v>
      </c>
      <c r="D9" s="1032">
        <f ca="1">IF(B1="",'数据-汇总表'!E5,IF(INDIRECT("'数据-取费表'!c"&amp;$G$1)="住宅",INDIRECT("'数据-取费表'!k"&amp;$G$1),0))</f>
        <v>79984.58</v>
      </c>
      <c r="E9" s="269">
        <f>'数据-取费表'!B27</f>
        <v>200</v>
      </c>
      <c r="F9" s="265"/>
      <c r="G9" s="270"/>
    </row>
    <row r="10" spans="1:8" s="258" customFormat="1" ht="13.5" customHeight="1">
      <c r="A10" s="950" t="s">
        <v>801</v>
      </c>
      <c r="B10" s="268" t="s">
        <v>2352</v>
      </c>
      <c r="C10" s="269">
        <f ca="1">ROUND(D10*E10,0)</f>
        <v>8627552</v>
      </c>
      <c r="D10" s="1032">
        <f ca="1">IF(B1="",'数据-汇总表'!E6,IF(INDIRECT("'数据-取费表'!c"&amp;$G$1)="住宅",INDIRECT("'数据-取费表'!s"&amp;$G$1),INDIRECT("'数据-取费表'!k"&amp;$G$1)+INDIRECT("'数据-取费表'!s"&amp;$G$1)))</f>
        <v>43137.759999999995</v>
      </c>
      <c r="E10" s="269">
        <f>'数据-取费表'!B28</f>
        <v>200</v>
      </c>
      <c r="F10" s="265"/>
      <c r="G10" s="270"/>
    </row>
    <row r="11" spans="1:8" s="258" customFormat="1" ht="13.5" hidden="1" customHeight="1">
      <c r="A11" s="271" t="s">
        <v>7</v>
      </c>
      <c r="B11" s="259" t="s">
        <v>2353</v>
      </c>
      <c r="C11" s="255"/>
      <c r="D11" s="1034"/>
      <c r="E11" s="262"/>
      <c r="F11" s="262"/>
      <c r="G11" s="263"/>
    </row>
    <row r="12" spans="1:8" s="258" customFormat="1" ht="13.5" hidden="1" customHeight="1">
      <c r="A12" s="271" t="s">
        <v>8</v>
      </c>
      <c r="B12" s="259" t="s">
        <v>2436</v>
      </c>
      <c r="C12" s="255">
        <v>0</v>
      </c>
      <c r="D12" s="1034"/>
      <c r="E12" s="272"/>
      <c r="F12" s="265">
        <v>3.0499999999999999E-2</v>
      </c>
      <c r="G12" s="263"/>
    </row>
    <row r="13" spans="1:8" s="258" customFormat="1" ht="13.5" hidden="1" customHeight="1">
      <c r="A13" s="271" t="s">
        <v>9</v>
      </c>
      <c r="B13" s="259" t="s">
        <v>2437</v>
      </c>
      <c r="C13" s="255"/>
      <c r="D13" s="1034"/>
      <c r="E13" s="262"/>
      <c r="F13" s="262"/>
      <c r="G13" s="263"/>
    </row>
    <row r="14" spans="1:8" s="258" customFormat="1" ht="13.5" hidden="1" customHeight="1">
      <c r="A14" s="271" t="s">
        <v>10</v>
      </c>
      <c r="B14" s="259" t="s">
        <v>2349</v>
      </c>
      <c r="C14" s="255"/>
      <c r="D14" s="1034"/>
      <c r="E14" s="262"/>
      <c r="F14" s="262"/>
      <c r="G14" s="263" t="s">
        <v>2438</v>
      </c>
    </row>
    <row r="15" spans="1:8" s="258" customFormat="1" ht="13.5" hidden="1" customHeight="1">
      <c r="A15" s="271" t="s">
        <v>11</v>
      </c>
      <c r="B15" s="259" t="s">
        <v>2439</v>
      </c>
      <c r="C15" s="264"/>
      <c r="D15" s="1034"/>
      <c r="E15" s="262"/>
      <c r="F15" s="262"/>
      <c r="G15" s="263" t="s">
        <v>2440</v>
      </c>
    </row>
    <row r="16" spans="1:8" s="258" customFormat="1" ht="13.5" hidden="1" customHeight="1">
      <c r="A16" s="271" t="s">
        <v>12</v>
      </c>
      <c r="B16" s="259" t="s">
        <v>2349</v>
      </c>
      <c r="C16" s="264"/>
      <c r="D16" s="1034"/>
      <c r="E16" s="262"/>
      <c r="F16" s="262"/>
      <c r="G16" s="263"/>
    </row>
    <row r="17" spans="1:7" s="258" customFormat="1" ht="13.5" hidden="1" customHeight="1">
      <c r="A17" s="271" t="s">
        <v>13</v>
      </c>
      <c r="B17" s="259" t="s">
        <v>2441</v>
      </c>
      <c r="C17" s="273"/>
      <c r="D17" s="1035"/>
      <c r="E17" s="273"/>
      <c r="F17" s="273"/>
      <c r="G17" s="263" t="s">
        <v>2440</v>
      </c>
    </row>
    <row r="18" spans="1:7" s="258" customFormat="1" ht="13.5" hidden="1" customHeight="1">
      <c r="A18" s="271" t="s">
        <v>14</v>
      </c>
      <c r="B18" s="259" t="s">
        <v>2442</v>
      </c>
      <c r="C18" s="264">
        <v>0</v>
      </c>
      <c r="D18" s="1034"/>
      <c r="E18" s="262"/>
      <c r="F18" s="265">
        <v>3.0499999999999999E-2</v>
      </c>
      <c r="G18" s="263" t="s">
        <v>2443</v>
      </c>
    </row>
    <row r="19" spans="1:7" s="267" customFormat="1" ht="13.5" customHeight="1">
      <c r="A19" s="299" t="s">
        <v>2444</v>
      </c>
      <c r="B19" s="254" t="s">
        <v>2445</v>
      </c>
      <c r="C19" s="255">
        <f ca="1">IF(G19="已包含在土地取得成本中","0",ROUND(D19*E19,0))</f>
        <v>12312234</v>
      </c>
      <c r="D19" s="1036">
        <f ca="1">D9+D10</f>
        <v>123122.34</v>
      </c>
      <c r="E19" s="255">
        <f>'数据-取费表'!B31</f>
        <v>100</v>
      </c>
      <c r="F19" s="275"/>
      <c r="G19" s="2554"/>
    </row>
    <row r="20" spans="1:7" s="258" customFormat="1" ht="13.5" customHeight="1">
      <c r="A20" s="299" t="s">
        <v>2446</v>
      </c>
      <c r="B20" s="254" t="s">
        <v>2447</v>
      </c>
      <c r="C20" s="276">
        <f ca="1">ROUND((C5+C19)*F20,0)</f>
        <v>738734</v>
      </c>
      <c r="D20" s="276"/>
      <c r="E20" s="276"/>
      <c r="F20" s="277">
        <f>'数据-取费表'!B37</f>
        <v>0.02</v>
      </c>
      <c r="G20" s="278" t="s">
        <v>2448</v>
      </c>
    </row>
    <row r="21" spans="1:7" s="258" customFormat="1" ht="13.5" customHeight="1">
      <c r="A21" s="299" t="s">
        <v>2449</v>
      </c>
      <c r="B21" s="254" t="s">
        <v>2450</v>
      </c>
      <c r="C21" s="279">
        <f>F21</f>
        <v>0.02</v>
      </c>
      <c r="D21" s="280" t="s">
        <v>2451</v>
      </c>
      <c r="E21" s="276"/>
      <c r="F21" s="277">
        <f>'数据-取费表'!B38</f>
        <v>0.02</v>
      </c>
      <c r="G21" s="278" t="s">
        <v>2452</v>
      </c>
    </row>
    <row r="22" spans="1:7" s="258" customFormat="1" ht="13.5" customHeight="1">
      <c r="A22" s="299" t="s">
        <v>2453</v>
      </c>
      <c r="B22" s="254" t="s">
        <v>2454</v>
      </c>
      <c r="C22" s="1380">
        <f ca="1">ROUND(SUM(C23:C25),0)</f>
        <v>3627415</v>
      </c>
      <c r="D22" s="279">
        <f ca="1">C26</f>
        <v>1E-3</v>
      </c>
      <c r="E22" s="280" t="s">
        <v>2451</v>
      </c>
      <c r="F22" s="281">
        <f ca="1">'数据-取费表'!B40</f>
        <v>4.7500000000000001E-2</v>
      </c>
      <c r="G22" s="278" t="str">
        <f>IF('数据-取费表'!B22&lt;=1,"单利计息","复利计息")</f>
        <v>复利计息</v>
      </c>
    </row>
    <row r="23" spans="1:7" s="258" customFormat="1" ht="13.5" customHeight="1">
      <c r="A23" s="951" t="s">
        <v>2344</v>
      </c>
      <c r="B23" s="259" t="s">
        <v>2455</v>
      </c>
      <c r="C23" s="1381">
        <f ca="1">ROUND(IF('数据-取费表'!B22&lt;=1,C5*F22*'数据-取费表'!B22,C5*(POWER((1+F22),'数据-取费表'!B22)-1)),0)</f>
        <v>2394883</v>
      </c>
      <c r="D23" s="282"/>
      <c r="E23" s="282"/>
      <c r="F23" s="283"/>
      <c r="G23" s="284" t="s">
        <v>2456</v>
      </c>
    </row>
    <row r="24" spans="1:7" s="258" customFormat="1" ht="13.5" customHeight="1">
      <c r="A24" s="951" t="s">
        <v>2346</v>
      </c>
      <c r="B24" s="259" t="s">
        <v>2457</v>
      </c>
      <c r="C24" s="1381">
        <f ca="1">ROUND(IF('数据-取费表'!B22&lt;=1,C19*F22*('数据-取费表'!B19/2+'数据-取费表'!B20),C19*(POWER((1+F22),('数据-取费表'!B19/2+'数据-取费表'!B20))-1)),0)</f>
        <v>1197442</v>
      </c>
      <c r="D24" s="282"/>
      <c r="E24" s="282"/>
      <c r="F24" s="283"/>
      <c r="G24" s="284" t="s">
        <v>2458</v>
      </c>
    </row>
    <row r="25" spans="1:7" s="258" customFormat="1" ht="24">
      <c r="A25" s="951" t="s">
        <v>2348</v>
      </c>
      <c r="B25" s="259" t="s">
        <v>2459</v>
      </c>
      <c r="C25" s="1381">
        <f ca="1">ROUND(IF('数据-取费表'!B22&lt;=1,C20*F22*'数据-取费表'!B22/2,C20*(POWER((1+F22),'数据-取费表'!B22/2)-1)),0)</f>
        <v>35090</v>
      </c>
      <c r="D25" s="282"/>
      <c r="E25" s="285"/>
      <c r="F25" s="283"/>
      <c r="G25" s="286" t="s">
        <v>2460</v>
      </c>
    </row>
    <row r="26" spans="1:7" s="258" customFormat="1">
      <c r="A26" s="951" t="s">
        <v>795</v>
      </c>
      <c r="B26" s="259" t="s">
        <v>2383</v>
      </c>
      <c r="C26" s="282">
        <f ca="1">ROUND(IF('数据-取费表'!B22&lt;=1,F21*F22*'数据-取费表'!B22/2,F21*(POWER((1+F22),'数据-取费表'!B22/2)-1)),4)</f>
        <v>1E-3</v>
      </c>
      <c r="D26" s="282"/>
      <c r="E26" s="285"/>
      <c r="F26" s="283"/>
      <c r="G26" s="287"/>
    </row>
    <row r="27" spans="1:7" s="258" customFormat="1" ht="24.75">
      <c r="A27" s="299" t="s">
        <v>2384</v>
      </c>
      <c r="B27" s="288" t="s">
        <v>2385</v>
      </c>
      <c r="C27" s="289">
        <f ca="1">C28</f>
        <v>5651315</v>
      </c>
      <c r="D27" s="279">
        <f ca="1">C29</f>
        <v>3.0000000000000001E-3</v>
      </c>
      <c r="E27" s="280" t="s">
        <v>2386</v>
      </c>
      <c r="F27" s="290">
        <f ca="1">IF(B1="",'数据-取费表'!Q16,INDIRECT("'数据-取费表'!q"&amp;$G$1))</f>
        <v>0.15</v>
      </c>
      <c r="G27" s="291" t="s">
        <v>2387</v>
      </c>
    </row>
    <row r="28" spans="1:7" s="258" customFormat="1" ht="13.5" customHeight="1">
      <c r="A28" s="951" t="s">
        <v>791</v>
      </c>
      <c r="B28" s="292" t="s">
        <v>2388</v>
      </c>
      <c r="C28" s="293">
        <f ca="1">ROUND((C5+C19+C20)*F27,0)</f>
        <v>5651315</v>
      </c>
      <c r="D28" s="279"/>
      <c r="E28" s="280"/>
      <c r="F28" s="290"/>
      <c r="G28" s="291"/>
    </row>
    <row r="29" spans="1:7" s="258" customFormat="1" ht="13.5" customHeight="1">
      <c r="A29" s="951" t="s">
        <v>792</v>
      </c>
      <c r="B29" s="292" t="s">
        <v>2389</v>
      </c>
      <c r="C29" s="282">
        <f ca="1">ROUND(C21*F27,4)</f>
        <v>3.0000000000000001E-3</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50838205</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329864858</v>
      </c>
      <c r="D33" s="276"/>
      <c r="E33" s="256"/>
      <c r="F33" s="285"/>
      <c r="G33" s="278"/>
    </row>
    <row r="34" spans="1:7" s="302" customFormat="1" ht="13.5" customHeight="1">
      <c r="A34" s="951" t="s">
        <v>791</v>
      </c>
      <c r="B34" s="259" t="s">
        <v>2397</v>
      </c>
      <c r="C34" s="264">
        <f ca="1">ROUND(IF(B1="",SUMPRODUCT('数据-取费表'!K6:K14,'数据-取费表'!L6:L14),INDIRECT("'数据-取费表'!l"&amp;$G$1)*INDIRECT("'数据-取费表'!k"&amp;$G$1)+'数据-取费表'!L14*INDIRECT("'数据-取费表'!S"&amp;$G$1)),0)</f>
        <v>283293936</v>
      </c>
      <c r="D34" s="261"/>
      <c r="E34" s="264"/>
      <c r="F34" s="301"/>
      <c r="G34" s="263"/>
    </row>
    <row r="35" spans="1:7" ht="13.5" customHeight="1">
      <c r="A35" s="951" t="s">
        <v>796</v>
      </c>
      <c r="B35" s="259" t="s">
        <v>2399</v>
      </c>
      <c r="C35" s="264">
        <f ca="1">ROUND(C34*F35,0)</f>
        <v>8498818</v>
      </c>
      <c r="D35" s="264"/>
      <c r="E35" s="264"/>
      <c r="F35" s="303">
        <f>'数据-取费表'!B33</f>
        <v>0.03</v>
      </c>
      <c r="G35" s="263" t="s">
        <v>2400</v>
      </c>
    </row>
    <row r="36" spans="1:7" ht="24">
      <c r="A36" s="951" t="s">
        <v>797</v>
      </c>
      <c r="B36" s="259" t="s">
        <v>2401</v>
      </c>
      <c r="C36" s="264">
        <f ca="1">ROUND(IF(B1="",SUM('数据-取费表'!AP6:AP13)*F36,IF(INDIRECT("'数据-取费表'!c"&amp;$G$1)="住宅",INDIRECT("'数据-取费表'!k"&amp;$G$1)*INDIRECT("'数据-取费表'!l"&amp;$G$1)*F36,0)),0)</f>
        <v>9198227</v>
      </c>
      <c r="D36" s="264"/>
      <c r="E36" s="264"/>
      <c r="F36" s="303">
        <f>'数据-取费表'!B34</f>
        <v>0.05</v>
      </c>
      <c r="G36" s="304" t="s">
        <v>2402</v>
      </c>
    </row>
    <row r="37" spans="1:7" s="302" customFormat="1" ht="13.5" customHeight="1">
      <c r="A37" s="951" t="s">
        <v>798</v>
      </c>
      <c r="B37" s="259" t="s">
        <v>2403</v>
      </c>
      <c r="C37" s="293">
        <f ca="1">ROUND(E37*D37,0)</f>
        <v>24624468</v>
      </c>
      <c r="D37" s="261">
        <f ca="1">D19</f>
        <v>123122.34</v>
      </c>
      <c r="E37" s="293">
        <f>'数据-取费表'!B35</f>
        <v>200</v>
      </c>
      <c r="F37" s="303"/>
      <c r="G37" s="305"/>
    </row>
    <row r="38" spans="1:7" ht="13.5" customHeight="1">
      <c r="A38" s="951" t="s">
        <v>799</v>
      </c>
      <c r="B38" s="259" t="s">
        <v>2405</v>
      </c>
      <c r="C38" s="264">
        <f ca="1">ROUND(C34*F38,0)</f>
        <v>4249409</v>
      </c>
      <c r="D38" s="264"/>
      <c r="E38" s="264"/>
      <c r="F38" s="303">
        <f>'数据-取费表'!B36</f>
        <v>1.4999999999999999E-2</v>
      </c>
      <c r="G38" s="263" t="s">
        <v>2400</v>
      </c>
    </row>
    <row r="39" spans="1:7" s="258" customFormat="1" ht="13.5" customHeight="1">
      <c r="A39" s="299" t="s">
        <v>2406</v>
      </c>
      <c r="B39" s="254" t="s">
        <v>2407</v>
      </c>
      <c r="C39" s="276">
        <f ca="1">ROUND(C33*F20,0)</f>
        <v>6597297</v>
      </c>
      <c r="D39" s="276"/>
      <c r="E39" s="276"/>
      <c r="F39" s="277"/>
      <c r="G39" s="278" t="s">
        <v>2408</v>
      </c>
    </row>
    <row r="40" spans="1:7" s="258" customFormat="1" ht="13.5" customHeight="1">
      <c r="A40" s="299" t="s">
        <v>2409</v>
      </c>
      <c r="B40" s="254" t="s">
        <v>2410</v>
      </c>
      <c r="C40" s="1728">
        <f>F21</f>
        <v>0.02</v>
      </c>
      <c r="D40" s="280" t="s">
        <v>2411</v>
      </c>
      <c r="E40" s="276"/>
      <c r="F40" s="277"/>
      <c r="G40" s="278" t="s">
        <v>2412</v>
      </c>
    </row>
    <row r="41" spans="1:7" s="258" customFormat="1" ht="13.5" customHeight="1">
      <c r="A41" s="299" t="s">
        <v>2413</v>
      </c>
      <c r="B41" s="254" t="s">
        <v>2414</v>
      </c>
      <c r="C41" s="276">
        <f ca="1">ROUND(SUM(C42:C43),0)</f>
        <v>15981953</v>
      </c>
      <c r="D41" s="279">
        <f ca="1">C44</f>
        <v>1E-3</v>
      </c>
      <c r="E41" s="280" t="s">
        <v>2411</v>
      </c>
      <c r="F41" s="281"/>
      <c r="G41" s="278" t="str">
        <f>IF('数据-取费表'!B22&lt;=1,"单利计息","复利计息")</f>
        <v>复利计息</v>
      </c>
    </row>
    <row r="42" spans="1:7" ht="13.5" customHeight="1">
      <c r="A42" s="951" t="s">
        <v>791</v>
      </c>
      <c r="B42" s="259" t="s">
        <v>2415</v>
      </c>
      <c r="C42" s="282">
        <f ca="1">ROUND(IF('数据-取费表'!B22&lt;=1,C33*F22*'数据-取费表'!B20/2,C33*(POWER((1+F22),'数据-取费表'!B20/2)-1)),0)</f>
        <v>15668581</v>
      </c>
      <c r="D42" s="282"/>
      <c r="E42" s="282"/>
      <c r="F42" s="283"/>
      <c r="G42" s="3206" t="s">
        <v>2463</v>
      </c>
    </row>
    <row r="43" spans="1:7" ht="13.5" customHeight="1">
      <c r="A43" s="951" t="s">
        <v>792</v>
      </c>
      <c r="B43" s="259" t="s">
        <v>2417</v>
      </c>
      <c r="C43" s="282">
        <f ca="1">ROUND(IF('数据-取费表'!B22&lt;=1,C39*F22*'数据-取费表'!B20/2,C39*(POWER((1+F22),'数据-取费表'!B20/2)-1)),0)</f>
        <v>313372</v>
      </c>
      <c r="D43" s="282"/>
      <c r="E43" s="282"/>
      <c r="F43" s="283"/>
      <c r="G43" s="3207"/>
    </row>
    <row r="44" spans="1:7" ht="13.5" customHeight="1">
      <c r="A44" s="951" t="s">
        <v>793</v>
      </c>
      <c r="B44" s="259" t="s">
        <v>2418</v>
      </c>
      <c r="C44" s="282">
        <f ca="1">ROUND(IF('数据-取费表'!B22&lt;=1,C40*F22*'数据-取费表'!B20/2,C40*(POWER((1+F22),'数据-取费表'!B20/2)-1)),4)</f>
        <v>1E-3</v>
      </c>
      <c r="D44" s="282"/>
      <c r="E44" s="282"/>
      <c r="F44" s="283"/>
      <c r="G44" s="3208"/>
    </row>
    <row r="45" spans="1:7" s="258" customFormat="1" ht="13.5" customHeight="1">
      <c r="A45" s="299" t="s">
        <v>2419</v>
      </c>
      <c r="B45" s="288" t="s">
        <v>2385</v>
      </c>
      <c r="C45" s="289">
        <f ca="1">C46</f>
        <v>50469323</v>
      </c>
      <c r="D45" s="279">
        <f ca="1">C47</f>
        <v>3.0000000000000001E-3</v>
      </c>
      <c r="E45" s="280" t="s">
        <v>2411</v>
      </c>
      <c r="F45" s="290"/>
      <c r="G45" s="291" t="s">
        <v>2420</v>
      </c>
    </row>
    <row r="46" spans="1:7" s="258" customFormat="1" ht="13.5" customHeight="1">
      <c r="A46" s="951" t="s">
        <v>791</v>
      </c>
      <c r="B46" s="292" t="s">
        <v>2421</v>
      </c>
      <c r="C46" s="293">
        <f ca="1">ROUND((C33+C39)*F27,0)</f>
        <v>50469323</v>
      </c>
      <c r="D46" s="307"/>
      <c r="E46" s="280"/>
      <c r="F46" s="290"/>
      <c r="G46" s="291"/>
    </row>
    <row r="47" spans="1:7" s="258" customFormat="1" ht="13.5" customHeight="1">
      <c r="A47" s="951" t="s">
        <v>792</v>
      </c>
      <c r="B47" s="292" t="s">
        <v>2422</v>
      </c>
      <c r="C47" s="282">
        <f ca="1">ROUND(C40*F27,4)</f>
        <v>3.0000000000000001E-3</v>
      </c>
      <c r="D47" s="307"/>
      <c r="E47" s="280"/>
      <c r="F47" s="290"/>
      <c r="G47" s="291"/>
    </row>
    <row r="48" spans="1:7" s="258" customFormat="1" ht="13.5" customHeight="1">
      <c r="A48" s="299" t="s">
        <v>2384</v>
      </c>
      <c r="B48" s="254" t="s">
        <v>2423</v>
      </c>
      <c r="C48" s="306">
        <f>ROUND(F30/(1+'数据-取费表'!C42),4)</f>
        <v>5.2400000000000002E-2</v>
      </c>
      <c r="D48" s="280" t="s">
        <v>2411</v>
      </c>
      <c r="E48" s="276"/>
      <c r="F48" s="281"/>
      <c r="G48" s="278" t="s">
        <v>2424</v>
      </c>
    </row>
    <row r="49" spans="1:7" ht="16.5" customHeight="1">
      <c r="A49" s="299" t="s">
        <v>2390</v>
      </c>
      <c r="B49" s="254" t="s">
        <v>2464</v>
      </c>
      <c r="C49" s="276">
        <f ca="1">ROUND((C33+C39+C41+C45)/(1-C40-D41-D45-C48),0)</f>
        <v>436242346</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436242346</v>
      </c>
      <c r="D51" s="276"/>
      <c r="E51" s="276"/>
      <c r="F51" s="308"/>
      <c r="G51" s="278" t="s">
        <v>2432</v>
      </c>
    </row>
    <row r="52" spans="1:7" s="252" customFormat="1" ht="16.5" thickBot="1">
      <c r="A52" s="309" t="s">
        <v>2433</v>
      </c>
      <c r="B52" s="310"/>
      <c r="C52" s="311">
        <f ca="1">C31+C51</f>
        <v>487080551</v>
      </c>
      <c r="D52" s="310"/>
      <c r="E52" s="310"/>
      <c r="F52" s="310"/>
      <c r="G52" s="312"/>
    </row>
    <row r="55" spans="1:7" ht="15">
      <c r="B55" s="314" t="s">
        <v>2434</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N26" sqref="N2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f>F66</f>
        <v>25958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2336</v>
      </c>
      <c r="B3" s="609">
        <f>ROUND(IF(D3="",B2*10000/'数据-汇总表'!E3,B2*10000/D3),0)</f>
        <v>2108</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10" t="s">
        <v>2652</v>
      </c>
      <c r="AC4" s="3209" t="s">
        <v>2653</v>
      </c>
    </row>
    <row r="5" spans="1:30"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10"/>
      <c r="AC5" s="3210"/>
    </row>
    <row r="6" spans="1:30" ht="15.75" thickBot="1">
      <c r="A6" s="406"/>
      <c r="B6" s="407"/>
      <c r="C6" s="3222" t="s">
        <v>2550</v>
      </c>
      <c r="D6" s="3223"/>
      <c r="E6" s="3224" t="str">
        <f>土地案例!A7</f>
        <v>涵江区兴涵水都溪游都邠地块控规范围内</v>
      </c>
      <c r="F6" s="3225"/>
      <c r="G6" s="3222" t="str">
        <f>土地案例!A11</f>
        <v>城厢区霞林街道</v>
      </c>
      <c r="H6" s="3223"/>
      <c r="I6" s="3222" t="str">
        <f>土地案例!A17</f>
        <v>笏石镇</v>
      </c>
      <c r="J6" s="3223"/>
      <c r="K6" s="610" t="s">
        <v>2551</v>
      </c>
      <c r="L6" s="1130"/>
      <c r="M6" s="1131"/>
      <c r="N6" s="1131"/>
      <c r="O6" s="1131"/>
      <c r="P6" s="3235"/>
      <c r="Q6" s="3236"/>
      <c r="R6" s="3216"/>
      <c r="S6" s="3217"/>
      <c r="T6" s="3237"/>
      <c r="U6" s="3238"/>
      <c r="V6" s="3239"/>
      <c r="W6" s="3239"/>
      <c r="X6" s="1813"/>
      <c r="Y6" s="3237"/>
      <c r="Z6" s="3238"/>
      <c r="AA6" s="3211"/>
      <c r="AB6" s="3211"/>
      <c r="AC6" s="3211"/>
    </row>
    <row r="7" spans="1:30" s="117" customFormat="1" ht="15.75" thickBot="1">
      <c r="A7" s="408" t="s">
        <v>2552</v>
      </c>
      <c r="B7" s="409"/>
      <c r="C7" s="2946">
        <f>'数据-取费表'!B2</f>
        <v>43488</v>
      </c>
      <c r="D7" s="411">
        <v>100</v>
      </c>
      <c r="E7" s="412" t="str">
        <f>土地案例!H7</f>
        <v>2018-12-04</v>
      </c>
      <c r="F7" s="413">
        <f>SUMIF(70:70,YEAR(E7)&amp;"-"&amp;INT((MONTH(E7)+2)/3),71:71)</f>
        <v>99</v>
      </c>
      <c r="G7" s="2952" t="str">
        <f>土地案例!H11</f>
        <v>2018-10-09</v>
      </c>
      <c r="H7" s="411">
        <f>SUMIF(70:70,YEAR(G7)&amp;"-"&amp;INT((MONTH(G7)+2)/3),71:71)</f>
        <v>99</v>
      </c>
      <c r="I7" s="2700" t="str">
        <f>土地案例!H17</f>
        <v>2018-05-04</v>
      </c>
      <c r="J7" s="411">
        <f>SUMIF(70:70,YEAR(I7)&amp;"-"&amp;INT((MONTH(I7)+2)/3),71:71)</f>
        <v>97</v>
      </c>
      <c r="K7" s="611"/>
      <c r="L7" s="1132"/>
      <c r="M7" s="1133"/>
      <c r="N7" s="1133"/>
      <c r="O7" s="1133"/>
      <c r="P7" s="3212" t="s">
        <v>2553</v>
      </c>
      <c r="Q7" s="3240"/>
      <c r="R7" s="770" t="s">
        <v>17</v>
      </c>
      <c r="S7" s="771">
        <f t="shared" ref="S7:S15" si="0">F7</f>
        <v>99</v>
      </c>
      <c r="T7" s="770" t="s">
        <v>17</v>
      </c>
      <c r="U7" s="771">
        <f t="shared" ref="U7:U15" si="1">H7</f>
        <v>99</v>
      </c>
      <c r="V7" s="770" t="s">
        <v>17</v>
      </c>
      <c r="W7" s="771">
        <f t="shared" ref="W7:W15" si="2">J7</f>
        <v>97</v>
      </c>
      <c r="X7" s="772"/>
      <c r="Y7" s="3212" t="s">
        <v>2553</v>
      </c>
      <c r="Z7" s="3213"/>
      <c r="AA7" s="773">
        <f>D7/F7</f>
        <v>1.0101010101010102</v>
      </c>
      <c r="AB7" s="773">
        <f>D7/H7</f>
        <v>1.0101010101010102</v>
      </c>
      <c r="AC7" s="773">
        <f>D7/J7</f>
        <v>1.0309278350515463</v>
      </c>
    </row>
    <row r="8" spans="1:30" s="117" customFormat="1" ht="15.75" thickBot="1">
      <c r="A8" s="408" t="s">
        <v>2554</v>
      </c>
      <c r="B8" s="409"/>
      <c r="C8" s="2947" t="s">
        <v>2555</v>
      </c>
      <c r="D8" s="411">
        <v>100</v>
      </c>
      <c r="E8" s="414" t="s">
        <v>3064</v>
      </c>
      <c r="F8" s="413">
        <f>SUMIF(73:73,E8,74:74)-SUMIF(73:73,C8,74:74)+100</f>
        <v>100</v>
      </c>
      <c r="G8" s="414" t="s">
        <v>3064</v>
      </c>
      <c r="H8" s="411">
        <f>SUMIF(73:73,G8,74:74)-SUMIF(73:73,C8,74:74)+100</f>
        <v>100</v>
      </c>
      <c r="I8" s="414" t="s">
        <v>3064</v>
      </c>
      <c r="J8" s="411">
        <f>SUMIF(73:73,I8,74:74)-SUMIF(73:73,C8,74:74)+100</f>
        <v>100</v>
      </c>
      <c r="K8" s="611"/>
      <c r="L8" s="1132"/>
      <c r="M8" s="1133"/>
      <c r="N8" s="1133"/>
      <c r="O8" s="1133"/>
      <c r="P8" s="3212" t="s">
        <v>2556</v>
      </c>
      <c r="Q8" s="3213"/>
      <c r="R8" s="770" t="s">
        <v>17</v>
      </c>
      <c r="S8" s="771">
        <f t="shared" si="0"/>
        <v>100</v>
      </c>
      <c r="T8" s="770" t="s">
        <v>17</v>
      </c>
      <c r="U8" s="771">
        <f t="shared" si="1"/>
        <v>100</v>
      </c>
      <c r="V8" s="770" t="s">
        <v>17</v>
      </c>
      <c r="W8" s="771">
        <f t="shared" si="2"/>
        <v>100</v>
      </c>
      <c r="X8" s="772"/>
      <c r="Y8" s="3212" t="s">
        <v>2556</v>
      </c>
      <c r="Z8" s="3213"/>
      <c r="AA8" s="773">
        <f t="shared" ref="AA8:AA45" si="3">D8/F8</f>
        <v>1</v>
      </c>
      <c r="AB8" s="773">
        <f t="shared" ref="AB8:AB45" si="4">D8/H8</f>
        <v>1</v>
      </c>
      <c r="AC8" s="773">
        <f t="shared" ref="AC8:AC45" si="5">D8/J8</f>
        <v>1</v>
      </c>
    </row>
    <row r="9" spans="1:30" s="117" customFormat="1">
      <c r="A9" s="415" t="s">
        <v>2557</v>
      </c>
      <c r="B9" s="71" t="s">
        <v>2558</v>
      </c>
      <c r="C9" s="2703" t="s">
        <v>3053</v>
      </c>
      <c r="D9" s="135">
        <v>100</v>
      </c>
      <c r="E9" s="2703" t="s">
        <v>3053</v>
      </c>
      <c r="F9" s="135">
        <f>SUMIF(75:75,E9,76:76)-SUMIF(75:75,C9,76:76)+100</f>
        <v>100</v>
      </c>
      <c r="G9" s="2703" t="s">
        <v>3053</v>
      </c>
      <c r="H9" s="135">
        <f>SUMIF(75:75,G9,76:76)-SUMIF(75:75,C9,76:76)+100</f>
        <v>100</v>
      </c>
      <c r="I9" s="2703" t="s">
        <v>3053</v>
      </c>
      <c r="J9" s="135">
        <f>SUMIF(75:75,I9,76:76)-SUMIF(75:75,C9,76:76)+100</f>
        <v>100</v>
      </c>
      <c r="K9" s="611"/>
      <c r="L9" s="1132"/>
      <c r="M9" s="1133"/>
      <c r="N9" s="1133"/>
      <c r="O9" s="1134"/>
      <c r="P9" s="3226"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30" ht="15">
      <c r="A11" s="428"/>
      <c r="B11" s="422" t="s">
        <v>2562</v>
      </c>
      <c r="C11" s="429" t="s">
        <v>3063</v>
      </c>
      <c r="D11" s="136">
        <v>100</v>
      </c>
      <c r="E11" s="429" t="s">
        <v>3106</v>
      </c>
      <c r="F11" s="136">
        <f>LOOKUP(E11,80:80,81:81)-LOOKUP(C11,80:80,81:81)+100</f>
        <v>100</v>
      </c>
      <c r="G11" s="429" t="s">
        <v>3063</v>
      </c>
      <c r="H11" s="136">
        <f>LOOKUP(G11,80:80,81:81)-LOOKUP(C11,80:80,81:81)+100</f>
        <v>100</v>
      </c>
      <c r="I11" s="429" t="s">
        <v>3063</v>
      </c>
      <c r="J11" s="136">
        <f>LOOKUP(I11,80:80,81:81)-LOOKUP(C11,80:80,81:81)+100</f>
        <v>100</v>
      </c>
      <c r="K11" s="673">
        <v>2</v>
      </c>
      <c r="L11" s="1138"/>
      <c r="M11" s="1131"/>
      <c r="N11" s="1131"/>
      <c r="O11" s="1139"/>
      <c r="P11" s="3226"/>
      <c r="Q11" s="1795" t="str">
        <f t="shared" si="6"/>
        <v>容积率</v>
      </c>
      <c r="R11" s="770" t="s">
        <v>17</v>
      </c>
      <c r="S11" s="771">
        <f t="shared" si="0"/>
        <v>100</v>
      </c>
      <c r="T11" s="770" t="s">
        <v>17</v>
      </c>
      <c r="U11" s="771">
        <f t="shared" si="1"/>
        <v>100</v>
      </c>
      <c r="V11" s="770" t="s">
        <v>17</v>
      </c>
      <c r="W11" s="771">
        <f t="shared" si="2"/>
        <v>100</v>
      </c>
      <c r="X11" s="772"/>
      <c r="Y11" s="3086"/>
      <c r="Z11" s="55" t="str">
        <f t="shared" si="7"/>
        <v>容积率</v>
      </c>
      <c r="AA11" s="773">
        <f t="shared" si="3"/>
        <v>1</v>
      </c>
      <c r="AB11" s="773">
        <f t="shared" si="4"/>
        <v>1</v>
      </c>
      <c r="AC11" s="773">
        <f t="shared" si="5"/>
        <v>1</v>
      </c>
    </row>
    <row r="12" spans="1:30" s="117" customFormat="1" ht="15">
      <c r="A12" s="431"/>
      <c r="B12" s="2604" t="s">
        <v>2751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6"/>
      <c r="Q12" s="1795" t="str">
        <f t="shared" si="6"/>
        <v>配建</v>
      </c>
      <c r="R12" s="770" t="s">
        <v>17</v>
      </c>
      <c r="S12" s="771">
        <f t="shared" si="0"/>
        <v>100</v>
      </c>
      <c r="T12" s="770" t="s">
        <v>17</v>
      </c>
      <c r="U12" s="771">
        <f t="shared" si="1"/>
        <v>100</v>
      </c>
      <c r="V12" s="770" t="s">
        <v>17</v>
      </c>
      <c r="W12" s="771">
        <f t="shared" si="2"/>
        <v>100</v>
      </c>
      <c r="X12" s="772"/>
      <c r="Y12" s="308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8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86"/>
      <c r="Z14" s="55">
        <f t="shared" si="7"/>
        <v>111</v>
      </c>
      <c r="AA14" s="773">
        <f>D14/F14</f>
        <v>1</v>
      </c>
      <c r="AB14" s="773">
        <f>D14/H14</f>
        <v>1</v>
      </c>
      <c r="AC14" s="773">
        <f>D14/J14</f>
        <v>1</v>
      </c>
    </row>
    <row r="15" spans="1:30" ht="99.75">
      <c r="A15" s="440" t="s">
        <v>2563</v>
      </c>
      <c r="B15" s="69" t="s">
        <v>2090</v>
      </c>
      <c r="C15" s="2607" t="str">
        <f>估价对象房地状况!C15</f>
        <v>估价对象周边居住用地比例、居住小区规模和社区发展完善程度，综合评价居住社区成熟度一般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0"/>
      <c r="M15" s="1131"/>
      <c r="N15" s="1131"/>
      <c r="O15" s="1139"/>
      <c r="P15" s="3241" t="s">
        <v>2564</v>
      </c>
      <c r="Q15" s="1810" t="str">
        <f t="shared" si="6"/>
        <v>居住社区成熟度</v>
      </c>
      <c r="R15" s="774" t="s">
        <v>17</v>
      </c>
      <c r="S15" s="775">
        <f t="shared" si="0"/>
        <v>103</v>
      </c>
      <c r="T15" s="774" t="s">
        <v>17</v>
      </c>
      <c r="U15" s="775">
        <f t="shared" si="1"/>
        <v>103</v>
      </c>
      <c r="V15" s="774" t="s">
        <v>17</v>
      </c>
      <c r="W15" s="775">
        <f t="shared" si="2"/>
        <v>103</v>
      </c>
      <c r="X15" s="1813"/>
      <c r="Y15" s="3241" t="s">
        <v>2564</v>
      </c>
      <c r="Z15" s="1814" t="str">
        <f t="shared" si="7"/>
        <v>居住社区成熟度</v>
      </c>
      <c r="AA15" s="1811">
        <f t="shared" si="3"/>
        <v>0.970873786407767</v>
      </c>
      <c r="AB15" s="1811">
        <f t="shared" si="4"/>
        <v>0.970873786407767</v>
      </c>
      <c r="AC15" s="1811">
        <f t="shared" si="5"/>
        <v>0.970873786407767</v>
      </c>
    </row>
    <row r="16" spans="1:30" ht="15">
      <c r="A16" s="428"/>
      <c r="B16" s="446"/>
      <c r="C16" s="447" t="s">
        <v>3067</v>
      </c>
      <c r="D16" s="448"/>
      <c r="E16" s="2609" t="s">
        <v>3326</v>
      </c>
      <c r="F16" s="448"/>
      <c r="G16" s="2609" t="s">
        <v>3326</v>
      </c>
      <c r="H16" s="450"/>
      <c r="I16" s="2608" t="s">
        <v>3326</v>
      </c>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71.25">
      <c r="A17" s="428"/>
      <c r="B17" s="451" t="s">
        <v>2657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2"/>
      <c r="Q17" s="1810" t="str">
        <f>B17</f>
        <v>商业繁华度</v>
      </c>
      <c r="R17" s="774" t="s">
        <v>17</v>
      </c>
      <c r="S17" s="775">
        <f>F17</f>
        <v>100</v>
      </c>
      <c r="T17" s="774" t="s">
        <v>17</v>
      </c>
      <c r="U17" s="775">
        <f>H17</f>
        <v>100</v>
      </c>
      <c r="V17" s="774" t="s">
        <v>17</v>
      </c>
      <c r="W17" s="775">
        <f>J17</f>
        <v>100</v>
      </c>
      <c r="X17" s="1813"/>
      <c r="Y17" s="3242"/>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71.25">
      <c r="A19" s="428"/>
      <c r="B19" s="451" t="s">
        <v>2691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2"/>
      <c r="Q19" s="1810" t="str">
        <f>B19</f>
        <v>办公集聚程度</v>
      </c>
      <c r="R19" s="774" t="s">
        <v>17</v>
      </c>
      <c r="S19" s="775">
        <f>F19</f>
        <v>100</v>
      </c>
      <c r="T19" s="774" t="s">
        <v>17</v>
      </c>
      <c r="U19" s="775">
        <f>H19</f>
        <v>100</v>
      </c>
      <c r="V19" s="774" t="s">
        <v>17</v>
      </c>
      <c r="W19" s="775">
        <f>J19</f>
        <v>100</v>
      </c>
      <c r="X19" s="1813"/>
      <c r="Y19" s="3242"/>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42"/>
      <c r="Q20" s="1810"/>
      <c r="R20" s="774"/>
      <c r="S20" s="775"/>
      <c r="T20" s="774"/>
      <c r="U20" s="775"/>
      <c r="V20" s="774"/>
      <c r="W20" s="775"/>
      <c r="X20" s="1813"/>
      <c r="Y20" s="3242"/>
      <c r="Z20" s="1814"/>
      <c r="AA20" s="1811">
        <v>1</v>
      </c>
      <c r="AB20" s="1811">
        <v>1</v>
      </c>
      <c r="AC20" s="1811">
        <v>1</v>
      </c>
    </row>
    <row r="21" spans="1:29" ht="85.5">
      <c r="A21" s="428"/>
      <c r="B21" s="451" t="s">
        <v>2713</v>
      </c>
      <c r="C21" s="2611" t="str">
        <f>估价对象房地状况!C18</f>
        <v>估价对象周边道路状况、公共交通通达情况、停车便捷程度，综合评价交通便捷度较好</v>
      </c>
      <c r="D21" s="450">
        <v>100</v>
      </c>
      <c r="E21" s="452"/>
      <c r="F21" s="455">
        <f>SUMIF(94:94,E22,95:95)-SUMIF(94:94,C22,95:95)+100</f>
        <v>103</v>
      </c>
      <c r="G21" s="452"/>
      <c r="H21" s="450">
        <f>SUMIF(94:94,G22,95:95)-SUMIF(94:94,C22,95:95)+100</f>
        <v>103</v>
      </c>
      <c r="I21" s="454"/>
      <c r="J21" s="450">
        <f>SUMIF(94:94,I22,95:95)-SUMIF(94:94,C22,95:95)+100</f>
        <v>106</v>
      </c>
      <c r="K21" s="673">
        <v>3</v>
      </c>
      <c r="L21" s="1140"/>
      <c r="M21" s="1131"/>
      <c r="N21" s="1131"/>
      <c r="O21" s="1139"/>
      <c r="P21" s="3242"/>
      <c r="Q21" s="1810" t="str">
        <f>B21</f>
        <v>交通便捷度</v>
      </c>
      <c r="R21" s="774" t="s">
        <v>17</v>
      </c>
      <c r="S21" s="775">
        <f>F21</f>
        <v>103</v>
      </c>
      <c r="T21" s="774" t="s">
        <v>17</v>
      </c>
      <c r="U21" s="775">
        <f>H21</f>
        <v>103</v>
      </c>
      <c r="V21" s="774" t="s">
        <v>17</v>
      </c>
      <c r="W21" s="775">
        <f>J21</f>
        <v>106</v>
      </c>
      <c r="X21" s="1813"/>
      <c r="Y21" s="3242"/>
      <c r="Z21" s="1814" t="str">
        <f>Q21</f>
        <v>交通便捷度</v>
      </c>
      <c r="AA21" s="1811">
        <f t="shared" si="3"/>
        <v>0.970873786407767</v>
      </c>
      <c r="AB21" s="1811">
        <f t="shared" si="4"/>
        <v>0.970873786407767</v>
      </c>
      <c r="AC21" s="1811">
        <f t="shared" si="5"/>
        <v>0.94339622641509435</v>
      </c>
    </row>
    <row r="22" spans="1:29" ht="15">
      <c r="A22" s="428"/>
      <c r="B22" s="1384"/>
      <c r="C22" s="447" t="s">
        <v>3067</v>
      </c>
      <c r="D22" s="450"/>
      <c r="E22" s="2609" t="s">
        <v>3326</v>
      </c>
      <c r="F22" s="448"/>
      <c r="G22" s="2609" t="s">
        <v>3326</v>
      </c>
      <c r="H22" s="448"/>
      <c r="I22" s="2608" t="s">
        <v>3327</v>
      </c>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ht="15">
      <c r="A23" s="404"/>
      <c r="B23" s="451" t="s">
        <v>2752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2"/>
      <c r="Q23" s="1810" t="str">
        <f t="shared" ref="Q23:Q37" si="8">B23</f>
        <v>区域土地利用方向</v>
      </c>
      <c r="R23" s="774" t="s">
        <v>17</v>
      </c>
      <c r="S23" s="775">
        <f>F23</f>
        <v>100</v>
      </c>
      <c r="T23" s="774" t="s">
        <v>17</v>
      </c>
      <c r="U23" s="775">
        <f>H23</f>
        <v>100</v>
      </c>
      <c r="V23" s="774" t="s">
        <v>17</v>
      </c>
      <c r="W23" s="775">
        <f>J23</f>
        <v>100</v>
      </c>
      <c r="X23" s="1813"/>
      <c r="Y23" s="3242"/>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09"/>
      <c r="L24" s="1140"/>
      <c r="M24" s="1131"/>
      <c r="N24" s="1131"/>
      <c r="O24" s="1139"/>
      <c r="P24" s="3242"/>
      <c r="Q24" s="1810"/>
      <c r="R24" s="774"/>
      <c r="S24" s="775"/>
      <c r="T24" s="774"/>
      <c r="U24" s="775"/>
      <c r="V24" s="774"/>
      <c r="W24" s="775"/>
      <c r="X24" s="1813"/>
      <c r="Y24" s="3242"/>
      <c r="Z24" s="1814"/>
      <c r="AA24" s="1811"/>
      <c r="AB24" s="1811"/>
      <c r="AC24" s="1811"/>
    </row>
    <row r="25" spans="1:29" ht="57">
      <c r="A25" s="404"/>
      <c r="B25" s="1384" t="s">
        <v>2753</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2"/>
      <c r="Q25" s="1810" t="str">
        <f t="shared" si="8"/>
        <v>自然及人文环境状况</v>
      </c>
      <c r="R25" s="774" t="s">
        <v>17</v>
      </c>
      <c r="S25" s="775">
        <f>F25</f>
        <v>100</v>
      </c>
      <c r="T25" s="774" t="s">
        <v>17</v>
      </c>
      <c r="U25" s="775">
        <f>H25</f>
        <v>100</v>
      </c>
      <c r="V25" s="774" t="s">
        <v>17</v>
      </c>
      <c r="W25" s="775">
        <f>J25</f>
        <v>100</v>
      </c>
      <c r="X25" s="1813"/>
      <c r="Y25" s="3242"/>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42"/>
      <c r="Q26" s="1810"/>
      <c r="R26" s="774"/>
      <c r="S26" s="775"/>
      <c r="T26" s="774"/>
      <c r="U26" s="775"/>
      <c r="V26" s="774"/>
      <c r="W26" s="775"/>
      <c r="X26" s="1813"/>
      <c r="Y26" s="3242"/>
      <c r="Z26" s="1814"/>
      <c r="AA26" s="1811">
        <v>1</v>
      </c>
      <c r="AB26" s="1811">
        <v>1</v>
      </c>
      <c r="AC26" s="1811">
        <v>1</v>
      </c>
    </row>
    <row r="27" spans="1:29" s="117" customFormat="1" ht="42.75">
      <c r="A27" s="649"/>
      <c r="B27" s="1384" t="s">
        <v>2658</v>
      </c>
      <c r="C27" s="2611" t="str">
        <f>估价对象房地状况!C21</f>
        <v>估价对象所在区域公共配套设施齐备情况</v>
      </c>
      <c r="D27" s="450">
        <v>100</v>
      </c>
      <c r="E27" s="452"/>
      <c r="F27" s="450">
        <f>SUMIF(100:100,E28,101:101)-SUMIF(100:100,C28,101:101)+100</f>
        <v>103</v>
      </c>
      <c r="G27" s="452"/>
      <c r="H27" s="450">
        <f>SUMIF(100:100,G28,101:101)-SUMIF(100:100,C28,101:101)+100</f>
        <v>103</v>
      </c>
      <c r="I27" s="454"/>
      <c r="J27" s="450">
        <f>SUMIF(100:100,I28,101:101)-SUMIF(100:100,C28,101:101)+100</f>
        <v>103</v>
      </c>
      <c r="K27" s="673">
        <v>3</v>
      </c>
      <c r="L27" s="1132"/>
      <c r="M27" s="1133"/>
      <c r="N27" s="1133"/>
      <c r="O27" s="1134"/>
      <c r="P27" s="3242"/>
      <c r="Q27" s="1795" t="str">
        <f t="shared" si="8"/>
        <v>公共配套设施</v>
      </c>
      <c r="R27" s="770" t="s">
        <v>17</v>
      </c>
      <c r="S27" s="771">
        <f>F27</f>
        <v>103</v>
      </c>
      <c r="T27" s="770" t="s">
        <v>17</v>
      </c>
      <c r="U27" s="771">
        <f>H27</f>
        <v>103</v>
      </c>
      <c r="V27" s="770" t="s">
        <v>17</v>
      </c>
      <c r="W27" s="771">
        <f>J27</f>
        <v>103</v>
      </c>
      <c r="X27" s="772"/>
      <c r="Y27" s="3242"/>
      <c r="Z27" s="55" t="str">
        <f>Q27</f>
        <v>公共配套设施</v>
      </c>
      <c r="AA27" s="1811">
        <f>D27/F27</f>
        <v>0.970873786407767</v>
      </c>
      <c r="AB27" s="1811">
        <f>D27/H27</f>
        <v>0.970873786407767</v>
      </c>
      <c r="AC27" s="1811">
        <f>D27/J27</f>
        <v>0.970873786407767</v>
      </c>
    </row>
    <row r="28" spans="1:29" s="117" customFormat="1" ht="15">
      <c r="A28" s="649"/>
      <c r="B28" s="456"/>
      <c r="C28" s="2704" t="s">
        <v>3067</v>
      </c>
      <c r="D28" s="448"/>
      <c r="E28" s="2615" t="s">
        <v>3326</v>
      </c>
      <c r="F28" s="448"/>
      <c r="G28" s="2615" t="s">
        <v>3326</v>
      </c>
      <c r="H28" s="448"/>
      <c r="I28" s="447" t="s">
        <v>3326</v>
      </c>
      <c r="J28" s="448"/>
      <c r="K28" s="672"/>
      <c r="L28" s="1132"/>
      <c r="M28" s="1133"/>
      <c r="N28" s="1133"/>
      <c r="O28" s="1134"/>
      <c r="P28" s="3242"/>
      <c r="Q28" s="1795"/>
      <c r="R28" s="770"/>
      <c r="S28" s="771"/>
      <c r="T28" s="770"/>
      <c r="U28" s="771"/>
      <c r="V28" s="770"/>
      <c r="W28" s="771"/>
      <c r="X28" s="772"/>
      <c r="Y28" s="3242"/>
      <c r="Z28" s="55"/>
      <c r="AA28" s="1811">
        <v>1</v>
      </c>
      <c r="AB28" s="1811">
        <v>1</v>
      </c>
      <c r="AC28" s="1811">
        <v>1</v>
      </c>
    </row>
    <row r="29" spans="1:29" s="117" customFormat="1" ht="28.5">
      <c r="A29" s="649"/>
      <c r="B29" s="1384" t="s">
        <v>2659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2"/>
      <c r="Q29" s="1795"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42"/>
      <c r="Q30" s="1795"/>
      <c r="R30" s="770"/>
      <c r="S30" s="771"/>
      <c r="T30" s="770"/>
      <c r="U30" s="771"/>
      <c r="V30" s="770"/>
      <c r="W30" s="771"/>
      <c r="X30" s="772"/>
      <c r="Y30" s="3242"/>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2"/>
      <c r="Z31" s="1814" t="str">
        <f t="shared" ref="Z31:Z45" si="13">Q31</f>
        <v>临街状况</v>
      </c>
      <c r="AA31" s="1811">
        <f t="shared" si="3"/>
        <v>1</v>
      </c>
      <c r="AB31" s="1811">
        <f t="shared" si="4"/>
        <v>1</v>
      </c>
      <c r="AC31" s="1811">
        <f t="shared" si="5"/>
        <v>1</v>
      </c>
    </row>
    <row r="32" spans="1:29" ht="27">
      <c r="A32" s="428"/>
      <c r="B32" s="1384"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2"/>
      <c r="Q32" s="1810" t="str">
        <f t="shared" si="8"/>
        <v>毗邻道路的类型与等级</v>
      </c>
      <c r="R32" s="774" t="s">
        <v>17</v>
      </c>
      <c r="S32" s="775">
        <f t="shared" si="10"/>
        <v>100</v>
      </c>
      <c r="T32" s="774" t="s">
        <v>17</v>
      </c>
      <c r="U32" s="775">
        <f t="shared" si="11"/>
        <v>100</v>
      </c>
      <c r="V32" s="774" t="s">
        <v>17</v>
      </c>
      <c r="W32" s="775">
        <f t="shared" si="12"/>
        <v>100</v>
      </c>
      <c r="X32" s="1813"/>
      <c r="Y32" s="3242"/>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42"/>
      <c r="Q33" s="1810"/>
      <c r="R33" s="774"/>
      <c r="S33" s="775"/>
      <c r="T33" s="774"/>
      <c r="U33" s="775"/>
      <c r="V33" s="774"/>
      <c r="W33" s="775"/>
      <c r="X33" s="1813"/>
      <c r="Y33" s="3242"/>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2"/>
      <c r="Q34" s="1810" t="str">
        <f t="shared" si="8"/>
        <v>土地级别</v>
      </c>
      <c r="R34" s="774" t="s">
        <v>17</v>
      </c>
      <c r="S34" s="775">
        <f t="shared" si="10"/>
        <v>100</v>
      </c>
      <c r="T34" s="774" t="s">
        <v>17</v>
      </c>
      <c r="U34" s="775">
        <f t="shared" si="11"/>
        <v>100</v>
      </c>
      <c r="V34" s="774" t="s">
        <v>17</v>
      </c>
      <c r="W34" s="775">
        <f t="shared" si="12"/>
        <v>100</v>
      </c>
      <c r="X34" s="1813"/>
      <c r="Y34" s="324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2"/>
      <c r="Q35" s="1810">
        <f t="shared" si="8"/>
        <v>111</v>
      </c>
      <c r="R35" s="774" t="s">
        <v>17</v>
      </c>
      <c r="S35" s="775">
        <f t="shared" si="10"/>
        <v>100</v>
      </c>
      <c r="T35" s="774" t="s">
        <v>17</v>
      </c>
      <c r="U35" s="775">
        <f t="shared" si="11"/>
        <v>100</v>
      </c>
      <c r="V35" s="774" t="s">
        <v>17</v>
      </c>
      <c r="W35" s="775">
        <f t="shared" si="12"/>
        <v>100</v>
      </c>
      <c r="X35" s="1813"/>
      <c r="Y35" s="324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2569</v>
      </c>
      <c r="Q36" s="1810">
        <f t="shared" si="8"/>
        <v>111</v>
      </c>
      <c r="R36" s="774" t="s">
        <v>17</v>
      </c>
      <c r="S36" s="775">
        <f t="shared" si="10"/>
        <v>100</v>
      </c>
      <c r="T36" s="774" t="s">
        <v>17</v>
      </c>
      <c r="U36" s="775">
        <f t="shared" si="11"/>
        <v>100</v>
      </c>
      <c r="V36" s="774" t="s">
        <v>17</v>
      </c>
      <c r="W36" s="775">
        <f t="shared" si="12"/>
        <v>100</v>
      </c>
      <c r="X36" s="1813"/>
      <c r="Y36" s="3244" t="s">
        <v>2569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4"/>
      <c r="Q37" s="1810">
        <f t="shared" si="8"/>
        <v>111</v>
      </c>
      <c r="R37" s="777" t="s">
        <v>17</v>
      </c>
      <c r="S37" s="778">
        <f t="shared" si="10"/>
        <v>100</v>
      </c>
      <c r="T37" s="777" t="s">
        <v>17</v>
      </c>
      <c r="U37" s="778">
        <f t="shared" si="11"/>
        <v>100</v>
      </c>
      <c r="V37" s="777" t="s">
        <v>17</v>
      </c>
      <c r="W37" s="778">
        <f t="shared" si="12"/>
        <v>100</v>
      </c>
      <c r="X37" s="779"/>
      <c r="Y37" s="3244"/>
      <c r="Z37" s="780">
        <f t="shared" si="13"/>
        <v>111</v>
      </c>
      <c r="AA37" s="1811">
        <f t="shared" si="3"/>
        <v>1</v>
      </c>
      <c r="AB37" s="1811">
        <f t="shared" si="4"/>
        <v>1</v>
      </c>
      <c r="AC37" s="1811">
        <f t="shared" si="5"/>
        <v>1</v>
      </c>
    </row>
    <row r="38" spans="1:29" ht="15">
      <c r="A38" s="472" t="s">
        <v>2567</v>
      </c>
      <c r="B38" s="456" t="s">
        <v>2755</v>
      </c>
      <c r="C38" s="2948">
        <f>'数据-基础表'!A3</f>
        <v>42459.8</v>
      </c>
      <c r="D38" s="467">
        <v>100</v>
      </c>
      <c r="E38" s="679">
        <f>土地案例!D10</f>
        <v>54976.6</v>
      </c>
      <c r="F38" s="467">
        <f>LOOKUP(E38,117:117,118:118)-LOOKUP(C38,117:117,118:118)+100</f>
        <v>101</v>
      </c>
      <c r="G38" s="679">
        <f>土地案例!E25</f>
        <v>162895.20000000001</v>
      </c>
      <c r="H38" s="467">
        <f>LOOKUP(G38,117:117,118:118)-LOOKUP(C38,117:117,118:118)+100</f>
        <v>106</v>
      </c>
      <c r="I38" s="530">
        <f>土地案例!E43</f>
        <v>116426.8</v>
      </c>
      <c r="J38" s="467">
        <f>LOOKUP(I38,117:117,118:118)-LOOKUP(C38,117:117,118:118)+100</f>
        <v>106</v>
      </c>
      <c r="K38" s="613"/>
      <c r="L38" s="1140"/>
      <c r="M38" s="1131"/>
      <c r="N38" s="1131"/>
      <c r="O38" s="1139"/>
      <c r="P38" s="3244"/>
      <c r="Q38" s="1810" t="str">
        <f>B38</f>
        <v>宗地面积</v>
      </c>
      <c r="R38" s="774" t="s">
        <v>17</v>
      </c>
      <c r="S38" s="775">
        <f t="shared" si="10"/>
        <v>101</v>
      </c>
      <c r="T38" s="774" t="s">
        <v>17</v>
      </c>
      <c r="U38" s="775">
        <f t="shared" si="11"/>
        <v>106</v>
      </c>
      <c r="V38" s="774" t="s">
        <v>17</v>
      </c>
      <c r="W38" s="775">
        <f t="shared" si="12"/>
        <v>106</v>
      </c>
      <c r="X38" s="1813"/>
      <c r="Y38" s="3244"/>
      <c r="Z38" s="1814" t="str">
        <f t="shared" si="13"/>
        <v>宗地面积</v>
      </c>
      <c r="AA38" s="1811">
        <f t="shared" si="3"/>
        <v>0.99009900990099009</v>
      </c>
      <c r="AB38" s="1811">
        <f t="shared" si="4"/>
        <v>0.94339622641509435</v>
      </c>
      <c r="AC38" s="1811">
        <f t="shared" si="5"/>
        <v>0.94339622641509435</v>
      </c>
    </row>
    <row r="39" spans="1:29" ht="15">
      <c r="A39" s="472"/>
      <c r="B39" s="422" t="s">
        <v>2756</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v>2</v>
      </c>
      <c r="L39" s="1140"/>
      <c r="M39" s="1131"/>
      <c r="N39" s="1131"/>
      <c r="O39" s="1139"/>
      <c r="P39" s="3244"/>
      <c r="Q39" s="1810" t="str">
        <f t="shared" ref="Q39:Q45" si="14">B39</f>
        <v>宗地形状</v>
      </c>
      <c r="R39" s="774" t="s">
        <v>17</v>
      </c>
      <c r="S39" s="775">
        <f t="shared" si="10"/>
        <v>100</v>
      </c>
      <c r="T39" s="774" t="s">
        <v>17</v>
      </c>
      <c r="U39" s="775">
        <f t="shared" si="11"/>
        <v>100</v>
      </c>
      <c r="V39" s="774" t="s">
        <v>17</v>
      </c>
      <c r="W39" s="775">
        <f t="shared" si="12"/>
        <v>100</v>
      </c>
      <c r="X39" s="1813"/>
      <c r="Y39" s="3244"/>
      <c r="Z39" s="1814" t="str">
        <f t="shared" si="13"/>
        <v>宗地形状</v>
      </c>
      <c r="AA39" s="1811">
        <f t="shared" si="3"/>
        <v>1</v>
      </c>
      <c r="AB39" s="1811">
        <f t="shared" si="4"/>
        <v>1</v>
      </c>
      <c r="AC39" s="1811">
        <f t="shared" si="5"/>
        <v>1</v>
      </c>
    </row>
    <row r="40" spans="1:29" ht="15">
      <c r="A40" s="472"/>
      <c r="B40" s="422" t="s">
        <v>2757</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v>2</v>
      </c>
      <c r="L40" s="1140"/>
      <c r="M40" s="1131"/>
      <c r="N40" s="1131"/>
      <c r="O40" s="1139"/>
      <c r="P40" s="3244"/>
      <c r="Q40" s="1810" t="str">
        <f t="shared" si="14"/>
        <v>临街宽度及深度</v>
      </c>
      <c r="R40" s="774" t="s">
        <v>17</v>
      </c>
      <c r="S40" s="775">
        <f t="shared" si="10"/>
        <v>100</v>
      </c>
      <c r="T40" s="774" t="s">
        <v>17</v>
      </c>
      <c r="U40" s="775">
        <f t="shared" si="11"/>
        <v>100</v>
      </c>
      <c r="V40" s="774" t="s">
        <v>17</v>
      </c>
      <c r="W40" s="775">
        <f t="shared" si="12"/>
        <v>100</v>
      </c>
      <c r="X40" s="1813"/>
      <c r="Y40" s="3244"/>
      <c r="Z40" s="1814" t="str">
        <f t="shared" si="13"/>
        <v>临街宽度及深度</v>
      </c>
      <c r="AA40" s="1811">
        <f t="shared" si="3"/>
        <v>1</v>
      </c>
      <c r="AB40" s="1811">
        <f t="shared" si="4"/>
        <v>1</v>
      </c>
      <c r="AC40" s="1811">
        <f t="shared" si="5"/>
        <v>1</v>
      </c>
    </row>
    <row r="41" spans="1:29" s="117" customFormat="1" ht="15">
      <c r="A41" s="473"/>
      <c r="B41" s="422" t="s">
        <v>2758</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v>2</v>
      </c>
      <c r="L41" s="1132"/>
      <c r="M41" s="1133"/>
      <c r="N41" s="1133"/>
      <c r="O41" s="1134"/>
      <c r="P41" s="3244"/>
      <c r="Q41" s="1810"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2759</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v>2</v>
      </c>
      <c r="L42" s="1140"/>
      <c r="M42" s="1131"/>
      <c r="N42" s="1131"/>
      <c r="O42" s="1139"/>
      <c r="P42" s="3244" t="s">
        <v>2569</v>
      </c>
      <c r="Q42" s="1810" t="str">
        <f t="shared" si="14"/>
        <v>工程地质条件</v>
      </c>
      <c r="R42" s="774" t="s">
        <v>17</v>
      </c>
      <c r="S42" s="775">
        <f t="shared" si="10"/>
        <v>100</v>
      </c>
      <c r="T42" s="774" t="s">
        <v>17</v>
      </c>
      <c r="U42" s="775">
        <f t="shared" si="11"/>
        <v>100</v>
      </c>
      <c r="V42" s="774" t="s">
        <v>17</v>
      </c>
      <c r="W42" s="775">
        <f t="shared" si="12"/>
        <v>100</v>
      </c>
      <c r="X42" s="1813"/>
      <c r="Y42" s="3244" t="s">
        <v>2569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4"/>
      <c r="Q43" s="1810">
        <f t="shared" si="14"/>
        <v>111</v>
      </c>
      <c r="R43" s="774" t="s">
        <v>17</v>
      </c>
      <c r="S43" s="775">
        <f t="shared" si="10"/>
        <v>100</v>
      </c>
      <c r="T43" s="774" t="s">
        <v>17</v>
      </c>
      <c r="U43" s="775">
        <f t="shared" si="11"/>
        <v>100</v>
      </c>
      <c r="V43" s="774" t="s">
        <v>17</v>
      </c>
      <c r="W43" s="775">
        <f t="shared" si="12"/>
        <v>100</v>
      </c>
      <c r="X43" s="1813"/>
      <c r="Y43" s="324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4"/>
      <c r="Q44" s="1810">
        <f t="shared" si="14"/>
        <v>111</v>
      </c>
      <c r="R44" s="774" t="s">
        <v>17</v>
      </c>
      <c r="S44" s="775">
        <f t="shared" si="10"/>
        <v>100</v>
      </c>
      <c r="T44" s="774" t="s">
        <v>17</v>
      </c>
      <c r="U44" s="775">
        <f t="shared" si="11"/>
        <v>100</v>
      </c>
      <c r="V44" s="774" t="s">
        <v>17</v>
      </c>
      <c r="W44" s="775">
        <f t="shared" si="12"/>
        <v>100</v>
      </c>
      <c r="X44" s="1813"/>
      <c r="Y44" s="3244"/>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4"/>
      <c r="Q45" s="1810">
        <f t="shared" si="14"/>
        <v>111</v>
      </c>
      <c r="R45" s="777" t="s">
        <v>17</v>
      </c>
      <c r="S45" s="778">
        <f t="shared" si="10"/>
        <v>100</v>
      </c>
      <c r="T45" s="777" t="s">
        <v>17</v>
      </c>
      <c r="U45" s="778">
        <f t="shared" si="11"/>
        <v>100</v>
      </c>
      <c r="V45" s="777" t="s">
        <v>17</v>
      </c>
      <c r="W45" s="778">
        <f t="shared" si="12"/>
        <v>100</v>
      </c>
      <c r="X45" s="779"/>
      <c r="Y45" s="3244"/>
      <c r="Z45" s="780">
        <f t="shared" si="13"/>
        <v>111</v>
      </c>
      <c r="AA45" s="1811">
        <f t="shared" si="3"/>
        <v>1</v>
      </c>
      <c r="AB45" s="1811">
        <f t="shared" si="4"/>
        <v>1</v>
      </c>
      <c r="AC45" s="1811">
        <f t="shared" si="5"/>
        <v>1</v>
      </c>
    </row>
    <row r="46" spans="1:29" ht="15">
      <c r="A46" s="479" t="s">
        <v>2724</v>
      </c>
      <c r="B46" s="2949" t="s">
        <v>2760</v>
      </c>
      <c r="C46" s="682" t="s">
        <v>1</v>
      </c>
      <c r="D46" s="481"/>
      <c r="E46" s="2950">
        <f>土地案例!K7</f>
        <v>3189.63</v>
      </c>
      <c r="F46" s="483"/>
      <c r="G46" s="484">
        <f>土地案例!K11</f>
        <v>3239.46</v>
      </c>
      <c r="H46" s="485"/>
      <c r="I46" s="482">
        <f>土地案例!K17</f>
        <v>3165.71</v>
      </c>
      <c r="J46" s="485"/>
      <c r="K46" s="783"/>
      <c r="L46" s="1143"/>
      <c r="M46" s="1144"/>
      <c r="N46" s="1131"/>
      <c r="O46" s="1144"/>
      <c r="P46" s="3226" t="str">
        <f>A46</f>
        <v>成交单价</v>
      </c>
      <c r="Q46" s="3226"/>
      <c r="R46" s="3239">
        <f>E46</f>
        <v>3189.63</v>
      </c>
      <c r="S46" s="3239"/>
      <c r="T46" s="3239">
        <f>G46</f>
        <v>3239.46</v>
      </c>
      <c r="U46" s="3239"/>
      <c r="V46" s="3239">
        <f>I46</f>
        <v>3165.71</v>
      </c>
      <c r="W46" s="3239"/>
      <c r="X46" s="759"/>
      <c r="Y46" s="781"/>
      <c r="Z46" s="759"/>
      <c r="AA46" s="759"/>
      <c r="AB46" s="759"/>
      <c r="AC46" s="759"/>
    </row>
    <row r="47" spans="1:29" ht="15.75" thickBot="1">
      <c r="A47" s="486" t="s">
        <v>2673</v>
      </c>
      <c r="B47" s="683"/>
      <c r="C47" s="490">
        <f>R48</f>
        <v>2827</v>
      </c>
      <c r="D47" s="489"/>
      <c r="E47" s="490">
        <f>R47</f>
        <v>2919</v>
      </c>
      <c r="F47" s="491"/>
      <c r="G47" s="488">
        <f>T47</f>
        <v>2825</v>
      </c>
      <c r="H47" s="489"/>
      <c r="I47" s="490">
        <f>V47</f>
        <v>2738</v>
      </c>
      <c r="J47" s="489"/>
      <c r="K47" s="784"/>
      <c r="L47" s="1143"/>
      <c r="M47" s="1144"/>
      <c r="N47" s="1144"/>
      <c r="O47" s="1144"/>
      <c r="P47" s="3226" t="str">
        <f>A47</f>
        <v>比较价值（元/平方米）</v>
      </c>
      <c r="Q47" s="3226"/>
      <c r="R47" s="3245">
        <f>ROUND(PRODUCT(R46,AA7:AA45),0)</f>
        <v>2919</v>
      </c>
      <c r="S47" s="3245"/>
      <c r="T47" s="3245">
        <f>ROUND(PRODUCT(T46,AB7:AB45),0)</f>
        <v>2825</v>
      </c>
      <c r="U47" s="3245"/>
      <c r="V47" s="3245">
        <f>ROUND(PRODUCT(V46,AC7:AC45),0)</f>
        <v>2738</v>
      </c>
      <c r="W47" s="3245"/>
      <c r="X47" s="759"/>
      <c r="Y47" s="759"/>
      <c r="Z47" s="759"/>
      <c r="AA47" s="759"/>
      <c r="AB47" s="759"/>
      <c r="AC47" s="759"/>
    </row>
    <row r="48" spans="1:29" ht="15.75" thickBot="1">
      <c r="A48" s="492" t="s">
        <v>2761</v>
      </c>
      <c r="B48" s="493"/>
      <c r="C48" s="494">
        <f>R48</f>
        <v>2827</v>
      </c>
      <c r="D48" s="494"/>
      <c r="E48" s="494"/>
      <c r="F48" s="494"/>
      <c r="G48" s="494"/>
      <c r="H48" s="494"/>
      <c r="I48" s="494"/>
      <c r="J48" s="494"/>
      <c r="K48" s="785"/>
      <c r="L48" s="1143"/>
      <c r="M48" s="1144"/>
      <c r="N48" s="1144"/>
      <c r="O48" s="1144"/>
      <c r="P48" s="3246" t="str">
        <f>A48</f>
        <v>估价对象XX用房的比较价值（楼面单价，元/平方米）</v>
      </c>
      <c r="Q48" s="3247"/>
      <c r="R48" s="3248">
        <f>ROUND(AVERAGE(R47:V47),0)</f>
        <v>2827</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2675</v>
      </c>
      <c r="D51" s="498"/>
      <c r="E51" s="499">
        <f>IF(E46&lt;E47,E47/E46-1,E46/E47-1)</f>
        <v>9.2713257965056473E-2</v>
      </c>
      <c r="F51" s="500" t="str">
        <f>IF(OR(E51&gt;=0.3,E51&lt;=-0.3),"超过30%","")</f>
        <v/>
      </c>
      <c r="G51" s="499">
        <f>IF(G46&lt;G47,G47/G46-1,G46/G47-1)</f>
        <v>0.14671150442477887</v>
      </c>
      <c r="H51" s="500" t="str">
        <f>IF(OR(G51&gt;=0.3,G51&lt;=-0.3),"超过30%","")</f>
        <v/>
      </c>
      <c r="I51" s="499">
        <f>IF(I46&lt;I47,I47/I46-1,I46/I47-1)</f>
        <v>0.15621256391526672</v>
      </c>
      <c r="J51" s="500" t="str">
        <f>IF(OR(I51&gt;=0.3,I51&lt;=-0.3),"超过30%","")</f>
        <v/>
      </c>
      <c r="K51" s="1105"/>
      <c r="L51" s="1106"/>
      <c r="M51" s="1144"/>
      <c r="N51" s="1144"/>
      <c r="O51" s="1144"/>
    </row>
    <row r="52" spans="1:15" ht="13.5" customHeight="1">
      <c r="A52" s="1144"/>
      <c r="B52" s="1144"/>
      <c r="C52" s="497" t="s">
        <v>2676</v>
      </c>
      <c r="D52" s="501"/>
      <c r="E52" s="499">
        <f>IF(E47&lt;G47,G47/E47-1,E47/G47-1)</f>
        <v>3.3274336283185768E-2</v>
      </c>
      <c r="F52" s="500" t="str">
        <f>IF(OR(E52&gt;=0.2,E52&lt;=-0.2),"超过20%","")</f>
        <v/>
      </c>
      <c r="G52" s="499">
        <f>IF(G47&lt;I47,I47/G47-1,G47/I47-1)</f>
        <v>3.1775018261504639E-2</v>
      </c>
      <c r="H52" s="500" t="str">
        <f>IF(OR(G52&gt;=0.2,G52&lt;=-0.2),"超过20%","")</f>
        <v/>
      </c>
      <c r="I52" s="499">
        <f>IF(I47&lt;E47,E47/I47-1,I47/E47-1)</f>
        <v>6.6106647187728296E-2</v>
      </c>
      <c r="J52" s="500" t="str">
        <f>IF(OR(I52&gt;=0.2,I52&lt;=-0.2),"超过20%","")</f>
        <v/>
      </c>
      <c r="K52" s="1105"/>
      <c r="L52" s="1106"/>
      <c r="M52" s="1144"/>
      <c r="N52" s="1144"/>
      <c r="O52" s="1144"/>
    </row>
    <row r="53" spans="1:15" s="502" customFormat="1" ht="13.5" customHeight="1">
      <c r="A53" s="1145"/>
      <c r="B53" s="1145"/>
      <c r="C53" s="497" t="s">
        <v>2677</v>
      </c>
      <c r="D53" s="501"/>
      <c r="E53" s="499">
        <f>IF(E46&lt;G46,G46/E46-1,E46/G46-1)</f>
        <v>1.5622501669472655E-2</v>
      </c>
      <c r="F53" s="500" t="str">
        <f>IF(OR(E53&gt;=0.3,E53&lt;=-0.3),"超过30%","")</f>
        <v/>
      </c>
      <c r="G53" s="499">
        <f>IF(G46&lt;I46,I46/G46-1,G46/I46-1)</f>
        <v>2.3296511683003285E-2</v>
      </c>
      <c r="H53" s="500" t="str">
        <f>IF(OR(G53&gt;=0.3,G53&lt;=-0.3),"超过30%","")</f>
        <v/>
      </c>
      <c r="I53" s="499">
        <f>IF(I46&lt;E46,E46/I46-1,I46/E46-1)</f>
        <v>7.5559669078975045E-3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2762</v>
      </c>
      <c r="B55" s="685" t="s">
        <v>2763</v>
      </c>
      <c r="C55" s="2709" t="s">
        <v>2764</v>
      </c>
      <c r="D55" s="2710" t="s">
        <v>2765</v>
      </c>
      <c r="E55" s="686" t="s">
        <v>2766</v>
      </c>
      <c r="F55" s="1107" t="s">
        <v>2767</v>
      </c>
      <c r="G55" s="3227" t="s">
        <v>2768</v>
      </c>
      <c r="H55" s="3249"/>
      <c r="I55" s="144" t="s">
        <v>2769</v>
      </c>
      <c r="J55" s="2711">
        <f>项目基本情况!F35</f>
        <v>0</v>
      </c>
      <c r="K55" s="2712" t="s">
        <v>2770</v>
      </c>
      <c r="L55" s="1106"/>
      <c r="M55" s="1144"/>
      <c r="N55" s="1144"/>
      <c r="O55" s="1144"/>
    </row>
    <row r="56" spans="1:15" s="692" customFormat="1">
      <c r="A56" s="688" t="s">
        <v>2771</v>
      </c>
      <c r="B56" s="689">
        <f>C48</f>
        <v>2827</v>
      </c>
      <c r="C56" s="690">
        <v>1</v>
      </c>
      <c r="D56" s="1163">
        <v>1</v>
      </c>
      <c r="E56" s="690">
        <f>'数据-汇总表'!E8+'数据-汇总表'!E9</f>
        <v>91820.61</v>
      </c>
      <c r="F56" s="1103">
        <f t="shared" ref="F56:F65" si="15">ROUND(B56*E56/10000,0)</f>
        <v>25958</v>
      </c>
      <c r="G56" s="3250"/>
      <c r="H56" s="3226"/>
      <c r="I56" s="1108">
        <v>1</v>
      </c>
      <c r="J56" s="1111">
        <v>1</v>
      </c>
      <c r="K56" s="1145"/>
      <c r="L56" s="941"/>
      <c r="M56" s="941"/>
      <c r="N56" s="941"/>
      <c r="O56" s="941"/>
    </row>
    <row r="57" spans="1:15" s="692" customFormat="1">
      <c r="A57" s="693" t="s">
        <v>2772</v>
      </c>
      <c r="B57" s="262">
        <f>ROUND($C$48*C57*D57,0)</f>
        <v>0</v>
      </c>
      <c r="C57" s="200">
        <f t="shared" ref="C57:C65" si="16">IF($C$55="北京市系数",I57,J57)</f>
        <v>0</v>
      </c>
      <c r="D57" s="1164">
        <v>0.25</v>
      </c>
      <c r="E57" s="694"/>
      <c r="F57" s="1103">
        <f t="shared" si="15"/>
        <v>0</v>
      </c>
      <c r="G57" s="3251" t="s">
        <v>2773</v>
      </c>
      <c r="H57" s="1104">
        <f>项目基本情况!B37</f>
        <v>0</v>
      </c>
      <c r="I57" s="1108">
        <f>SUMIF(修正!A45:A56,H57,修正!B45:B56)</f>
        <v>0</v>
      </c>
      <c r="J57" s="1112"/>
      <c r="K57" s="1144"/>
      <c r="L57" s="941"/>
      <c r="M57" s="941"/>
      <c r="N57" s="941"/>
      <c r="O57" s="941"/>
    </row>
    <row r="58" spans="1:15" s="692" customFormat="1">
      <c r="A58" s="693" t="s">
        <v>2774</v>
      </c>
      <c r="B58" s="262">
        <f t="shared" ref="B58:B65" si="17">ROUND($C$48*C58*D58,0)</f>
        <v>0</v>
      </c>
      <c r="C58" s="200">
        <f t="shared" si="16"/>
        <v>0</v>
      </c>
      <c r="D58" s="1164">
        <v>0.25</v>
      </c>
      <c r="E58" s="694"/>
      <c r="F58" s="1103">
        <f t="shared" si="15"/>
        <v>0</v>
      </c>
      <c r="G58" s="3251"/>
      <c r="H58" s="1104">
        <f>项目基本情况!B37</f>
        <v>0</v>
      </c>
      <c r="I58" s="1108">
        <f>SUMIF(修正!A45:A56,H58,修正!C45:C56)</f>
        <v>0</v>
      </c>
      <c r="J58" s="1112"/>
      <c r="K58" s="1145"/>
      <c r="L58" s="941"/>
      <c r="M58" s="941"/>
      <c r="N58" s="941"/>
      <c r="O58" s="941"/>
    </row>
    <row r="59" spans="1:15" s="692" customFormat="1">
      <c r="A59" s="693" t="s">
        <v>2775</v>
      </c>
      <c r="B59" s="262">
        <f t="shared" si="17"/>
        <v>0</v>
      </c>
      <c r="C59" s="200">
        <f t="shared" si="16"/>
        <v>0</v>
      </c>
      <c r="D59" s="1164">
        <v>0.25</v>
      </c>
      <c r="E59" s="694"/>
      <c r="F59" s="1103">
        <f t="shared" si="15"/>
        <v>0</v>
      </c>
      <c r="G59" s="3251"/>
      <c r="H59" s="1104">
        <f>项目基本情况!B37</f>
        <v>0</v>
      </c>
      <c r="I59" s="1108">
        <f>SUMIF(修正!A45:A56,H59,修正!D45:D56)</f>
        <v>0</v>
      </c>
      <c r="J59" s="1112"/>
      <c r="K59" s="1144"/>
      <c r="L59" s="941"/>
      <c r="M59" s="941"/>
      <c r="N59" s="941"/>
      <c r="O59" s="941"/>
    </row>
    <row r="60" spans="1:15" s="692" customFormat="1">
      <c r="A60" s="693" t="s">
        <v>2776</v>
      </c>
      <c r="B60" s="262">
        <f t="shared" si="17"/>
        <v>0</v>
      </c>
      <c r="C60" s="200">
        <f t="shared" si="16"/>
        <v>0</v>
      </c>
      <c r="D60" s="1164">
        <v>0.25</v>
      </c>
      <c r="E60" s="694"/>
      <c r="F60" s="1103">
        <f t="shared" si="15"/>
        <v>0</v>
      </c>
      <c r="G60" s="3251"/>
      <c r="H60" s="1104">
        <f>项目基本情况!B37</f>
        <v>0</v>
      </c>
      <c r="I60" s="1108">
        <f>SUMIF(修正!A45:A56,H60,修正!E45:E56)</f>
        <v>0</v>
      </c>
      <c r="J60" s="1112"/>
      <c r="K60" s="1145"/>
      <c r="L60" s="941"/>
      <c r="M60" s="941"/>
      <c r="N60" s="941"/>
      <c r="O60" s="941"/>
    </row>
    <row r="61" spans="1:15" s="692" customFormat="1">
      <c r="A61" s="693" t="s">
        <v>2777</v>
      </c>
      <c r="B61" s="262">
        <f t="shared" si="17"/>
        <v>0</v>
      </c>
      <c r="C61" s="200">
        <f t="shared" si="16"/>
        <v>0</v>
      </c>
      <c r="D61" s="1164">
        <v>0.25</v>
      </c>
      <c r="E61" s="261">
        <f>'数据-汇总表'!E11</f>
        <v>0</v>
      </c>
      <c r="F61" s="1103">
        <f t="shared" si="15"/>
        <v>0</v>
      </c>
      <c r="G61" s="2713" t="s">
        <v>2778</v>
      </c>
      <c r="H61" s="1104">
        <f>项目基本情况!C37</f>
        <v>0</v>
      </c>
      <c r="I61" s="1108">
        <f>SUMIF(修正!A45:A56,H61,修正!F45:F56)</f>
        <v>0</v>
      </c>
      <c r="J61" s="1112"/>
      <c r="K61" s="1144"/>
      <c r="L61" s="941"/>
      <c r="M61" s="941"/>
      <c r="N61" s="941"/>
      <c r="O61" s="941"/>
    </row>
    <row r="62" spans="1:15" s="692" customFormat="1">
      <c r="A62" s="693" t="s">
        <v>2779</v>
      </c>
      <c r="B62" s="262">
        <f t="shared" si="17"/>
        <v>0</v>
      </c>
      <c r="C62" s="200">
        <f t="shared" si="16"/>
        <v>0</v>
      </c>
      <c r="D62" s="1164">
        <v>0.25</v>
      </c>
      <c r="E62" s="261">
        <f>'数据-汇总表'!E12</f>
        <v>0</v>
      </c>
      <c r="F62" s="1103">
        <f t="shared" si="15"/>
        <v>0</v>
      </c>
      <c r="G62" s="1109" t="s">
        <v>2780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2781</v>
      </c>
      <c r="B63" s="262">
        <f t="shared" si="17"/>
        <v>0</v>
      </c>
      <c r="C63" s="200">
        <f t="shared" si="16"/>
        <v>0</v>
      </c>
      <c r="D63" s="1164">
        <v>0.25</v>
      </c>
      <c r="E63" s="261">
        <f>'数据-汇总表'!E13</f>
        <v>27683.46</v>
      </c>
      <c r="F63" s="1103">
        <f t="shared" si="15"/>
        <v>0</v>
      </c>
      <c r="G63" s="1109" t="s">
        <v>2782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2783</v>
      </c>
      <c r="B64" s="262">
        <f t="shared" si="17"/>
        <v>0</v>
      </c>
      <c r="C64" s="200">
        <f t="shared" si="16"/>
        <v>0</v>
      </c>
      <c r="D64" s="1164">
        <v>0.25</v>
      </c>
      <c r="E64" s="261">
        <f>'数据-汇总表'!E14</f>
        <v>0</v>
      </c>
      <c r="F64" s="1103">
        <f t="shared" si="15"/>
        <v>0</v>
      </c>
      <c r="G64" s="2713" t="s">
        <v>2773</v>
      </c>
      <c r="H64" s="1104">
        <f>项目基本情况!B37</f>
        <v>0</v>
      </c>
      <c r="I64" s="1108">
        <f>SUMIF(修正!A45:A56,H64,修正!H45:H56)</f>
        <v>0</v>
      </c>
      <c r="J64" s="1112"/>
      <c r="K64" s="1145"/>
      <c r="L64" s="941"/>
      <c r="M64" s="941"/>
      <c r="N64" s="941"/>
      <c r="O64" s="941"/>
    </row>
    <row r="65" spans="1:17" s="692" customFormat="1" ht="15" thickBot="1">
      <c r="A65" s="693" t="s">
        <v>2784</v>
      </c>
      <c r="B65" s="262">
        <f t="shared" si="17"/>
        <v>0</v>
      </c>
      <c r="C65" s="200">
        <f t="shared" si="16"/>
        <v>0</v>
      </c>
      <c r="D65" s="1164">
        <v>0.25</v>
      </c>
      <c r="E65" s="261">
        <f>'数据-汇总表'!E15</f>
        <v>0</v>
      </c>
      <c r="F65" s="1103">
        <f t="shared" si="15"/>
        <v>0</v>
      </c>
      <c r="G65" s="2714" t="s">
        <v>2778</v>
      </c>
      <c r="H65" s="1114">
        <f>项目基本情况!C37</f>
        <v>0</v>
      </c>
      <c r="I65" s="1110">
        <f>SUMIF(修正!A45:A56,H65,修正!H45:H56)</f>
        <v>0</v>
      </c>
      <c r="J65" s="1113"/>
      <c r="K65" s="1144"/>
      <c r="L65" s="941"/>
      <c r="M65" s="941"/>
      <c r="N65" s="941"/>
      <c r="O65" s="941"/>
    </row>
    <row r="66" spans="1:17" s="692" customFormat="1" ht="13.5" thickBot="1">
      <c r="A66" s="695" t="s">
        <v>2785</v>
      </c>
      <c r="B66" s="696" t="s">
        <v>28</v>
      </c>
      <c r="C66" s="696" t="s">
        <v>29</v>
      </c>
      <c r="D66" s="696" t="s">
        <v>1029</v>
      </c>
      <c r="E66" s="696">
        <f>IF(B46="楼面地价",SUM(E56:E65),'数据-汇总表'!D3)</f>
        <v>119504.07</v>
      </c>
      <c r="F66" s="697">
        <f>IF(B46="楼面地价",SUM(F56:F65),ROUND(C48*E66/10000,0))</f>
        <v>25958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2678</v>
      </c>
      <c r="B69" s="759"/>
      <c r="C69" s="764"/>
      <c r="D69" s="764"/>
      <c r="E69" s="764"/>
      <c r="F69" s="765"/>
      <c r="G69" s="765"/>
      <c r="H69" s="764"/>
      <c r="I69" s="764"/>
      <c r="J69" s="1159"/>
      <c r="K69" s="1160"/>
      <c r="L69" s="1161"/>
      <c r="M69" s="1159"/>
      <c r="N69" s="1159"/>
      <c r="O69" s="1159"/>
      <c r="P69" s="503"/>
      <c r="Q69" s="504"/>
    </row>
    <row r="70" spans="1:17" s="508" customFormat="1" ht="15">
      <c r="A70" s="2715" t="s">
        <v>2786</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6" t="s">
        <v>2787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2589</v>
      </c>
      <c r="B72" s="516"/>
      <c r="C72" s="517"/>
      <c r="D72" s="518"/>
      <c r="E72" s="518"/>
      <c r="F72" s="518"/>
      <c r="G72" s="518"/>
      <c r="H72" s="518"/>
      <c r="I72" s="518"/>
      <c r="J72" s="518"/>
      <c r="K72" s="518"/>
      <c r="L72" s="518"/>
      <c r="M72" s="519"/>
      <c r="N72" s="518"/>
      <c r="O72" s="1162"/>
      <c r="P72" s="504"/>
      <c r="Q72" s="504"/>
    </row>
    <row r="73" spans="1:17" s="117" customFormat="1" ht="15">
      <c r="A73" s="521" t="s">
        <v>2554</v>
      </c>
      <c r="B73" s="510"/>
      <c r="C73" s="522" t="s">
        <v>2656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2592</v>
      </c>
      <c r="B75" s="528" t="s">
        <v>2558</v>
      </c>
      <c r="C75" s="2951" t="s">
        <v>3061</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29.25" thickTop="1">
      <c r="A79" s="534"/>
      <c r="B79" s="546" t="s">
        <v>2562</v>
      </c>
      <c r="C79" s="547" t="str">
        <f>C80&amp;"（含）"&amp;"-"&amp;D80</f>
        <v>1（含）-1.0-2.0</v>
      </c>
      <c r="D79" s="547" t="str">
        <f t="shared" ref="D79:L79" si="20">D80&amp;"（含）"&amp;"-"&amp;E80</f>
        <v>1.0-2.0（含）-2.0-3.0</v>
      </c>
      <c r="E79" s="547" t="str">
        <f t="shared" si="20"/>
        <v>2.0-3.0（含）-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1</v>
      </c>
      <c r="D80" s="549" t="s">
        <v>3062</v>
      </c>
      <c r="E80" s="549" t="s">
        <v>3063</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2567</v>
      </c>
      <c r="B116" s="528" t="s">
        <v>2795</v>
      </c>
      <c r="C116" s="529" t="str">
        <f>C119&amp;"(含)"&amp;"-"&amp;D119</f>
        <v>规则(含)-不规则</v>
      </c>
      <c r="D116" s="529" t="str">
        <f>D119&amp;"(含)"&amp;"-"&amp;E117</f>
        <v>不规则(含)-20000</v>
      </c>
      <c r="E116" s="529" t="str">
        <f t="shared" ref="E116:M116" si="25">E117&amp;"(含)"&amp;"-"&amp;F117</f>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2"/>
      <c r="O116" s="1152"/>
      <c r="P116" s="45"/>
      <c r="Q116" s="504"/>
    </row>
    <row r="117" spans="1:17" ht="15">
      <c r="A117" s="534"/>
      <c r="B117" s="546"/>
      <c r="C117" s="403">
        <v>0</v>
      </c>
      <c r="D117" s="403">
        <v>10000</v>
      </c>
      <c r="E117" s="595">
        <v>20000</v>
      </c>
      <c r="F117" s="595">
        <v>30000</v>
      </c>
      <c r="G117" s="595">
        <v>40000</v>
      </c>
      <c r="H117" s="595">
        <v>50000</v>
      </c>
      <c r="I117" s="595">
        <v>60000</v>
      </c>
      <c r="J117" s="596">
        <v>70000</v>
      </c>
      <c r="K117" s="596">
        <v>80000</v>
      </c>
      <c r="L117" s="597">
        <v>90000</v>
      </c>
      <c r="M117" s="598">
        <v>100000</v>
      </c>
      <c r="N117" s="1152"/>
      <c r="O117" s="1152"/>
      <c r="P117" s="45"/>
      <c r="Q117" s="504"/>
    </row>
    <row r="118" spans="1:17" ht="15.75" thickBot="1">
      <c r="A118" s="534"/>
      <c r="B118" s="543"/>
      <c r="C118" s="570">
        <v>0</v>
      </c>
      <c r="D118" s="591">
        <v>100</v>
      </c>
      <c r="E118" s="591">
        <v>101</v>
      </c>
      <c r="F118" s="591">
        <v>102</v>
      </c>
      <c r="G118" s="591">
        <v>103</v>
      </c>
      <c r="H118" s="591">
        <v>104</v>
      </c>
      <c r="I118" s="591">
        <v>105</v>
      </c>
      <c r="J118" s="591">
        <v>106</v>
      </c>
      <c r="K118" s="591">
        <v>107</v>
      </c>
      <c r="L118" s="591">
        <v>108</v>
      </c>
      <c r="M118" s="592">
        <v>109</v>
      </c>
      <c r="N118" s="1153"/>
      <c r="O118" s="1153"/>
      <c r="P118" s="45"/>
      <c r="Q118" s="504"/>
    </row>
    <row r="119" spans="1:17" ht="15" thickTop="1">
      <c r="A119" s="599"/>
      <c r="B119" s="538" t="s">
        <v>2796</v>
      </c>
      <c r="C119" s="2953" t="s">
        <v>3065</v>
      </c>
      <c r="D119" s="2953" t="s">
        <v>3066</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M12" sqref="M1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2466</v>
      </c>
      <c r="B1" s="1581"/>
      <c r="C1" s="1582"/>
      <c r="D1" s="1580"/>
      <c r="E1" s="320"/>
      <c r="F1" s="320"/>
      <c r="G1" s="1581"/>
      <c r="H1" s="320"/>
      <c r="I1" s="320"/>
      <c r="J1" s="320"/>
      <c r="K1" s="320">
        <f>MATCH(C1,'数据-取费表'!A6:A16,0)+5</f>
        <v>9</v>
      </c>
    </row>
    <row r="2" spans="1:33" ht="18" customHeight="1">
      <c r="A2" s="245" t="s">
        <v>2334</v>
      </c>
      <c r="B2" s="248">
        <f ca="1">C32</f>
        <v>57390</v>
      </c>
      <c r="C2" s="320" t="s">
        <v>2467</v>
      </c>
      <c r="D2" s="320"/>
      <c r="E2" s="320"/>
      <c r="F2" s="320"/>
      <c r="G2" s="320"/>
      <c r="H2" s="320"/>
      <c r="I2" s="320"/>
      <c r="J2" s="320"/>
      <c r="K2" s="320"/>
    </row>
    <row r="3" spans="1:33" ht="18" customHeight="1" thickBot="1">
      <c r="A3" s="247" t="s">
        <v>2336</v>
      </c>
      <c r="B3" s="248">
        <f ca="1">ROUND(B2*10000/IF(C1="",'数据-汇总表'!E3,INDIRECT("'数据-取费表'!K"&amp;$K$1)),0)</f>
        <v>4661</v>
      </c>
      <c r="C3" s="320" t="s">
        <v>2468</v>
      </c>
      <c r="D3" s="320"/>
      <c r="E3" s="320"/>
      <c r="F3" s="320"/>
      <c r="G3" s="320"/>
      <c r="H3" s="320"/>
      <c r="I3" s="320"/>
      <c r="J3" s="320"/>
      <c r="K3" s="320"/>
    </row>
    <row r="4" spans="1:33" s="956" customFormat="1" ht="16.5" customHeight="1">
      <c r="A4" s="953" t="s">
        <v>2469</v>
      </c>
      <c r="B4" s="954"/>
      <c r="C4" s="996">
        <f ca="1">SUM(C8:K8)</f>
        <v>107810.03381399999</v>
      </c>
      <c r="D4" s="954"/>
      <c r="E4" s="954"/>
      <c r="F4" s="954"/>
      <c r="G4" s="954"/>
      <c r="H4" s="954"/>
      <c r="I4" s="954"/>
      <c r="J4" s="954"/>
      <c r="K4" s="955"/>
    </row>
    <row r="5" spans="1:33" s="960" customFormat="1" ht="15">
      <c r="A5" s="957" t="s">
        <v>2470</v>
      </c>
      <c r="B5" s="958" t="s">
        <v>2471</v>
      </c>
      <c r="C5" s="2558" t="s">
        <v>3053</v>
      </c>
      <c r="D5" s="2558" t="s">
        <v>1377</v>
      </c>
      <c r="E5" s="2558" t="s">
        <v>3303</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v>11000</v>
      </c>
      <c r="D6" s="962">
        <v>11000</v>
      </c>
      <c r="E6" s="962">
        <f ca="1">收益法!B3</f>
        <v>2459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1">
        <f>SUMIF('数据-汇总表'!$C19:$C33,假设开发法!C5,'数据-汇总表'!$E19:$E33)</f>
        <v>79984.58</v>
      </c>
      <c r="D7" s="321">
        <f>SUMIF('数据-汇总表'!$C19:$C33,假设开发法!D5,'数据-汇总表'!$E19:$E33)</f>
        <v>11836.029999999999</v>
      </c>
      <c r="E7" s="321">
        <f>SUMIF('数据-汇总表'!$C19:$C33,假设开发法!E5,'数据-汇总表'!$E19:$E33)</f>
        <v>27683.46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2475</v>
      </c>
      <c r="B8" s="177" t="s">
        <v>2476</v>
      </c>
      <c r="C8" s="997">
        <f>C6*C7/10000</f>
        <v>87983.038</v>
      </c>
      <c r="D8" s="997">
        <f>D6*D7/10000</f>
        <v>13019.632999999998</v>
      </c>
      <c r="E8" s="997">
        <f ca="1">E6*E7/10000</f>
        <v>6807.3628140000001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3">
        <f ca="1">IF(C1="",'数据-取费表'!P16,INDIRECT("'数据-取费表'!p"&amp;$K$1)+INDIRECT("'数据-取费表'!ar"&amp;$K$1))</f>
        <v>19909</v>
      </c>
      <c r="D11" s="973"/>
      <c r="E11" s="375"/>
      <c r="F11" s="974">
        <f ca="1">1-IF('数据-取费表'!B24=0,1,IF(C1="",'数据-取费表'!N16,INDIRECT("'数据-取费表'!n"&amp;$K$1)))</f>
        <v>0.70300000000000007</v>
      </c>
      <c r="G11" s="8"/>
      <c r="H11" s="968"/>
      <c r="I11" s="968"/>
      <c r="J11" s="968"/>
      <c r="K11" s="969"/>
    </row>
    <row r="12" spans="1:33" s="975" customFormat="1" ht="13.5" customHeight="1">
      <c r="A12" s="971" t="s">
        <v>1335</v>
      </c>
      <c r="B12" s="972" t="s">
        <v>2485</v>
      </c>
      <c r="C12" s="24">
        <f ca="1">ROUND(C11*F12,0)</f>
        <v>597</v>
      </c>
      <c r="D12" s="973"/>
      <c r="E12" s="375"/>
      <c r="F12" s="976">
        <f>'数据-取费表'!B33</f>
        <v>0.03</v>
      </c>
      <c r="G12" s="8" t="s">
        <v>2486</v>
      </c>
      <c r="H12" s="968"/>
      <c r="I12" s="968"/>
      <c r="J12" s="968"/>
      <c r="K12" s="969"/>
    </row>
    <row r="13" spans="1:33" s="975" customFormat="1" ht="13.5" customHeight="1">
      <c r="A13" s="971" t="s">
        <v>1336</v>
      </c>
      <c r="B13" s="972" t="s">
        <v>2487</v>
      </c>
      <c r="C13" s="24">
        <f ca="1">ROUND(IF(C1="",SUMIF('数据-取费表'!C:C,"住宅",'数据-取费表'!P:P)*F13,IF(INDIRECT("'数据-取费表'!c"&amp;$K$1)="住宅",INDIRECT("'数据-取费表'!P"&amp;$K$1)*F13,0)),0)</f>
        <v>644</v>
      </c>
      <c r="D13" s="1033"/>
      <c r="E13" s="375"/>
      <c r="F13" s="976">
        <f>'数据-取费表'!B34</f>
        <v>0.05</v>
      </c>
      <c r="G13" s="8" t="s">
        <v>2488</v>
      </c>
      <c r="H13" s="968"/>
      <c r="I13" s="968"/>
      <c r="J13" s="968"/>
      <c r="K13" s="969"/>
    </row>
    <row r="14" spans="1:33" s="977" customFormat="1" ht="13.5" customHeight="1">
      <c r="A14" s="971" t="s">
        <v>1337</v>
      </c>
      <c r="B14" s="972" t="s">
        <v>2489</v>
      </c>
      <c r="C14" s="24">
        <f ca="1">ROUND(D14*E14*F11/10000,0)</f>
        <v>1731</v>
      </c>
      <c r="D14" s="1033">
        <f ca="1">IF(C1="",'数据-汇总表'!E3,INDIRECT("'数据-取费表'!K"&amp;$K$1)+INDIRECT("'数据-取费表'!S"&amp;$K$1))</f>
        <v>123122.34</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299</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23180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1231</v>
      </c>
      <c r="D17" s="1033">
        <f ca="1">D14</f>
        <v>123122.34</v>
      </c>
      <c r="E17" s="24">
        <f>'数据-取费表'!B32</f>
        <v>100</v>
      </c>
      <c r="F17" s="978"/>
      <c r="G17" s="140" t="s">
        <v>2495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4">
        <f ca="1">C19+C20-IF(C1="",'数据-取费表'!B29,IF(G18="已全部缴纳",C19+C20,H18))</f>
        <v>831</v>
      </c>
      <c r="D18" s="1033"/>
      <c r="E18" s="24"/>
      <c r="F18" s="976"/>
      <c r="G18" s="2560"/>
      <c r="H18" s="1577"/>
      <c r="I18" s="2561" t="s">
        <v>2497</v>
      </c>
      <c r="J18" s="979"/>
      <c r="K18" s="980"/>
    </row>
    <row r="19" spans="1:33" s="975" customFormat="1" ht="13.5" customHeight="1">
      <c r="A19" s="971" t="s">
        <v>805</v>
      </c>
      <c r="B19" s="972" t="s">
        <v>2498</v>
      </c>
      <c r="C19" s="24">
        <f ca="1">ROUND(D19*E19/10000,0)</f>
        <v>1600</v>
      </c>
      <c r="D19" s="1033">
        <f ca="1">IF(C1="",'数据-汇总表'!E5,IF(INDIRECT("'数据-取费表'!c"&amp;$K$1)="住宅",INDIRECT("'数据-取费表'!k"&amp;$K$1),0))</f>
        <v>79984.58</v>
      </c>
      <c r="E19" s="24">
        <f>'数据-取费表'!B27</f>
        <v>200</v>
      </c>
      <c r="F19" s="976"/>
      <c r="G19" s="15"/>
      <c r="H19" s="1579"/>
      <c r="I19" s="981"/>
      <c r="J19" s="981"/>
      <c r="K19" s="982"/>
    </row>
    <row r="20" spans="1:33" s="975" customFormat="1" ht="13.5" customHeight="1">
      <c r="A20" s="971" t="s">
        <v>806</v>
      </c>
      <c r="B20" s="972" t="s">
        <v>2499</v>
      </c>
      <c r="C20" s="24">
        <f ca="1">ROUND(D20*E20/10000,0)</f>
        <v>863</v>
      </c>
      <c r="D20" s="1033">
        <f ca="1">IF(C1="",'数据-汇总表'!E6,IF(INDIRECT("'数据-取费表'!c"&amp;$K$1)="住宅",INDIRECT("'数据-取费表'!s"&amp;$K$1),INDIRECT("'数据-取费表'!k"&amp;$K$1)+INDIRECT("'数据-取费表'!s"&amp;$K$1)))</f>
        <v>43137.759999999995</v>
      </c>
      <c r="E20" s="24">
        <f>'数据-取费表'!B28</f>
        <v>200</v>
      </c>
      <c r="F20" s="976"/>
      <c r="G20" s="15"/>
      <c r="H20" s="981"/>
      <c r="I20" s="981"/>
      <c r="J20" s="981"/>
      <c r="K20" s="982"/>
    </row>
    <row r="21" spans="1:33" s="975" customFormat="1" ht="13.5" customHeight="1">
      <c r="A21" s="961" t="s">
        <v>802</v>
      </c>
      <c r="B21" s="985" t="s">
        <v>2500</v>
      </c>
      <c r="C21" s="986">
        <f ca="1">C16+C17+C18</f>
        <v>25242</v>
      </c>
      <c r="D21" s="987"/>
      <c r="E21" s="325"/>
      <c r="F21" s="325"/>
      <c r="G21" s="140" t="s">
        <v>2501</v>
      </c>
      <c r="H21" s="979"/>
      <c r="I21" s="979"/>
      <c r="J21" s="979"/>
      <c r="K21" s="980"/>
    </row>
    <row r="22" spans="1:33" s="975" customFormat="1" ht="13.5" customHeight="1">
      <c r="A22" s="961" t="s">
        <v>2473</v>
      </c>
      <c r="B22" s="985" t="s">
        <v>2502</v>
      </c>
      <c r="C22" s="986">
        <f ca="1">ROUND(C21*F22,0)</f>
        <v>505</v>
      </c>
      <c r="D22" s="325"/>
      <c r="E22" s="325"/>
      <c r="F22" s="988">
        <f>'数据-取费表'!B37</f>
        <v>0.02</v>
      </c>
      <c r="G22" s="8" t="s">
        <v>2503</v>
      </c>
      <c r="H22" s="968"/>
      <c r="I22" s="968"/>
      <c r="J22" s="968"/>
      <c r="K22" s="969"/>
    </row>
    <row r="23" spans="1:33" s="975" customFormat="1" ht="13.5" customHeight="1">
      <c r="A23" s="961" t="s">
        <v>2475</v>
      </c>
      <c r="B23" s="985" t="s">
        <v>2504</v>
      </c>
      <c r="C23" s="986">
        <f ca="1">ROUND(C4*F23*F11,0)</f>
        <v>1516</v>
      </c>
      <c r="D23" s="325"/>
      <c r="E23" s="325"/>
      <c r="F23" s="988">
        <f>'数据-取费表'!B38</f>
        <v>0.02</v>
      </c>
      <c r="G23" s="8" t="s">
        <v>2505</v>
      </c>
      <c r="H23" s="968"/>
      <c r="I23" s="968"/>
      <c r="J23" s="968"/>
      <c r="K23" s="969"/>
    </row>
    <row r="24" spans="1:33" s="975" customFormat="1" ht="13.5" customHeight="1">
      <c r="A24" s="961" t="s">
        <v>2506</v>
      </c>
      <c r="B24" s="985" t="s">
        <v>2507</v>
      </c>
      <c r="C24" s="324">
        <f>ROUND(F24/(1+'数据-取费表'!C42),4)</f>
        <v>3.8600000000000002E-2</v>
      </c>
      <c r="D24" s="325" t="s">
        <v>15</v>
      </c>
      <c r="E24" s="325"/>
      <c r="F24" s="988">
        <f>'数据-取费表'!B48+'数据-取费表'!B49</f>
        <v>4.0500000000000001E-2</v>
      </c>
      <c r="G24" s="8" t="s">
        <v>2508</v>
      </c>
      <c r="H24" s="990"/>
      <c r="I24" s="990"/>
      <c r="J24" s="990"/>
      <c r="K24" s="991"/>
    </row>
    <row r="25" spans="1:33" s="975" customFormat="1" ht="13.5" customHeight="1">
      <c r="A25" s="961" t="s">
        <v>2509</v>
      </c>
      <c r="B25" s="987" t="s">
        <v>2510</v>
      </c>
      <c r="C25" s="1356">
        <f ca="1">C27</f>
        <v>904</v>
      </c>
      <c r="D25" s="324">
        <f ca="1">C26</f>
        <v>7.0000000000000007E-2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7.0000000000000007E-2</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904</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2513</v>
      </c>
      <c r="B28" s="2563" t="s">
        <v>2514</v>
      </c>
      <c r="C28" s="331">
        <f ca="1">C30</f>
        <v>4089</v>
      </c>
      <c r="D28" s="324">
        <f ca="1">C29</f>
        <v>0.1095</v>
      </c>
      <c r="E28" s="326" t="s">
        <v>15</v>
      </c>
      <c r="F28" s="332">
        <f ca="1">IF(C1="",'数据-取费表'!Q16,INDIRECT("'数据-取费表'!q"&amp;$K$1))</f>
        <v>0.15</v>
      </c>
      <c r="G28" s="989"/>
      <c r="H28" s="990"/>
      <c r="I28" s="990"/>
      <c r="J28" s="990"/>
      <c r="K28" s="991"/>
    </row>
    <row r="29" spans="1:33" s="335" customFormat="1" ht="13.5" customHeight="1">
      <c r="A29" s="971" t="s">
        <v>803</v>
      </c>
      <c r="B29" s="994" t="s">
        <v>2515</v>
      </c>
      <c r="C29" s="328">
        <f ca="1">ROUND((1+C24)*F28*'数据-取费表'!B24/'数据-取费表'!B20,4)</f>
        <v>0.1095</v>
      </c>
      <c r="D29" s="328"/>
      <c r="E29" s="329"/>
      <c r="F29" s="334"/>
      <c r="G29" s="140" t="s">
        <v>2516</v>
      </c>
      <c r="H29" s="979"/>
      <c r="I29" s="979"/>
      <c r="J29" s="979"/>
      <c r="K29" s="980"/>
    </row>
    <row r="30" spans="1:33" s="335" customFormat="1" ht="13.5" customHeight="1">
      <c r="A30" s="971" t="s">
        <v>804</v>
      </c>
      <c r="B30" s="994" t="s">
        <v>2517</v>
      </c>
      <c r="C30" s="336">
        <f ca="1">ROUND((C21+C22+C23)*F28,0)</f>
        <v>4089</v>
      </c>
      <c r="D30" s="328"/>
      <c r="E30" s="329"/>
      <c r="F30" s="334"/>
      <c r="G30" s="140"/>
      <c r="H30" s="979"/>
      <c r="I30" s="979"/>
      <c r="J30" s="979"/>
      <c r="K30" s="980"/>
    </row>
    <row r="31" spans="1:33" s="975" customFormat="1" ht="13.5" customHeight="1" thickBot="1">
      <c r="A31" s="2564" t="s">
        <v>2518</v>
      </c>
      <c r="B31" s="1005" t="s">
        <v>2519</v>
      </c>
      <c r="C31" s="1006">
        <f ca="1">ROUND(C4*F31/(1+'数据-取费表'!C42),0)</f>
        <v>5647</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57390</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opLeftCell="A19" workbookViewId="0">
      <selection activeCell="N35" sqref="N35:N36"/>
    </sheetView>
  </sheetViews>
  <sheetFormatPr defaultRowHeight="13.5"/>
  <cols>
    <col min="8" max="8" width="17.375" customWidth="1"/>
  </cols>
  <sheetData>
    <row r="1" spans="1:12" ht="18.75">
      <c r="A1" s="3252" t="s">
        <v>3108</v>
      </c>
      <c r="B1" s="3252"/>
      <c r="C1" s="3252"/>
      <c r="D1" s="3252"/>
      <c r="E1" s="3252"/>
      <c r="F1" s="3252"/>
      <c r="G1" s="3252"/>
      <c r="H1" s="3252"/>
      <c r="I1" s="3252"/>
      <c r="J1" s="2969"/>
    </row>
    <row r="2" spans="1:12" ht="28.5">
      <c r="A2" s="2970" t="s">
        <v>3109</v>
      </c>
      <c r="B2" s="2971" t="s">
        <v>3110</v>
      </c>
      <c r="C2" s="2972" t="s">
        <v>3111</v>
      </c>
      <c r="D2" s="2971" t="s">
        <v>3112</v>
      </c>
      <c r="E2" s="2971" t="s">
        <v>3113</v>
      </c>
      <c r="F2" s="2971" t="s">
        <v>3114</v>
      </c>
      <c r="G2" s="2973" t="s">
        <v>3115</v>
      </c>
      <c r="H2" s="2973" t="s">
        <v>3116</v>
      </c>
      <c r="I2" s="2971" t="s">
        <v>3117</v>
      </c>
      <c r="J2" s="2996" t="s">
        <v>3176</v>
      </c>
    </row>
    <row r="3" spans="1:12">
      <c r="A3" s="2974">
        <v>37</v>
      </c>
      <c r="B3" s="2975" t="s">
        <v>3118</v>
      </c>
      <c r="C3" s="2976">
        <v>9365.99</v>
      </c>
      <c r="D3" s="2977" t="s">
        <v>3119</v>
      </c>
      <c r="E3" s="2977" t="s">
        <v>3120</v>
      </c>
      <c r="F3" s="2977">
        <v>17</v>
      </c>
      <c r="G3" s="2977">
        <v>8</v>
      </c>
      <c r="H3" s="2976" t="s">
        <v>3121</v>
      </c>
      <c r="I3" s="2978" t="s">
        <v>3122</v>
      </c>
      <c r="J3" s="2979">
        <v>25</v>
      </c>
    </row>
    <row r="4" spans="1:12">
      <c r="A4" s="2980">
        <v>2</v>
      </c>
      <c r="B4" s="2981" t="s">
        <v>3123</v>
      </c>
      <c r="C4" s="2982">
        <v>1629.01</v>
      </c>
      <c r="D4" s="2980" t="s">
        <v>3119</v>
      </c>
      <c r="E4" s="2980" t="s">
        <v>1377</v>
      </c>
      <c r="F4" s="2980">
        <v>1</v>
      </c>
      <c r="G4" s="2980">
        <v>0</v>
      </c>
      <c r="H4" s="2982" t="s">
        <v>3124</v>
      </c>
      <c r="I4" s="2983" t="s">
        <v>3125</v>
      </c>
      <c r="J4" s="2984">
        <v>10</v>
      </c>
    </row>
    <row r="5" spans="1:12">
      <c r="A5" s="2980">
        <v>1</v>
      </c>
      <c r="B5" s="2981" t="s">
        <v>3126</v>
      </c>
      <c r="C5" s="2982">
        <v>1180.33</v>
      </c>
      <c r="D5" s="2980" t="s">
        <v>3119</v>
      </c>
      <c r="E5" s="2980" t="s">
        <v>1377</v>
      </c>
      <c r="F5" s="2980">
        <v>1</v>
      </c>
      <c r="G5" s="2980">
        <v>0</v>
      </c>
      <c r="H5" s="2982" t="s">
        <v>3124</v>
      </c>
      <c r="I5" s="2983" t="s">
        <v>3125</v>
      </c>
      <c r="J5" s="2984">
        <v>10</v>
      </c>
    </row>
    <row r="6" spans="1:12">
      <c r="A6" s="2985">
        <v>10</v>
      </c>
      <c r="B6" s="2986" t="s">
        <v>3127</v>
      </c>
      <c r="C6" s="2987">
        <v>1141.56</v>
      </c>
      <c r="D6" s="2985" t="s">
        <v>3119</v>
      </c>
      <c r="E6" s="2985" t="s">
        <v>3053</v>
      </c>
      <c r="F6" s="2985">
        <v>4</v>
      </c>
      <c r="G6" s="2985">
        <v>0</v>
      </c>
      <c r="H6" s="2987" t="s">
        <v>3124</v>
      </c>
      <c r="I6" s="2985" t="s">
        <v>3128</v>
      </c>
      <c r="J6" s="2988">
        <v>10</v>
      </c>
    </row>
    <row r="7" spans="1:12">
      <c r="A7" s="2985">
        <v>9</v>
      </c>
      <c r="B7" s="2986" t="s">
        <v>3129</v>
      </c>
      <c r="C7" s="2987">
        <v>1141.56</v>
      </c>
      <c r="D7" s="2985" t="s">
        <v>3119</v>
      </c>
      <c r="E7" s="2985" t="s">
        <v>3053</v>
      </c>
      <c r="F7" s="2985">
        <v>4</v>
      </c>
      <c r="G7" s="2985">
        <v>0</v>
      </c>
      <c r="H7" s="2987" t="s">
        <v>3130</v>
      </c>
      <c r="I7" s="2985" t="s">
        <v>3128</v>
      </c>
      <c r="J7" s="2988">
        <v>10</v>
      </c>
      <c r="L7">
        <f>ROUND(C6*J6+C7*J7+C8*J8+C9*J9+C11*J11+C13*J13+C12*J12++C14*J14+C15*J15+C16*J16+C17*J17+C18*J18+C19*J19+C20*J20+C21*J21+C22*J22+C23*J23+C24*J24+C25*J25+C26*J26+C27*J27+C28*J28+C29*J29+C30*J30+C31*J31,2)</f>
        <v>1139405.92</v>
      </c>
    </row>
    <row r="8" spans="1:12">
      <c r="A8" s="2985">
        <v>8</v>
      </c>
      <c r="B8" s="2986" t="s">
        <v>3131</v>
      </c>
      <c r="C8" s="2987">
        <v>1141.56</v>
      </c>
      <c r="D8" s="2985" t="s">
        <v>3119</v>
      </c>
      <c r="E8" s="2985" t="s">
        <v>3053</v>
      </c>
      <c r="F8" s="2985">
        <v>4</v>
      </c>
      <c r="G8" s="2985">
        <v>0</v>
      </c>
      <c r="H8" s="2987" t="s">
        <v>3130</v>
      </c>
      <c r="I8" s="2985" t="s">
        <v>3128</v>
      </c>
      <c r="J8" s="2988">
        <v>10</v>
      </c>
      <c r="K8" s="2997" t="s">
        <v>3178</v>
      </c>
      <c r="L8" s="2997">
        <f>SUM(C6:C31)-C10</f>
        <v>43268.349999999984</v>
      </c>
    </row>
    <row r="9" spans="1:12">
      <c r="A9" s="2985">
        <v>7</v>
      </c>
      <c r="B9" s="2986" t="s">
        <v>3132</v>
      </c>
      <c r="C9" s="2987">
        <v>1141.56</v>
      </c>
      <c r="D9" s="2985" t="s">
        <v>3119</v>
      </c>
      <c r="E9" s="2985" t="s">
        <v>3053</v>
      </c>
      <c r="F9" s="2985">
        <v>4</v>
      </c>
      <c r="G9" s="2985">
        <v>0</v>
      </c>
      <c r="H9" s="2987" t="s">
        <v>3130</v>
      </c>
      <c r="I9" s="2985" t="s">
        <v>3128</v>
      </c>
      <c r="J9" s="2988">
        <v>10</v>
      </c>
      <c r="K9" s="2997" t="s">
        <v>3177</v>
      </c>
      <c r="L9">
        <f>L7/L8</f>
        <v>26.333472850247361</v>
      </c>
    </row>
    <row r="10" spans="1:12">
      <c r="A10" s="2977">
        <v>36</v>
      </c>
      <c r="B10" s="2975" t="s">
        <v>3133</v>
      </c>
      <c r="C10" s="2976">
        <v>11948.96</v>
      </c>
      <c r="D10" s="2977" t="s">
        <v>3119</v>
      </c>
      <c r="E10" s="2977" t="s">
        <v>3053</v>
      </c>
      <c r="F10" s="2977">
        <v>23</v>
      </c>
      <c r="G10" s="2977">
        <v>12</v>
      </c>
      <c r="H10" s="2976" t="s">
        <v>3134</v>
      </c>
      <c r="I10" s="2978" t="s">
        <v>3122</v>
      </c>
      <c r="J10" s="2979">
        <v>25</v>
      </c>
    </row>
    <row r="11" spans="1:12">
      <c r="A11" s="2985">
        <v>15</v>
      </c>
      <c r="B11" s="2986" t="s">
        <v>3135</v>
      </c>
      <c r="C11" s="2987">
        <v>1141.56</v>
      </c>
      <c r="D11" s="2985" t="s">
        <v>3119</v>
      </c>
      <c r="E11" s="2985" t="s">
        <v>3053</v>
      </c>
      <c r="F11" s="2985">
        <v>4</v>
      </c>
      <c r="G11" s="2985">
        <v>0</v>
      </c>
      <c r="H11" s="2987" t="s">
        <v>3124</v>
      </c>
      <c r="I11" s="2989" t="s">
        <v>3136</v>
      </c>
      <c r="J11" s="2988">
        <v>10</v>
      </c>
    </row>
    <row r="12" spans="1:12">
      <c r="A12" s="2985">
        <v>14</v>
      </c>
      <c r="B12" s="2986" t="s">
        <v>3137</v>
      </c>
      <c r="C12" s="2987">
        <v>1141.56</v>
      </c>
      <c r="D12" s="2985" t="s">
        <v>3119</v>
      </c>
      <c r="E12" s="2985" t="s">
        <v>3053</v>
      </c>
      <c r="F12" s="2985">
        <v>4</v>
      </c>
      <c r="G12" s="2985">
        <v>0</v>
      </c>
      <c r="H12" s="2987" t="s">
        <v>3124</v>
      </c>
      <c r="I12" s="2989" t="s">
        <v>3136</v>
      </c>
      <c r="J12" s="2988">
        <v>10</v>
      </c>
    </row>
    <row r="13" spans="1:12">
      <c r="A13" s="2985">
        <v>13</v>
      </c>
      <c r="B13" s="2986" t="s">
        <v>3138</v>
      </c>
      <c r="C13" s="2987">
        <v>1141.56</v>
      </c>
      <c r="D13" s="2985" t="s">
        <v>3119</v>
      </c>
      <c r="E13" s="2985" t="s">
        <v>3053</v>
      </c>
      <c r="F13" s="2985">
        <v>4</v>
      </c>
      <c r="G13" s="2985">
        <v>0</v>
      </c>
      <c r="H13" s="2987" t="s">
        <v>3130</v>
      </c>
      <c r="I13" s="2989" t="s">
        <v>3136</v>
      </c>
      <c r="J13" s="2988">
        <v>10</v>
      </c>
    </row>
    <row r="14" spans="1:12">
      <c r="A14" s="2985">
        <v>12</v>
      </c>
      <c r="B14" s="2986" t="s">
        <v>3139</v>
      </c>
      <c r="C14" s="2987">
        <v>1141.56</v>
      </c>
      <c r="D14" s="2985" t="s">
        <v>3119</v>
      </c>
      <c r="E14" s="2985" t="s">
        <v>3053</v>
      </c>
      <c r="F14" s="2985">
        <v>4</v>
      </c>
      <c r="G14" s="2985">
        <v>0</v>
      </c>
      <c r="H14" s="2987" t="s">
        <v>3130</v>
      </c>
      <c r="I14" s="2989" t="s">
        <v>3136</v>
      </c>
      <c r="J14" s="2988">
        <v>10</v>
      </c>
    </row>
    <row r="15" spans="1:12">
      <c r="A15" s="2985">
        <v>11</v>
      </c>
      <c r="B15" s="2986" t="s">
        <v>3140</v>
      </c>
      <c r="C15" s="2987">
        <v>1141.56</v>
      </c>
      <c r="D15" s="2985" t="s">
        <v>3119</v>
      </c>
      <c r="E15" s="2985" t="s">
        <v>3053</v>
      </c>
      <c r="F15" s="2985">
        <v>4</v>
      </c>
      <c r="G15" s="2985">
        <v>0</v>
      </c>
      <c r="H15" s="2987" t="s">
        <v>3130</v>
      </c>
      <c r="I15" s="2989" t="s">
        <v>3136</v>
      </c>
      <c r="J15" s="2988">
        <v>10</v>
      </c>
    </row>
    <row r="16" spans="1:12">
      <c r="A16" s="2985">
        <v>20</v>
      </c>
      <c r="B16" s="2986" t="s">
        <v>3141</v>
      </c>
      <c r="C16" s="2987">
        <v>1141.56</v>
      </c>
      <c r="D16" s="2985" t="s">
        <v>3119</v>
      </c>
      <c r="E16" s="2985" t="s">
        <v>3053</v>
      </c>
      <c r="F16" s="2985">
        <v>4</v>
      </c>
      <c r="G16" s="2985">
        <v>0</v>
      </c>
      <c r="H16" s="2987" t="s">
        <v>3124</v>
      </c>
      <c r="I16" s="2989" t="s">
        <v>3136</v>
      </c>
      <c r="J16" s="2988">
        <v>10</v>
      </c>
    </row>
    <row r="17" spans="1:12">
      <c r="A17" s="2985">
        <v>19</v>
      </c>
      <c r="B17" s="2986" t="s">
        <v>3142</v>
      </c>
      <c r="C17" s="2987">
        <v>1141.56</v>
      </c>
      <c r="D17" s="2985" t="s">
        <v>3119</v>
      </c>
      <c r="E17" s="2985" t="s">
        <v>3053</v>
      </c>
      <c r="F17" s="2985">
        <v>4</v>
      </c>
      <c r="G17" s="2985">
        <v>0</v>
      </c>
      <c r="H17" s="2987" t="s">
        <v>3143</v>
      </c>
      <c r="I17" s="2989" t="s">
        <v>3144</v>
      </c>
      <c r="J17" s="2988">
        <v>10</v>
      </c>
    </row>
    <row r="18" spans="1:12">
      <c r="A18" s="2985">
        <v>18</v>
      </c>
      <c r="B18" s="2986" t="s">
        <v>3145</v>
      </c>
      <c r="C18" s="2987">
        <v>1141.56</v>
      </c>
      <c r="D18" s="2985" t="s">
        <v>3119</v>
      </c>
      <c r="E18" s="2985" t="s">
        <v>3053</v>
      </c>
      <c r="F18" s="2985">
        <v>4</v>
      </c>
      <c r="G18" s="2985">
        <v>0</v>
      </c>
      <c r="H18" s="2987" t="s">
        <v>3146</v>
      </c>
      <c r="I18" s="2989" t="s">
        <v>3144</v>
      </c>
      <c r="J18" s="2988">
        <v>10</v>
      </c>
    </row>
    <row r="19" spans="1:12">
      <c r="A19" s="2985">
        <v>17</v>
      </c>
      <c r="B19" s="2986" t="s">
        <v>3147</v>
      </c>
      <c r="C19" s="2987">
        <v>1141.56</v>
      </c>
      <c r="D19" s="2985" t="s">
        <v>3119</v>
      </c>
      <c r="E19" s="2985" t="s">
        <v>3053</v>
      </c>
      <c r="F19" s="2985">
        <v>4</v>
      </c>
      <c r="G19" s="2985">
        <v>0</v>
      </c>
      <c r="H19" s="2987" t="s">
        <v>3146</v>
      </c>
      <c r="I19" s="2989" t="s">
        <v>3144</v>
      </c>
      <c r="J19" s="2988">
        <v>10</v>
      </c>
    </row>
    <row r="20" spans="1:12">
      <c r="A20" s="2985">
        <v>16</v>
      </c>
      <c r="B20" s="2986" t="s">
        <v>3148</v>
      </c>
      <c r="C20" s="2987">
        <v>1141.56</v>
      </c>
      <c r="D20" s="2985" t="s">
        <v>3119</v>
      </c>
      <c r="E20" s="2985" t="s">
        <v>3053</v>
      </c>
      <c r="F20" s="2985">
        <v>4</v>
      </c>
      <c r="G20" s="2985">
        <v>0</v>
      </c>
      <c r="H20" s="2987" t="s">
        <v>3149</v>
      </c>
      <c r="I20" s="2989" t="s">
        <v>3144</v>
      </c>
      <c r="J20" s="2988">
        <v>10</v>
      </c>
    </row>
    <row r="21" spans="1:12">
      <c r="A21" s="2985">
        <v>35</v>
      </c>
      <c r="B21" s="2986" t="s">
        <v>3150</v>
      </c>
      <c r="C21" s="2987">
        <v>15870.91</v>
      </c>
      <c r="D21" s="2985" t="s">
        <v>3119</v>
      </c>
      <c r="E21" s="2985" t="s">
        <v>3151</v>
      </c>
      <c r="F21" s="2985">
        <v>24</v>
      </c>
      <c r="G21" s="2985">
        <v>11</v>
      </c>
      <c r="H21" s="2987" t="s">
        <v>3152</v>
      </c>
      <c r="I21" s="2989" t="s">
        <v>3153</v>
      </c>
      <c r="J21" s="2988">
        <v>40</v>
      </c>
    </row>
    <row r="22" spans="1:12">
      <c r="A22" s="2985">
        <v>25</v>
      </c>
      <c r="B22" s="2986" t="s">
        <v>3154</v>
      </c>
      <c r="C22" s="2987">
        <v>1141.56</v>
      </c>
      <c r="D22" s="2985" t="s">
        <v>3119</v>
      </c>
      <c r="E22" s="2985" t="s">
        <v>3053</v>
      </c>
      <c r="F22" s="2985">
        <v>4</v>
      </c>
      <c r="G22" s="2985">
        <v>0</v>
      </c>
      <c r="H22" s="2987" t="s">
        <v>3155</v>
      </c>
      <c r="I22" s="2989" t="s">
        <v>3153</v>
      </c>
      <c r="J22" s="2988">
        <v>2</v>
      </c>
    </row>
    <row r="23" spans="1:12">
      <c r="A23" s="2985">
        <v>24</v>
      </c>
      <c r="B23" s="2986" t="s">
        <v>3156</v>
      </c>
      <c r="C23" s="2987">
        <v>1141.56</v>
      </c>
      <c r="D23" s="2985" t="s">
        <v>3119</v>
      </c>
      <c r="E23" s="2985" t="s">
        <v>3053</v>
      </c>
      <c r="F23" s="2985">
        <v>4</v>
      </c>
      <c r="G23" s="2985">
        <v>1</v>
      </c>
      <c r="H23" s="2987" t="s">
        <v>3157</v>
      </c>
      <c r="I23" s="2989" t="s">
        <v>3153</v>
      </c>
      <c r="J23" s="2988">
        <v>25</v>
      </c>
    </row>
    <row r="24" spans="1:12">
      <c r="A24" s="2985">
        <v>23</v>
      </c>
      <c r="B24" s="2986" t="s">
        <v>3158</v>
      </c>
      <c r="C24" s="2987">
        <v>1141.56</v>
      </c>
      <c r="D24" s="2985" t="s">
        <v>3119</v>
      </c>
      <c r="E24" s="2985" t="s">
        <v>3053</v>
      </c>
      <c r="F24" s="2985">
        <v>4</v>
      </c>
      <c r="G24" s="2985">
        <v>2</v>
      </c>
      <c r="H24" s="2987" t="s">
        <v>3159</v>
      </c>
      <c r="I24" s="2989" t="s">
        <v>3153</v>
      </c>
      <c r="J24" s="2988">
        <v>40</v>
      </c>
    </row>
    <row r="25" spans="1:12">
      <c r="A25" s="2985">
        <v>22</v>
      </c>
      <c r="B25" s="2986" t="s">
        <v>3160</v>
      </c>
      <c r="C25" s="2987">
        <v>1141.56</v>
      </c>
      <c r="D25" s="2985" t="s">
        <v>3119</v>
      </c>
      <c r="E25" s="2985" t="s">
        <v>3053</v>
      </c>
      <c r="F25" s="2985">
        <v>4</v>
      </c>
      <c r="G25" s="2985">
        <v>2</v>
      </c>
      <c r="H25" s="2987" t="s">
        <v>3159</v>
      </c>
      <c r="I25" s="2989" t="s">
        <v>3153</v>
      </c>
      <c r="J25" s="2988">
        <v>40</v>
      </c>
    </row>
    <row r="26" spans="1:12">
      <c r="A26" s="2985">
        <v>21</v>
      </c>
      <c r="B26" s="2986" t="s">
        <v>3161</v>
      </c>
      <c r="C26" s="2987">
        <v>1141.56</v>
      </c>
      <c r="D26" s="2985" t="s">
        <v>3119</v>
      </c>
      <c r="E26" s="2985" t="s">
        <v>3053</v>
      </c>
      <c r="F26" s="2985">
        <v>4</v>
      </c>
      <c r="G26" s="2985">
        <v>2</v>
      </c>
      <c r="H26" s="2987" t="s">
        <v>3159</v>
      </c>
      <c r="I26" s="2989" t="s">
        <v>3153</v>
      </c>
      <c r="J26" s="2988">
        <v>40</v>
      </c>
    </row>
    <row r="27" spans="1:12">
      <c r="A27" s="2985">
        <v>30</v>
      </c>
      <c r="B27" s="2986" t="s">
        <v>3162</v>
      </c>
      <c r="C27" s="2987">
        <v>1141.56</v>
      </c>
      <c r="D27" s="2985" t="s">
        <v>3119</v>
      </c>
      <c r="E27" s="2985" t="s">
        <v>3053</v>
      </c>
      <c r="F27" s="2985">
        <v>4</v>
      </c>
      <c r="G27" s="2985">
        <v>1</v>
      </c>
      <c r="H27" s="2987" t="s">
        <v>3163</v>
      </c>
      <c r="I27" s="2989" t="s">
        <v>3153</v>
      </c>
      <c r="J27" s="2988">
        <v>25</v>
      </c>
    </row>
    <row r="28" spans="1:12">
      <c r="A28" s="2985">
        <v>29</v>
      </c>
      <c r="B28" s="2986" t="s">
        <v>3164</v>
      </c>
      <c r="C28" s="2987">
        <v>1141.56</v>
      </c>
      <c r="D28" s="2985" t="s">
        <v>3119</v>
      </c>
      <c r="E28" s="2985" t="s">
        <v>3053</v>
      </c>
      <c r="F28" s="2985">
        <v>4</v>
      </c>
      <c r="G28" s="2985">
        <v>1</v>
      </c>
      <c r="H28" s="2987" t="s">
        <v>3163</v>
      </c>
      <c r="I28" s="2989" t="s">
        <v>3153</v>
      </c>
      <c r="J28" s="2988">
        <v>25</v>
      </c>
    </row>
    <row r="29" spans="1:12">
      <c r="A29" s="2985">
        <v>28</v>
      </c>
      <c r="B29" s="2986" t="s">
        <v>3165</v>
      </c>
      <c r="C29" s="2987">
        <v>1141.56</v>
      </c>
      <c r="D29" s="2985" t="s">
        <v>3119</v>
      </c>
      <c r="E29" s="2985" t="s">
        <v>3053</v>
      </c>
      <c r="F29" s="2985">
        <v>4</v>
      </c>
      <c r="G29" s="2985">
        <v>2</v>
      </c>
      <c r="H29" s="2987" t="s">
        <v>3166</v>
      </c>
      <c r="I29" s="2989" t="s">
        <v>3153</v>
      </c>
      <c r="J29" s="2988">
        <v>25</v>
      </c>
    </row>
    <row r="30" spans="1:12">
      <c r="A30" s="2985">
        <v>27</v>
      </c>
      <c r="B30" s="2986" t="s">
        <v>3167</v>
      </c>
      <c r="C30" s="2987">
        <v>1141.56</v>
      </c>
      <c r="D30" s="2985" t="s">
        <v>3119</v>
      </c>
      <c r="E30" s="2985" t="s">
        <v>3053</v>
      </c>
      <c r="F30" s="2985">
        <v>4</v>
      </c>
      <c r="G30" s="2985">
        <v>2</v>
      </c>
      <c r="H30" s="2987" t="s">
        <v>3159</v>
      </c>
      <c r="I30" s="2989" t="s">
        <v>3153</v>
      </c>
      <c r="J30" s="2988">
        <v>40</v>
      </c>
    </row>
    <row r="31" spans="1:12">
      <c r="A31" s="2985">
        <v>26</v>
      </c>
      <c r="B31" s="2986" t="s">
        <v>3168</v>
      </c>
      <c r="C31" s="2987">
        <v>1141.56</v>
      </c>
      <c r="D31" s="2985" t="s">
        <v>3119</v>
      </c>
      <c r="E31" s="2985" t="s">
        <v>3053</v>
      </c>
      <c r="F31" s="2985">
        <v>4</v>
      </c>
      <c r="G31" s="2985">
        <v>2</v>
      </c>
      <c r="H31" s="2987" t="s">
        <v>3159</v>
      </c>
      <c r="I31" s="2989" t="s">
        <v>3153</v>
      </c>
      <c r="J31" s="2988">
        <v>40</v>
      </c>
    </row>
    <row r="32" spans="1:12">
      <c r="A32" s="2990">
        <v>34</v>
      </c>
      <c r="B32" s="2991" t="s">
        <v>3169</v>
      </c>
      <c r="C32" s="2992">
        <v>15774.63</v>
      </c>
      <c r="D32" s="2990" t="s">
        <v>3119</v>
      </c>
      <c r="E32" s="2990" t="s">
        <v>3120</v>
      </c>
      <c r="F32" s="2990">
        <v>23</v>
      </c>
      <c r="G32" s="2990">
        <v>11</v>
      </c>
      <c r="H32" s="2992" t="s">
        <v>3134</v>
      </c>
      <c r="I32" s="2993" t="s">
        <v>3170</v>
      </c>
      <c r="J32" s="2994">
        <v>40</v>
      </c>
      <c r="L32">
        <f>ROUND(C32*J32+C33*J33+C34*J34+C3*J35,2)</f>
        <v>1686348.5</v>
      </c>
    </row>
    <row r="33" spans="1:12">
      <c r="A33" s="2990">
        <v>33</v>
      </c>
      <c r="B33" s="2991" t="s">
        <v>3171</v>
      </c>
      <c r="C33" s="2992">
        <v>7137.64</v>
      </c>
      <c r="D33" s="2990" t="s">
        <v>3119</v>
      </c>
      <c r="E33" s="2990" t="s">
        <v>3120</v>
      </c>
      <c r="F33" s="2990">
        <v>17</v>
      </c>
      <c r="G33" s="2990">
        <v>13</v>
      </c>
      <c r="H33" s="2992" t="s">
        <v>3172</v>
      </c>
      <c r="I33" s="2993" t="s">
        <v>3170</v>
      </c>
      <c r="J33" s="2994">
        <v>45</v>
      </c>
      <c r="L33">
        <f>SUM(C32:C35)</f>
        <v>33923.83</v>
      </c>
    </row>
    <row r="34" spans="1:12">
      <c r="A34" s="2990">
        <v>32</v>
      </c>
      <c r="B34" s="2991" t="s">
        <v>3173</v>
      </c>
      <c r="C34" s="2992">
        <v>5317.4</v>
      </c>
      <c r="D34" s="2990" t="s">
        <v>3119</v>
      </c>
      <c r="E34" s="2990" t="s">
        <v>3120</v>
      </c>
      <c r="F34" s="2990">
        <v>10</v>
      </c>
      <c r="G34" s="2990">
        <v>10</v>
      </c>
      <c r="H34" s="2992" t="s">
        <v>3174</v>
      </c>
      <c r="I34" s="2993" t="s">
        <v>3170</v>
      </c>
      <c r="J34" s="2994">
        <v>50</v>
      </c>
      <c r="K34" s="2997" t="s">
        <v>3177</v>
      </c>
      <c r="L34">
        <f>L32/L33</f>
        <v>49.709849978613853</v>
      </c>
    </row>
    <row r="35" spans="1:12">
      <c r="A35" s="2990">
        <v>31</v>
      </c>
      <c r="B35" s="2991" t="s">
        <v>3175</v>
      </c>
      <c r="C35" s="2992">
        <v>5694.16</v>
      </c>
      <c r="D35" s="2990" t="s">
        <v>3119</v>
      </c>
      <c r="E35" s="2990" t="s">
        <v>3120</v>
      </c>
      <c r="F35" s="2990">
        <v>10</v>
      </c>
      <c r="G35" s="2990">
        <v>10</v>
      </c>
      <c r="H35" s="2992" t="s">
        <v>3174</v>
      </c>
      <c r="I35" s="2993" t="s">
        <v>3170</v>
      </c>
      <c r="J35" s="2994">
        <v>50</v>
      </c>
    </row>
    <row r="36" spans="1:12">
      <c r="A36" s="2969"/>
      <c r="B36" s="2969"/>
      <c r="C36" s="2969"/>
      <c r="D36" s="2969"/>
      <c r="E36" s="2969"/>
      <c r="F36" s="2969"/>
      <c r="G36" s="2995"/>
      <c r="H36" s="2995"/>
      <c r="I36" s="2969"/>
      <c r="J36" s="2969"/>
    </row>
    <row r="37" spans="1:12">
      <c r="A37" s="2969"/>
      <c r="B37" s="2969"/>
      <c r="C37" s="2969">
        <f>SUM(C3:C36)</f>
        <v>101316.46999999997</v>
      </c>
      <c r="D37" s="2969"/>
      <c r="E37" s="2969"/>
      <c r="F37" s="2969"/>
      <c r="G37" s="2995"/>
      <c r="H37" s="2995"/>
      <c r="I37" s="2969"/>
      <c r="J37" s="2969"/>
    </row>
  </sheetData>
  <mergeCells count="1">
    <mergeCell ref="A1:I1"/>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E47" sqref="E47"/>
    </sheetView>
  </sheetViews>
  <sheetFormatPr defaultRowHeight="12.75"/>
  <cols>
    <col min="1" max="1" width="55.875" style="2954" customWidth="1"/>
    <col min="2" max="2" width="6.25" style="2954" customWidth="1"/>
    <col min="3" max="5" width="13.875" style="2954" customWidth="1"/>
    <col min="6" max="6" width="10.875" style="2954" customWidth="1"/>
    <col min="7" max="7" width="7.875" style="2954" customWidth="1"/>
    <col min="8" max="8" width="9" style="2954" customWidth="1"/>
    <col min="9" max="10" width="10.625" style="2954" customWidth="1"/>
    <col min="11" max="11" width="14.375" style="2954" customWidth="1"/>
    <col min="12" max="12" width="6.25" style="2954" customWidth="1"/>
    <col min="13" max="13" width="43" style="2954" customWidth="1"/>
    <col min="14" max="16384" width="9" style="2954"/>
  </cols>
  <sheetData>
    <row r="1" spans="1:14" ht="14.25">
      <c r="A1" s="1635" t="s">
        <v>3068</v>
      </c>
      <c r="B1" s="1635" t="s">
        <v>3069</v>
      </c>
      <c r="C1" s="1635" t="s">
        <v>3070</v>
      </c>
      <c r="D1" s="1635" t="s">
        <v>3071</v>
      </c>
      <c r="E1" s="1635" t="s">
        <v>3072</v>
      </c>
      <c r="F1" s="1635" t="s">
        <v>3073</v>
      </c>
      <c r="G1" s="1635" t="s">
        <v>3074</v>
      </c>
      <c r="H1" s="1635" t="s">
        <v>3075</v>
      </c>
      <c r="I1" s="1635" t="s">
        <v>3076</v>
      </c>
      <c r="J1" s="1635" t="s">
        <v>3077</v>
      </c>
      <c r="K1" s="1635" t="s">
        <v>3078</v>
      </c>
      <c r="L1" s="1635" t="s">
        <v>3079</v>
      </c>
      <c r="M1" s="1635" t="s">
        <v>3080</v>
      </c>
      <c r="N1" s="1635" t="s">
        <v>3183</v>
      </c>
    </row>
    <row r="2" spans="1:14" ht="14.25">
      <c r="A2" s="1635" t="s">
        <v>3184</v>
      </c>
      <c r="B2" s="1635" t="s">
        <v>3185</v>
      </c>
      <c r="C2" s="1635" t="s">
        <v>3086</v>
      </c>
      <c r="D2" s="1635">
        <v>37297.07</v>
      </c>
      <c r="E2" s="1635">
        <v>74594.14</v>
      </c>
      <c r="F2" s="1635" t="s">
        <v>3094</v>
      </c>
      <c r="G2" s="1635" t="s">
        <v>3083</v>
      </c>
      <c r="H2" s="1635" t="s">
        <v>3186</v>
      </c>
      <c r="I2" s="1635" t="s">
        <v>1331</v>
      </c>
      <c r="J2" s="1635">
        <v>30200</v>
      </c>
      <c r="K2" s="1635">
        <v>4048.57</v>
      </c>
      <c r="L2" s="1635" t="s">
        <v>1331</v>
      </c>
      <c r="M2" s="1635" t="s">
        <v>3187</v>
      </c>
      <c r="N2" s="1635" t="s">
        <v>3188</v>
      </c>
    </row>
    <row r="3" spans="1:14" ht="14.25">
      <c r="A3" s="1635" t="s">
        <v>3189</v>
      </c>
      <c r="B3" s="1635" t="s">
        <v>3185</v>
      </c>
      <c r="C3" s="1635" t="s">
        <v>3082</v>
      </c>
      <c r="D3" s="1635">
        <v>46881.919999999998</v>
      </c>
      <c r="E3" s="1635">
        <v>121893</v>
      </c>
      <c r="F3" s="1635" t="s">
        <v>3190</v>
      </c>
      <c r="G3" s="1635" t="s">
        <v>3083</v>
      </c>
      <c r="H3" s="1635" t="s">
        <v>3191</v>
      </c>
      <c r="I3" s="1635">
        <v>15000</v>
      </c>
      <c r="J3" s="1635">
        <v>85800</v>
      </c>
      <c r="K3" s="1635">
        <v>7038.96</v>
      </c>
      <c r="L3" s="1635">
        <v>472</v>
      </c>
      <c r="M3" s="1635" t="s">
        <v>3192</v>
      </c>
      <c r="N3" s="1635" t="s">
        <v>3188</v>
      </c>
    </row>
    <row r="4" spans="1:14" ht="14.25">
      <c r="A4" s="1635" t="s">
        <v>3193</v>
      </c>
      <c r="B4" s="1635" t="s">
        <v>3185</v>
      </c>
      <c r="C4" s="1635" t="s">
        <v>3086</v>
      </c>
      <c r="D4" s="1635">
        <v>16669</v>
      </c>
      <c r="E4" s="1635">
        <v>43339.4</v>
      </c>
      <c r="F4" s="1635" t="s">
        <v>3194</v>
      </c>
      <c r="G4" s="1635" t="s">
        <v>3083</v>
      </c>
      <c r="H4" s="1635" t="s">
        <v>3195</v>
      </c>
      <c r="I4" s="1635" t="s">
        <v>1331</v>
      </c>
      <c r="J4" s="1635">
        <v>29700</v>
      </c>
      <c r="K4" s="1635">
        <v>6852.89</v>
      </c>
      <c r="L4" s="1635" t="s">
        <v>1331</v>
      </c>
      <c r="M4" s="1635" t="s">
        <v>3196</v>
      </c>
      <c r="N4" s="1635" t="s">
        <v>3188</v>
      </c>
    </row>
    <row r="5" spans="1:14" ht="14.25">
      <c r="A5" s="1635" t="s">
        <v>3197</v>
      </c>
      <c r="B5" s="1635" t="s">
        <v>3185</v>
      </c>
      <c r="C5" s="1635" t="s">
        <v>3086</v>
      </c>
      <c r="D5" s="1635">
        <v>19702.3</v>
      </c>
      <c r="E5" s="1635">
        <v>55166.44</v>
      </c>
      <c r="F5" s="1635" t="s">
        <v>3089</v>
      </c>
      <c r="G5" s="1635" t="s">
        <v>3083</v>
      </c>
      <c r="H5" s="1635" t="s">
        <v>3195</v>
      </c>
      <c r="I5" s="1635" t="s">
        <v>1331</v>
      </c>
      <c r="J5" s="1635">
        <v>44900</v>
      </c>
      <c r="K5" s="1635">
        <v>8139.01</v>
      </c>
      <c r="L5" s="1635" t="s">
        <v>1331</v>
      </c>
      <c r="M5" s="1635" t="s">
        <v>3198</v>
      </c>
      <c r="N5" s="1635" t="s">
        <v>3188</v>
      </c>
    </row>
    <row r="6" spans="1:14" s="2955" customFormat="1" ht="14.25">
      <c r="A6" s="1635" t="s">
        <v>3197</v>
      </c>
      <c r="B6" s="1635" t="s">
        <v>3185</v>
      </c>
      <c r="C6" s="1635" t="s">
        <v>3086</v>
      </c>
      <c r="D6" s="1635">
        <v>17088.439999999999</v>
      </c>
      <c r="E6" s="1635">
        <v>44429.94</v>
      </c>
      <c r="F6" s="1635" t="s">
        <v>3194</v>
      </c>
      <c r="G6" s="1635" t="s">
        <v>3083</v>
      </c>
      <c r="H6" s="1635" t="s">
        <v>3195</v>
      </c>
      <c r="I6" s="1635" t="s">
        <v>1331</v>
      </c>
      <c r="J6" s="1635">
        <v>34200</v>
      </c>
      <c r="K6" s="1635">
        <v>7697.51</v>
      </c>
      <c r="L6" s="1635" t="s">
        <v>1331</v>
      </c>
      <c r="M6" s="1635" t="s">
        <v>3198</v>
      </c>
      <c r="N6" s="1635" t="s">
        <v>3188</v>
      </c>
    </row>
    <row r="7" spans="1:14" ht="14.25">
      <c r="A7" s="2998" t="s">
        <v>3199</v>
      </c>
      <c r="B7" s="2998" t="s">
        <v>3185</v>
      </c>
      <c r="C7" s="2998" t="s">
        <v>3082</v>
      </c>
      <c r="D7" s="2998">
        <v>67970</v>
      </c>
      <c r="E7" s="2998">
        <v>169925</v>
      </c>
      <c r="F7" s="2998" t="s">
        <v>3085</v>
      </c>
      <c r="G7" s="2998" t="s">
        <v>3083</v>
      </c>
      <c r="H7" s="2998" t="s">
        <v>3200</v>
      </c>
      <c r="I7" s="2998" t="s">
        <v>1331</v>
      </c>
      <c r="J7" s="2998">
        <v>54200</v>
      </c>
      <c r="K7" s="2998">
        <v>3189.63</v>
      </c>
      <c r="L7" s="2998" t="s">
        <v>1331</v>
      </c>
      <c r="M7" s="2998" t="s">
        <v>3201</v>
      </c>
      <c r="N7" s="2998" t="s">
        <v>3188</v>
      </c>
    </row>
    <row r="8" spans="1:14" ht="14.25">
      <c r="A8" s="1635" t="s">
        <v>3202</v>
      </c>
      <c r="B8" s="1635" t="s">
        <v>3185</v>
      </c>
      <c r="C8" s="1635" t="s">
        <v>3082</v>
      </c>
      <c r="D8" s="1635">
        <v>77834.58</v>
      </c>
      <c r="E8" s="1635">
        <v>194586.5</v>
      </c>
      <c r="F8" s="1635" t="s">
        <v>3085</v>
      </c>
      <c r="G8" s="1635" t="s">
        <v>3083</v>
      </c>
      <c r="H8" s="1635" t="s">
        <v>3203</v>
      </c>
      <c r="I8" s="1635" t="s">
        <v>1331</v>
      </c>
      <c r="J8" s="1635">
        <v>20100</v>
      </c>
      <c r="K8" s="1635">
        <v>1032.96</v>
      </c>
      <c r="L8" s="1635" t="s">
        <v>1331</v>
      </c>
      <c r="M8" s="1635" t="s">
        <v>3204</v>
      </c>
      <c r="N8" s="1635" t="s">
        <v>3188</v>
      </c>
    </row>
    <row r="9" spans="1:14" s="2957" customFormat="1" ht="14.25">
      <c r="A9" s="1635" t="s">
        <v>3205</v>
      </c>
      <c r="B9" s="1635" t="s">
        <v>3185</v>
      </c>
      <c r="C9" s="1635" t="s">
        <v>3082</v>
      </c>
      <c r="D9" s="1635">
        <v>60477</v>
      </c>
      <c r="E9" s="1635">
        <v>133049.4</v>
      </c>
      <c r="F9" s="1635" t="s">
        <v>3091</v>
      </c>
      <c r="G9" s="1635" t="s">
        <v>3083</v>
      </c>
      <c r="H9" s="1635" t="s">
        <v>3206</v>
      </c>
      <c r="I9" s="1635" t="s">
        <v>1331</v>
      </c>
      <c r="J9" s="1635">
        <v>17200</v>
      </c>
      <c r="K9" s="1635">
        <v>1292.75</v>
      </c>
      <c r="L9" s="1635" t="s">
        <v>1331</v>
      </c>
      <c r="M9" s="1635" t="s">
        <v>3207</v>
      </c>
      <c r="N9" s="1635" t="s">
        <v>3188</v>
      </c>
    </row>
    <row r="10" spans="1:14" s="2956" customFormat="1" ht="14.25">
      <c r="A10" s="1635" t="s">
        <v>3189</v>
      </c>
      <c r="B10" s="1635" t="s">
        <v>3185</v>
      </c>
      <c r="C10" s="1635" t="s">
        <v>3082</v>
      </c>
      <c r="D10" s="1635">
        <v>54976.6</v>
      </c>
      <c r="E10" s="1635">
        <v>142939.20000000001</v>
      </c>
      <c r="F10" s="1635" t="s">
        <v>3194</v>
      </c>
      <c r="G10" s="1635" t="s">
        <v>3083</v>
      </c>
      <c r="H10" s="1635" t="s">
        <v>3208</v>
      </c>
      <c r="I10" s="1635" t="s">
        <v>1331</v>
      </c>
      <c r="J10" s="1635">
        <v>75600</v>
      </c>
      <c r="K10" s="1635">
        <v>5288.96</v>
      </c>
      <c r="L10" s="1635" t="s">
        <v>1331</v>
      </c>
      <c r="M10" s="1635" t="s">
        <v>3192</v>
      </c>
      <c r="N10" s="1635" t="s">
        <v>3188</v>
      </c>
    </row>
    <row r="11" spans="1:14" ht="14.25">
      <c r="A11" s="2998" t="s">
        <v>3209</v>
      </c>
      <c r="B11" s="2998" t="s">
        <v>3185</v>
      </c>
      <c r="C11" s="2998" t="s">
        <v>3082</v>
      </c>
      <c r="D11" s="2998">
        <v>12605</v>
      </c>
      <c r="E11" s="2998">
        <v>37815</v>
      </c>
      <c r="F11" s="2998" t="s">
        <v>3088</v>
      </c>
      <c r="G11" s="2998" t="s">
        <v>3083</v>
      </c>
      <c r="H11" s="2998" t="s">
        <v>3208</v>
      </c>
      <c r="I11" s="2998" t="s">
        <v>1331</v>
      </c>
      <c r="J11" s="2998">
        <v>12250</v>
      </c>
      <c r="K11" s="2998">
        <v>3239.46</v>
      </c>
      <c r="L11" s="2998" t="s">
        <v>1331</v>
      </c>
      <c r="M11" s="2998" t="s">
        <v>3210</v>
      </c>
      <c r="N11" s="2998" t="s">
        <v>3188</v>
      </c>
    </row>
    <row r="12" spans="1:14" ht="14.25">
      <c r="A12" s="1635" t="s">
        <v>3211</v>
      </c>
      <c r="B12" s="1635" t="s">
        <v>3185</v>
      </c>
      <c r="C12" s="1635" t="s">
        <v>3082</v>
      </c>
      <c r="D12" s="1635">
        <v>28159</v>
      </c>
      <c r="E12" s="1635">
        <v>45054.400000000001</v>
      </c>
      <c r="F12" s="1635" t="s">
        <v>3087</v>
      </c>
      <c r="G12" s="1635" t="s">
        <v>3083</v>
      </c>
      <c r="H12" s="1635" t="s">
        <v>3212</v>
      </c>
      <c r="I12" s="1635" t="s">
        <v>1331</v>
      </c>
      <c r="J12" s="1635">
        <v>3700</v>
      </c>
      <c r="K12" s="1635">
        <v>821.23</v>
      </c>
      <c r="L12" s="1635" t="s">
        <v>1331</v>
      </c>
      <c r="M12" s="1635" t="s">
        <v>3213</v>
      </c>
      <c r="N12" s="1635" t="s">
        <v>3188</v>
      </c>
    </row>
    <row r="13" spans="1:14" ht="14.25">
      <c r="A13" s="1635" t="s">
        <v>3214</v>
      </c>
      <c r="B13" s="1635" t="s">
        <v>3185</v>
      </c>
      <c r="C13" s="1635" t="s">
        <v>3082</v>
      </c>
      <c r="D13" s="1635">
        <v>49018.62</v>
      </c>
      <c r="E13" s="1635">
        <v>112742.8</v>
      </c>
      <c r="F13" s="1635" t="s">
        <v>3215</v>
      </c>
      <c r="G13" s="1635" t="s">
        <v>3083</v>
      </c>
      <c r="H13" s="1635" t="s">
        <v>3212</v>
      </c>
      <c r="I13" s="1635" t="s">
        <v>1331</v>
      </c>
      <c r="J13" s="1635">
        <v>30100</v>
      </c>
      <c r="K13" s="1635">
        <v>2669.78</v>
      </c>
      <c r="L13" s="1635" t="s">
        <v>1331</v>
      </c>
      <c r="M13" s="1635" t="s">
        <v>3198</v>
      </c>
      <c r="N13" s="1635" t="s">
        <v>3188</v>
      </c>
    </row>
    <row r="14" spans="1:14" ht="14.25">
      <c r="A14" s="2998" t="s">
        <v>3216</v>
      </c>
      <c r="B14" s="2998" t="s">
        <v>3185</v>
      </c>
      <c r="C14" s="2998" t="s">
        <v>3082</v>
      </c>
      <c r="D14" s="2998">
        <v>20682.740000000002</v>
      </c>
      <c r="E14" s="2998">
        <v>53775.12</v>
      </c>
      <c r="F14" s="2998" t="s">
        <v>3194</v>
      </c>
      <c r="G14" s="2998" t="s">
        <v>3083</v>
      </c>
      <c r="H14" s="2998" t="s">
        <v>3212</v>
      </c>
      <c r="I14" s="2998" t="s">
        <v>1331</v>
      </c>
      <c r="J14" s="2998">
        <v>21500</v>
      </c>
      <c r="K14" s="2998">
        <v>3998.13</v>
      </c>
      <c r="L14" s="2998" t="s">
        <v>1331</v>
      </c>
      <c r="M14" s="2998" t="s">
        <v>3217</v>
      </c>
      <c r="N14" s="2998" t="s">
        <v>3188</v>
      </c>
    </row>
    <row r="15" spans="1:14" ht="14.25">
      <c r="A15" s="1635" t="s">
        <v>3202</v>
      </c>
      <c r="B15" s="1635" t="s">
        <v>3185</v>
      </c>
      <c r="C15" s="1635" t="s">
        <v>3082</v>
      </c>
      <c r="D15" s="1635">
        <v>40906</v>
      </c>
      <c r="E15" s="1635">
        <v>134989.79999999999</v>
      </c>
      <c r="F15" s="1635" t="s">
        <v>3092</v>
      </c>
      <c r="G15" s="1635" t="s">
        <v>3083</v>
      </c>
      <c r="H15" s="1635" t="s">
        <v>3218</v>
      </c>
      <c r="I15" s="1635" t="s">
        <v>1331</v>
      </c>
      <c r="J15" s="1635">
        <v>22600</v>
      </c>
      <c r="K15" s="1635">
        <v>1674.2</v>
      </c>
      <c r="L15" s="1635" t="s">
        <v>1331</v>
      </c>
      <c r="M15" s="1635" t="s">
        <v>3219</v>
      </c>
      <c r="N15" s="1635" t="s">
        <v>3188</v>
      </c>
    </row>
    <row r="16" spans="1:14" ht="14.25">
      <c r="A16" s="1635" t="s">
        <v>3220</v>
      </c>
      <c r="B16" s="1635" t="s">
        <v>3185</v>
      </c>
      <c r="C16" s="1635" t="s">
        <v>3082</v>
      </c>
      <c r="D16" s="1635">
        <v>20187</v>
      </c>
      <c r="E16" s="1635">
        <v>52486.2</v>
      </c>
      <c r="F16" s="1635" t="s">
        <v>3194</v>
      </c>
      <c r="G16" s="1635" t="s">
        <v>3083</v>
      </c>
      <c r="H16" s="1635" t="s">
        <v>3221</v>
      </c>
      <c r="I16" s="1635" t="s">
        <v>1331</v>
      </c>
      <c r="J16" s="1635">
        <v>24800</v>
      </c>
      <c r="K16" s="1635">
        <v>4725.05</v>
      </c>
      <c r="L16" s="1635" t="s">
        <v>1331</v>
      </c>
      <c r="M16" s="1635" t="s">
        <v>3187</v>
      </c>
      <c r="N16" s="1635" t="s">
        <v>3188</v>
      </c>
    </row>
    <row r="17" spans="1:14" ht="14.25">
      <c r="A17" s="2998" t="s">
        <v>3222</v>
      </c>
      <c r="B17" s="2998" t="s">
        <v>3185</v>
      </c>
      <c r="C17" s="2998" t="s">
        <v>3082</v>
      </c>
      <c r="D17" s="2998">
        <v>21059</v>
      </c>
      <c r="E17" s="2998">
        <v>50541.599999999999</v>
      </c>
      <c r="F17" s="2998" t="s">
        <v>3223</v>
      </c>
      <c r="G17" s="2998" t="s">
        <v>3083</v>
      </c>
      <c r="H17" s="2998" t="s">
        <v>3224</v>
      </c>
      <c r="I17" s="2998" t="s">
        <v>1331</v>
      </c>
      <c r="J17" s="2998">
        <v>16000</v>
      </c>
      <c r="K17" s="2998">
        <v>3165.71</v>
      </c>
      <c r="L17" s="2998" t="s">
        <v>1331</v>
      </c>
      <c r="M17" s="2998" t="s">
        <v>3225</v>
      </c>
      <c r="N17" s="2998" t="s">
        <v>3188</v>
      </c>
    </row>
    <row r="18" spans="1:14" ht="14.25">
      <c r="A18" s="1635" t="s">
        <v>3220</v>
      </c>
      <c r="B18" s="1635" t="s">
        <v>3185</v>
      </c>
      <c r="C18" s="1635" t="s">
        <v>3082</v>
      </c>
      <c r="D18" s="1635">
        <v>17208.060000000001</v>
      </c>
      <c r="E18" s="1635">
        <v>44740.959999999999</v>
      </c>
      <c r="F18" s="1635" t="s">
        <v>3194</v>
      </c>
      <c r="G18" s="1635" t="s">
        <v>3083</v>
      </c>
      <c r="H18" s="1635" t="s">
        <v>3226</v>
      </c>
      <c r="I18" s="1635" t="s">
        <v>1331</v>
      </c>
      <c r="J18" s="1635">
        <v>27300</v>
      </c>
      <c r="K18" s="1635">
        <v>6101.78</v>
      </c>
      <c r="L18" s="1635" t="s">
        <v>1331</v>
      </c>
      <c r="M18" s="1635" t="s">
        <v>3196</v>
      </c>
      <c r="N18" s="1635" t="s">
        <v>3188</v>
      </c>
    </row>
    <row r="19" spans="1:14" ht="14.25">
      <c r="A19" s="1635" t="s">
        <v>3227</v>
      </c>
      <c r="B19" s="1635" t="s">
        <v>3185</v>
      </c>
      <c r="C19" s="1635" t="s">
        <v>3082</v>
      </c>
      <c r="D19" s="1635">
        <v>62185</v>
      </c>
      <c r="E19" s="1635">
        <v>136807</v>
      </c>
      <c r="F19" s="1635" t="s">
        <v>3228</v>
      </c>
      <c r="G19" s="1635" t="s">
        <v>3083</v>
      </c>
      <c r="H19" s="1635" t="s">
        <v>3084</v>
      </c>
      <c r="I19" s="1635" t="s">
        <v>1331</v>
      </c>
      <c r="J19" s="1635">
        <v>145000</v>
      </c>
      <c r="K19" s="1635">
        <v>10598.87</v>
      </c>
      <c r="L19" s="1635" t="s">
        <v>1331</v>
      </c>
      <c r="M19" s="1635" t="s">
        <v>3229</v>
      </c>
      <c r="N19" s="1635" t="s">
        <v>3188</v>
      </c>
    </row>
    <row r="20" spans="1:14" ht="14.25">
      <c r="A20" s="1635" t="s">
        <v>3230</v>
      </c>
      <c r="B20" s="1635" t="s">
        <v>3185</v>
      </c>
      <c r="C20" s="1635" t="s">
        <v>3082</v>
      </c>
      <c r="D20" s="1635">
        <v>39848</v>
      </c>
      <c r="E20" s="1635">
        <v>79696</v>
      </c>
      <c r="F20" s="1635" t="s">
        <v>3090</v>
      </c>
      <c r="G20" s="1635" t="s">
        <v>3083</v>
      </c>
      <c r="H20" s="1635" t="s">
        <v>3231</v>
      </c>
      <c r="I20" s="1635" t="s">
        <v>1331</v>
      </c>
      <c r="J20" s="1635">
        <v>47800</v>
      </c>
      <c r="K20" s="1635">
        <v>5997.78</v>
      </c>
      <c r="L20" s="1635" t="s">
        <v>1331</v>
      </c>
      <c r="M20" s="1635" t="s">
        <v>3232</v>
      </c>
      <c r="N20" s="1635" t="s">
        <v>3188</v>
      </c>
    </row>
    <row r="21" spans="1:14" ht="14.25">
      <c r="A21" s="1635" t="s">
        <v>3233</v>
      </c>
      <c r="B21" s="1635" t="s">
        <v>3185</v>
      </c>
      <c r="C21" s="1635" t="s">
        <v>3082</v>
      </c>
      <c r="D21" s="1635">
        <v>20501</v>
      </c>
      <c r="E21" s="1635">
        <v>49202.400000000001</v>
      </c>
      <c r="F21" s="1635" t="s">
        <v>3234</v>
      </c>
      <c r="G21" s="1635" t="s">
        <v>3083</v>
      </c>
      <c r="H21" s="1635" t="s">
        <v>3231</v>
      </c>
      <c r="I21" s="1635" t="s">
        <v>1331</v>
      </c>
      <c r="J21" s="1635">
        <v>4420</v>
      </c>
      <c r="K21" s="1635">
        <v>898.33</v>
      </c>
      <c r="L21" s="1635" t="s">
        <v>1331</v>
      </c>
      <c r="M21" s="1635" t="s">
        <v>3235</v>
      </c>
      <c r="N21" s="1635" t="s">
        <v>3188</v>
      </c>
    </row>
    <row r="22" spans="1:14" ht="14.25">
      <c r="A22" s="2999" t="s">
        <v>3236</v>
      </c>
      <c r="B22" s="2999" t="s">
        <v>3185</v>
      </c>
      <c r="C22" s="2999" t="s">
        <v>3082</v>
      </c>
      <c r="D22" s="2999">
        <v>42460</v>
      </c>
      <c r="E22" s="2999">
        <v>93412</v>
      </c>
      <c r="F22" s="2999" t="s">
        <v>3228</v>
      </c>
      <c r="G22" s="2999" t="s">
        <v>3083</v>
      </c>
      <c r="H22" s="2999" t="s">
        <v>3237</v>
      </c>
      <c r="I22" s="2999" t="s">
        <v>1331</v>
      </c>
      <c r="J22" s="2999">
        <v>13100</v>
      </c>
      <c r="K22" s="2999">
        <v>1402.39</v>
      </c>
      <c r="L22" s="2999" t="s">
        <v>1331</v>
      </c>
      <c r="M22" s="2999" t="s">
        <v>3238</v>
      </c>
      <c r="N22" s="2999" t="s">
        <v>3188</v>
      </c>
    </row>
    <row r="23" spans="1:14" ht="14.25">
      <c r="A23" s="2999" t="s">
        <v>3236</v>
      </c>
      <c r="B23" s="2999" t="s">
        <v>3185</v>
      </c>
      <c r="C23" s="2999" t="s">
        <v>3082</v>
      </c>
      <c r="D23" s="2999">
        <v>40947.18</v>
      </c>
      <c r="E23" s="2999">
        <v>90083.8</v>
      </c>
      <c r="F23" s="2999" t="s">
        <v>3228</v>
      </c>
      <c r="G23" s="2999" t="s">
        <v>3083</v>
      </c>
      <c r="H23" s="2999" t="s">
        <v>3237</v>
      </c>
      <c r="I23" s="2999" t="s">
        <v>1331</v>
      </c>
      <c r="J23" s="2999">
        <v>11100</v>
      </c>
      <c r="K23" s="2999">
        <v>1232.19</v>
      </c>
      <c r="L23" s="2999" t="s">
        <v>1331</v>
      </c>
      <c r="M23" s="2999" t="s">
        <v>3238</v>
      </c>
      <c r="N23" s="2999" t="s">
        <v>3188</v>
      </c>
    </row>
    <row r="24" spans="1:14" ht="14.25">
      <c r="A24" s="1635" t="s">
        <v>3239</v>
      </c>
      <c r="B24" s="1635" t="s">
        <v>3185</v>
      </c>
      <c r="C24" s="1635" t="s">
        <v>3082</v>
      </c>
      <c r="D24" s="1635">
        <v>33792.199999999997</v>
      </c>
      <c r="E24" s="1635">
        <v>84480.5</v>
      </c>
      <c r="F24" s="1635" t="s">
        <v>3085</v>
      </c>
      <c r="G24" s="1635" t="s">
        <v>3083</v>
      </c>
      <c r="H24" s="1635" t="s">
        <v>3240</v>
      </c>
      <c r="I24" s="1635" t="s">
        <v>1331</v>
      </c>
      <c r="J24" s="1635">
        <v>15700</v>
      </c>
      <c r="K24" s="1635">
        <v>1858.42</v>
      </c>
      <c r="L24" s="1635" t="s">
        <v>1331</v>
      </c>
      <c r="M24" s="1635" t="s">
        <v>3241</v>
      </c>
      <c r="N24" s="1635" t="s">
        <v>3188</v>
      </c>
    </row>
    <row r="25" spans="1:14" s="2956" customFormat="1" ht="14.25">
      <c r="A25" s="1635" t="s">
        <v>3242</v>
      </c>
      <c r="B25" s="1635" t="s">
        <v>3185</v>
      </c>
      <c r="C25" s="1635" t="s">
        <v>3082</v>
      </c>
      <c r="D25" s="1635">
        <v>62652</v>
      </c>
      <c r="E25" s="1635">
        <v>162895.20000000001</v>
      </c>
      <c r="F25" s="1635" t="s">
        <v>3243</v>
      </c>
      <c r="G25" s="1635" t="s">
        <v>3083</v>
      </c>
      <c r="H25" s="1635" t="s">
        <v>3244</v>
      </c>
      <c r="I25" s="1635" t="s">
        <v>1331</v>
      </c>
      <c r="J25" s="1635">
        <v>160600</v>
      </c>
      <c r="K25" s="1635">
        <v>9859.1</v>
      </c>
      <c r="L25" s="1635" t="s">
        <v>1331</v>
      </c>
      <c r="M25" s="1635" t="s">
        <v>3196</v>
      </c>
      <c r="N25" s="1635" t="s">
        <v>3188</v>
      </c>
    </row>
    <row r="26" spans="1:14" ht="14.25">
      <c r="A26" s="1635" t="s">
        <v>3189</v>
      </c>
      <c r="B26" s="1635" t="s">
        <v>3185</v>
      </c>
      <c r="C26" s="1635" t="s">
        <v>3082</v>
      </c>
      <c r="D26" s="1635">
        <v>23925.98</v>
      </c>
      <c r="E26" s="1635">
        <v>47851.96</v>
      </c>
      <c r="F26" s="1635" t="s">
        <v>3245</v>
      </c>
      <c r="G26" s="1635" t="s">
        <v>3083</v>
      </c>
      <c r="H26" s="1635" t="s">
        <v>3244</v>
      </c>
      <c r="I26" s="1635" t="s">
        <v>1331</v>
      </c>
      <c r="J26" s="1635">
        <v>35900</v>
      </c>
      <c r="K26" s="1635">
        <v>7502.31</v>
      </c>
      <c r="L26" s="1635" t="s">
        <v>1331</v>
      </c>
      <c r="M26" s="1635" t="s">
        <v>3232</v>
      </c>
      <c r="N26" s="1635" t="s">
        <v>3188</v>
      </c>
    </row>
    <row r="27" spans="1:14" s="2957" customFormat="1" ht="14.25">
      <c r="A27" s="1635" t="s">
        <v>3246</v>
      </c>
      <c r="B27" s="1635" t="s">
        <v>3185</v>
      </c>
      <c r="C27" s="1635" t="s">
        <v>3082</v>
      </c>
      <c r="D27" s="1635">
        <v>22208</v>
      </c>
      <c r="E27" s="1635">
        <v>44416</v>
      </c>
      <c r="F27" s="1635" t="s">
        <v>3247</v>
      </c>
      <c r="G27" s="1635" t="s">
        <v>3083</v>
      </c>
      <c r="H27" s="1635" t="s">
        <v>3244</v>
      </c>
      <c r="I27" s="1635" t="s">
        <v>1331</v>
      </c>
      <c r="J27" s="1635">
        <v>39600</v>
      </c>
      <c r="K27" s="1635">
        <v>8915.7000000000007</v>
      </c>
      <c r="L27" s="1635" t="s">
        <v>1331</v>
      </c>
      <c r="M27" s="1635" t="s">
        <v>3196</v>
      </c>
      <c r="N27" s="1635" t="s">
        <v>3188</v>
      </c>
    </row>
    <row r="28" spans="1:14" s="2957" customFormat="1" ht="14.25">
      <c r="A28" s="1635" t="s">
        <v>3248</v>
      </c>
      <c r="B28" s="1635" t="s">
        <v>3185</v>
      </c>
      <c r="C28" s="1635" t="s">
        <v>3082</v>
      </c>
      <c r="D28" s="1635">
        <v>14473</v>
      </c>
      <c r="E28" s="1635">
        <v>37629.800000000003</v>
      </c>
      <c r="F28" s="1635" t="s">
        <v>3194</v>
      </c>
      <c r="G28" s="1635" t="s">
        <v>3083</v>
      </c>
      <c r="H28" s="1635" t="s">
        <v>3244</v>
      </c>
      <c r="I28" s="1635" t="s">
        <v>1331</v>
      </c>
      <c r="J28" s="1635">
        <v>9460</v>
      </c>
      <c r="K28" s="1635">
        <v>2513.96</v>
      </c>
      <c r="L28" s="1635" t="s">
        <v>1331</v>
      </c>
      <c r="M28" s="1635" t="s">
        <v>3249</v>
      </c>
      <c r="N28" s="1635" t="s">
        <v>3188</v>
      </c>
    </row>
    <row r="29" spans="1:14" ht="14.25">
      <c r="A29" s="1635" t="s">
        <v>3233</v>
      </c>
      <c r="B29" s="1635" t="s">
        <v>3185</v>
      </c>
      <c r="C29" s="1635" t="s">
        <v>3082</v>
      </c>
      <c r="D29" s="1635">
        <v>18864.900000000001</v>
      </c>
      <c r="E29" s="1635">
        <v>45275.76</v>
      </c>
      <c r="F29" s="1635" t="s">
        <v>3250</v>
      </c>
      <c r="G29" s="1635" t="s">
        <v>3083</v>
      </c>
      <c r="H29" s="1635" t="s">
        <v>3251</v>
      </c>
      <c r="I29" s="1635" t="s">
        <v>1331</v>
      </c>
      <c r="J29" s="1635">
        <v>3920</v>
      </c>
      <c r="K29" s="1635">
        <v>865.8</v>
      </c>
      <c r="L29" s="1635" t="s">
        <v>1331</v>
      </c>
      <c r="M29" s="1635" t="s">
        <v>3252</v>
      </c>
      <c r="N29" s="1635" t="s">
        <v>3188</v>
      </c>
    </row>
    <row r="30" spans="1:14" ht="13.5" customHeight="1">
      <c r="A30" s="1635" t="s">
        <v>3253</v>
      </c>
      <c r="B30" s="1635" t="s">
        <v>3185</v>
      </c>
      <c r="C30" s="1635" t="s">
        <v>3082</v>
      </c>
      <c r="D30" s="1635">
        <v>94728.15</v>
      </c>
      <c r="E30" s="1635">
        <v>236820.4</v>
      </c>
      <c r="F30" s="1635" t="s">
        <v>3254</v>
      </c>
      <c r="G30" s="1635" t="s">
        <v>3083</v>
      </c>
      <c r="H30" s="1635" t="s">
        <v>3251</v>
      </c>
      <c r="I30" s="1635" t="s">
        <v>1331</v>
      </c>
      <c r="J30" s="1635">
        <v>103500</v>
      </c>
      <c r="K30" s="1635">
        <v>4370.3900000000003</v>
      </c>
      <c r="L30" s="1635" t="s">
        <v>1331</v>
      </c>
      <c r="M30" s="1635" t="s">
        <v>3255</v>
      </c>
      <c r="N30" s="1635" t="s">
        <v>3188</v>
      </c>
    </row>
    <row r="31" spans="1:14" s="2955" customFormat="1" ht="14.25">
      <c r="A31" s="1635" t="s">
        <v>3233</v>
      </c>
      <c r="B31" s="1635" t="s">
        <v>3185</v>
      </c>
      <c r="C31" s="1635" t="s">
        <v>3082</v>
      </c>
      <c r="D31" s="1635">
        <v>10890</v>
      </c>
      <c r="E31" s="1635">
        <v>23958</v>
      </c>
      <c r="F31" s="1635" t="s">
        <v>3256</v>
      </c>
      <c r="G31" s="1635" t="s">
        <v>3083</v>
      </c>
      <c r="H31" s="1635" t="s">
        <v>3251</v>
      </c>
      <c r="I31" s="1635" t="s">
        <v>1331</v>
      </c>
      <c r="J31" s="1635">
        <v>1600</v>
      </c>
      <c r="K31" s="1635">
        <v>667.84</v>
      </c>
      <c r="L31" s="1635" t="s">
        <v>1331</v>
      </c>
      <c r="M31" s="1635" t="s">
        <v>3257</v>
      </c>
      <c r="N31" s="1635" t="s">
        <v>3188</v>
      </c>
    </row>
    <row r="32" spans="1:14" s="2957" customFormat="1" ht="14.25">
      <c r="A32" s="1635" t="s">
        <v>3258</v>
      </c>
      <c r="B32" s="1635" t="s">
        <v>3185</v>
      </c>
      <c r="C32" s="1635" t="s">
        <v>3082</v>
      </c>
      <c r="D32" s="1635">
        <v>79698</v>
      </c>
      <c r="E32" s="1635">
        <v>95637.6</v>
      </c>
      <c r="F32" s="1635" t="s">
        <v>3259</v>
      </c>
      <c r="G32" s="1635" t="s">
        <v>3083</v>
      </c>
      <c r="H32" s="1635" t="s">
        <v>3260</v>
      </c>
      <c r="I32" s="1635" t="s">
        <v>1331</v>
      </c>
      <c r="J32" s="1635">
        <v>98000</v>
      </c>
      <c r="K32" s="1635">
        <v>10247.02</v>
      </c>
      <c r="L32" s="1635" t="s">
        <v>1331</v>
      </c>
      <c r="M32" s="1635" t="s">
        <v>3232</v>
      </c>
      <c r="N32" s="1635" t="s">
        <v>3188</v>
      </c>
    </row>
    <row r="33" spans="1:14" s="2957" customFormat="1" ht="14.25">
      <c r="A33" s="1635" t="s">
        <v>3261</v>
      </c>
      <c r="B33" s="1635" t="s">
        <v>3185</v>
      </c>
      <c r="C33" s="1635" t="s">
        <v>3082</v>
      </c>
      <c r="D33" s="1635">
        <v>31140</v>
      </c>
      <c r="E33" s="1635">
        <v>71622</v>
      </c>
      <c r="F33" s="1635" t="s">
        <v>3262</v>
      </c>
      <c r="G33" s="1635" t="s">
        <v>3083</v>
      </c>
      <c r="H33" s="1635" t="s">
        <v>3260</v>
      </c>
      <c r="I33" s="1635" t="s">
        <v>1331</v>
      </c>
      <c r="J33" s="1635">
        <v>6500</v>
      </c>
      <c r="K33" s="1635">
        <v>907.53</v>
      </c>
      <c r="L33" s="1635" t="s">
        <v>1331</v>
      </c>
      <c r="M33" s="1635" t="s">
        <v>3207</v>
      </c>
      <c r="N33" s="1635" t="s">
        <v>3188</v>
      </c>
    </row>
    <row r="34" spans="1:14" s="2957" customFormat="1" ht="14.25">
      <c r="A34" s="1635" t="s">
        <v>3263</v>
      </c>
      <c r="B34" s="1635" t="s">
        <v>3185</v>
      </c>
      <c r="C34" s="1635" t="s">
        <v>3082</v>
      </c>
      <c r="D34" s="1635">
        <v>7989</v>
      </c>
      <c r="E34" s="1635">
        <v>22369.200000000001</v>
      </c>
      <c r="F34" s="1635" t="s">
        <v>3264</v>
      </c>
      <c r="G34" s="1635" t="s">
        <v>3083</v>
      </c>
      <c r="H34" s="1635" t="s">
        <v>3265</v>
      </c>
      <c r="I34" s="1635" t="s">
        <v>1331</v>
      </c>
      <c r="J34" s="1635">
        <v>23200</v>
      </c>
      <c r="K34" s="1635">
        <v>10371.39</v>
      </c>
      <c r="L34" s="1635" t="s">
        <v>1331</v>
      </c>
      <c r="M34" s="1635" t="s">
        <v>3266</v>
      </c>
      <c r="N34" s="1635" t="s">
        <v>3188</v>
      </c>
    </row>
    <row r="35" spans="1:14" ht="14.25">
      <c r="A35" s="1635" t="s">
        <v>3263</v>
      </c>
      <c r="B35" s="1635" t="s">
        <v>3185</v>
      </c>
      <c r="C35" s="1635" t="s">
        <v>3082</v>
      </c>
      <c r="D35" s="1635">
        <v>37289.360000000001</v>
      </c>
      <c r="E35" s="1635">
        <v>93223.4</v>
      </c>
      <c r="F35" s="1635" t="s">
        <v>3267</v>
      </c>
      <c r="G35" s="1635" t="s">
        <v>3083</v>
      </c>
      <c r="H35" s="1635" t="s">
        <v>3265</v>
      </c>
      <c r="I35" s="1635" t="s">
        <v>1331</v>
      </c>
      <c r="J35" s="1635">
        <v>93500</v>
      </c>
      <c r="K35" s="1635">
        <v>10029.67</v>
      </c>
      <c r="L35" s="1635" t="s">
        <v>1331</v>
      </c>
      <c r="M35" s="1635" t="s">
        <v>3268</v>
      </c>
      <c r="N35" s="1635" t="s">
        <v>3188</v>
      </c>
    </row>
    <row r="36" spans="1:14" s="2958" customFormat="1" ht="14.25">
      <c r="A36" s="1635" t="s">
        <v>3263</v>
      </c>
      <c r="B36" s="1635" t="s">
        <v>3185</v>
      </c>
      <c r="C36" s="1635" t="s">
        <v>3082</v>
      </c>
      <c r="D36" s="1635">
        <v>41598.620000000003</v>
      </c>
      <c r="E36" s="1635">
        <v>99836.69</v>
      </c>
      <c r="F36" s="1635" t="s">
        <v>3269</v>
      </c>
      <c r="G36" s="1635" t="s">
        <v>3083</v>
      </c>
      <c r="H36" s="1635" t="s">
        <v>3265</v>
      </c>
      <c r="I36" s="1635" t="s">
        <v>1331</v>
      </c>
      <c r="J36" s="1635">
        <v>95800</v>
      </c>
      <c r="K36" s="1635">
        <v>9595.67</v>
      </c>
      <c r="L36" s="1635" t="s">
        <v>1331</v>
      </c>
      <c r="M36" s="1635" t="s">
        <v>3270</v>
      </c>
      <c r="N36" s="1635" t="s">
        <v>3188</v>
      </c>
    </row>
    <row r="37" spans="1:14" ht="14.25">
      <c r="A37" s="1635" t="s">
        <v>3263</v>
      </c>
      <c r="B37" s="1635" t="s">
        <v>3185</v>
      </c>
      <c r="C37" s="1635" t="s">
        <v>3082</v>
      </c>
      <c r="D37" s="1635">
        <v>51558.82</v>
      </c>
      <c r="E37" s="1635">
        <v>128897</v>
      </c>
      <c r="F37" s="1635" t="s">
        <v>3267</v>
      </c>
      <c r="G37" s="1635" t="s">
        <v>3083</v>
      </c>
      <c r="H37" s="1635" t="s">
        <v>3265</v>
      </c>
      <c r="I37" s="1635" t="s">
        <v>1331</v>
      </c>
      <c r="J37" s="1635">
        <v>138500</v>
      </c>
      <c r="K37" s="1635">
        <v>10745.01</v>
      </c>
      <c r="L37" s="1635" t="s">
        <v>1331</v>
      </c>
      <c r="M37" s="1635" t="s">
        <v>3271</v>
      </c>
      <c r="N37" s="1635" t="s">
        <v>3188</v>
      </c>
    </row>
    <row r="38" spans="1:14" ht="14.25">
      <c r="A38" s="1635" t="s">
        <v>3263</v>
      </c>
      <c r="B38" s="1635" t="s">
        <v>3185</v>
      </c>
      <c r="C38" s="1635" t="s">
        <v>3082</v>
      </c>
      <c r="D38" s="1635">
        <v>6094.3</v>
      </c>
      <c r="E38" s="1635">
        <v>15845.18</v>
      </c>
      <c r="F38" s="1635" t="s">
        <v>3272</v>
      </c>
      <c r="G38" s="1635" t="s">
        <v>3083</v>
      </c>
      <c r="H38" s="1635" t="s">
        <v>3265</v>
      </c>
      <c r="I38" s="1635" t="s">
        <v>1331</v>
      </c>
      <c r="J38" s="1635">
        <v>17300</v>
      </c>
      <c r="K38" s="1635">
        <v>10918.14</v>
      </c>
      <c r="L38" s="1635" t="s">
        <v>1331</v>
      </c>
      <c r="M38" s="1635" t="s">
        <v>3266</v>
      </c>
      <c r="N38" s="1635" t="s">
        <v>3188</v>
      </c>
    </row>
    <row r="39" spans="1:14" ht="14.25">
      <c r="A39" s="1635" t="s">
        <v>3273</v>
      </c>
      <c r="B39" s="1635" t="s">
        <v>3185</v>
      </c>
      <c r="C39" s="1635" t="s">
        <v>3086</v>
      </c>
      <c r="D39" s="1635">
        <v>45227.31</v>
      </c>
      <c r="E39" s="1635">
        <v>113068.3</v>
      </c>
      <c r="F39" s="1635" t="s">
        <v>3267</v>
      </c>
      <c r="G39" s="1635" t="s">
        <v>3083</v>
      </c>
      <c r="H39" s="1635" t="s">
        <v>3274</v>
      </c>
      <c r="I39" s="1635" t="s">
        <v>1331</v>
      </c>
      <c r="J39" s="1635">
        <v>100400</v>
      </c>
      <c r="K39" s="1635">
        <v>8879.59</v>
      </c>
      <c r="L39" s="1635" t="s">
        <v>1331</v>
      </c>
      <c r="M39" s="1635" t="s">
        <v>3275</v>
      </c>
      <c r="N39" s="1635" t="s">
        <v>3188</v>
      </c>
    </row>
    <row r="40" spans="1:14" ht="14.25">
      <c r="A40" s="1635" t="s">
        <v>3276</v>
      </c>
      <c r="B40" s="1635" t="s">
        <v>3185</v>
      </c>
      <c r="C40" s="1635" t="s">
        <v>3086</v>
      </c>
      <c r="D40" s="1635">
        <v>34892</v>
      </c>
      <c r="E40" s="1635">
        <v>87230</v>
      </c>
      <c r="F40" s="1635" t="s">
        <v>3277</v>
      </c>
      <c r="G40" s="1635" t="s">
        <v>3083</v>
      </c>
      <c r="H40" s="1635" t="s">
        <v>3278</v>
      </c>
      <c r="I40" s="1635">
        <v>24600</v>
      </c>
      <c r="J40" s="1635">
        <v>51800</v>
      </c>
      <c r="K40" s="1635">
        <v>5938.31</v>
      </c>
      <c r="L40" s="1635">
        <v>110.57</v>
      </c>
      <c r="M40" s="1635" t="s">
        <v>3271</v>
      </c>
      <c r="N40" s="1635" t="s">
        <v>3188</v>
      </c>
    </row>
    <row r="41" spans="1:14" ht="14.25">
      <c r="A41" s="1635" t="s">
        <v>3279</v>
      </c>
      <c r="B41" s="1635" t="s">
        <v>3185</v>
      </c>
      <c r="C41" s="1635" t="s">
        <v>3086</v>
      </c>
      <c r="D41" s="1635">
        <v>35768.36</v>
      </c>
      <c r="E41" s="1635">
        <v>57229.38</v>
      </c>
      <c r="F41" s="1635" t="s">
        <v>3280</v>
      </c>
      <c r="G41" s="1635" t="s">
        <v>3083</v>
      </c>
      <c r="H41" s="1635" t="s">
        <v>3281</v>
      </c>
      <c r="I41" s="1635">
        <v>14800</v>
      </c>
      <c r="J41" s="1635">
        <v>19200</v>
      </c>
      <c r="K41" s="1635">
        <v>3354.92</v>
      </c>
      <c r="L41" s="1635">
        <v>29.73</v>
      </c>
      <c r="M41" s="1635" t="s">
        <v>3271</v>
      </c>
      <c r="N41" s="1635" t="s">
        <v>3188</v>
      </c>
    </row>
    <row r="42" spans="1:14" ht="14.25">
      <c r="A42" s="1635" t="s">
        <v>3282</v>
      </c>
      <c r="B42" s="1635" t="s">
        <v>3185</v>
      </c>
      <c r="C42" s="1635" t="s">
        <v>3086</v>
      </c>
      <c r="D42" s="1635">
        <v>33282.65</v>
      </c>
      <c r="E42" s="1635">
        <v>86534.89</v>
      </c>
      <c r="F42" s="1635" t="s">
        <v>3283</v>
      </c>
      <c r="G42" s="1635" t="s">
        <v>3083</v>
      </c>
      <c r="H42" s="1635" t="s">
        <v>3284</v>
      </c>
      <c r="I42" s="1635">
        <v>21000</v>
      </c>
      <c r="J42" s="1635">
        <v>61800</v>
      </c>
      <c r="K42" s="1635">
        <v>7141.63</v>
      </c>
      <c r="L42" s="1635">
        <v>194.29</v>
      </c>
      <c r="M42" s="1635" t="s">
        <v>3232</v>
      </c>
      <c r="N42" s="1635" t="s">
        <v>3188</v>
      </c>
    </row>
    <row r="43" spans="1:14" s="2956" customFormat="1" ht="14.25">
      <c r="A43" s="1635" t="s">
        <v>3285</v>
      </c>
      <c r="B43" s="1635" t="s">
        <v>3185</v>
      </c>
      <c r="C43" s="1635" t="s">
        <v>3086</v>
      </c>
      <c r="D43" s="1635">
        <v>41581</v>
      </c>
      <c r="E43" s="1635">
        <v>116426.8</v>
      </c>
      <c r="F43" s="1635" t="s">
        <v>3286</v>
      </c>
      <c r="G43" s="1635" t="s">
        <v>3083</v>
      </c>
      <c r="H43" s="1635" t="s">
        <v>3287</v>
      </c>
      <c r="I43" s="1635">
        <v>30000</v>
      </c>
      <c r="J43" s="1635">
        <v>78200</v>
      </c>
      <c r="K43" s="1635">
        <v>6716.67</v>
      </c>
      <c r="L43" s="1635">
        <v>160.66999999999999</v>
      </c>
      <c r="M43" s="1635" t="s">
        <v>3288</v>
      </c>
      <c r="N43" s="1635" t="s">
        <v>3188</v>
      </c>
    </row>
    <row r="44" spans="1:14" ht="14.25">
      <c r="A44" s="1635" t="s">
        <v>3289</v>
      </c>
      <c r="B44" s="1635" t="s">
        <v>3185</v>
      </c>
      <c r="C44" s="1635" t="s">
        <v>3086</v>
      </c>
      <c r="D44" s="1635">
        <v>56215</v>
      </c>
      <c r="E44" s="1635">
        <v>123673</v>
      </c>
      <c r="F44" s="1635" t="s">
        <v>3228</v>
      </c>
      <c r="G44" s="1635" t="s">
        <v>3083</v>
      </c>
      <c r="H44" s="1635" t="s">
        <v>3290</v>
      </c>
      <c r="I44" s="1635" t="s">
        <v>1331</v>
      </c>
      <c r="J44" s="1635">
        <v>9650</v>
      </c>
      <c r="K44" s="1635">
        <v>780.27</v>
      </c>
      <c r="L44" s="1635" t="s">
        <v>1331</v>
      </c>
      <c r="M44" s="1635" t="s">
        <v>3291</v>
      </c>
      <c r="N44" s="1635" t="s">
        <v>3188</v>
      </c>
    </row>
    <row r="45" spans="1:14" ht="14.25">
      <c r="A45" s="1635" t="s">
        <v>3292</v>
      </c>
      <c r="B45" s="1635" t="s">
        <v>3185</v>
      </c>
      <c r="C45" s="1635" t="s">
        <v>3086</v>
      </c>
      <c r="D45" s="1635">
        <v>199443</v>
      </c>
      <c r="E45" s="1635">
        <v>211409.6</v>
      </c>
      <c r="F45" s="1635" t="s">
        <v>3293</v>
      </c>
      <c r="G45" s="1635" t="s">
        <v>3083</v>
      </c>
      <c r="H45" s="1635" t="s">
        <v>3294</v>
      </c>
      <c r="I45" s="1635">
        <v>118000</v>
      </c>
      <c r="J45" s="1635">
        <v>186500</v>
      </c>
      <c r="K45" s="1635">
        <v>8821.73</v>
      </c>
      <c r="L45" s="1635">
        <v>58.05</v>
      </c>
      <c r="M45" s="1635" t="s">
        <v>3295</v>
      </c>
      <c r="N45" s="1635" t="s">
        <v>3188</v>
      </c>
    </row>
    <row r="46" spans="1:14" ht="14.25">
      <c r="A46" s="1635" t="s">
        <v>3258</v>
      </c>
      <c r="B46" s="1635" t="s">
        <v>3185</v>
      </c>
      <c r="C46" s="1635" t="s">
        <v>3086</v>
      </c>
      <c r="D46" s="1635">
        <v>156088</v>
      </c>
      <c r="E46" s="1635">
        <v>163892.4</v>
      </c>
      <c r="F46" s="1635" t="s">
        <v>3296</v>
      </c>
      <c r="G46" s="1635" t="s">
        <v>3083</v>
      </c>
      <c r="H46" s="1635" t="s">
        <v>3297</v>
      </c>
      <c r="I46" s="1635" t="s">
        <v>1331</v>
      </c>
      <c r="J46" s="1635">
        <v>37100</v>
      </c>
      <c r="K46" s="1635">
        <v>2263.67</v>
      </c>
      <c r="L46" s="1635" t="s">
        <v>1331</v>
      </c>
      <c r="M46" s="1635" t="s">
        <v>3271</v>
      </c>
      <c r="N46" s="1635" t="s">
        <v>3188</v>
      </c>
    </row>
    <row r="47" spans="1:14" s="2955" customFormat="1">
      <c r="A47" s="2955" t="s">
        <v>3093</v>
      </c>
      <c r="B47" s="2955" t="s">
        <v>3081</v>
      </c>
      <c r="C47" s="2955" t="s">
        <v>3082</v>
      </c>
      <c r="D47" s="2955">
        <v>30763</v>
      </c>
      <c r="E47" s="2955">
        <v>65306</v>
      </c>
      <c r="F47" s="2955" t="s">
        <v>3094</v>
      </c>
      <c r="G47" s="2955" t="s">
        <v>3083</v>
      </c>
      <c r="H47" s="2955" t="s">
        <v>3095</v>
      </c>
      <c r="I47" s="2955">
        <v>16718.34</v>
      </c>
      <c r="J47" s="2955">
        <v>16718.34</v>
      </c>
      <c r="K47" s="2955">
        <v>2560</v>
      </c>
      <c r="L47" s="2955">
        <v>0</v>
      </c>
      <c r="M47" s="2955" t="s">
        <v>3096</v>
      </c>
    </row>
    <row r="48" spans="1:14">
      <c r="A48" s="2954" t="s">
        <v>3097</v>
      </c>
      <c r="B48" s="2954" t="s">
        <v>3081</v>
      </c>
      <c r="C48" s="2954" t="s">
        <v>3086</v>
      </c>
      <c r="D48" s="2954">
        <v>34706</v>
      </c>
      <c r="E48" s="2954">
        <v>76353.2</v>
      </c>
      <c r="F48" s="2954" t="s">
        <v>3098</v>
      </c>
      <c r="G48" s="2954" t="s">
        <v>3083</v>
      </c>
      <c r="H48" s="2954" t="s">
        <v>3099</v>
      </c>
      <c r="I48" s="2954">
        <v>14629.27</v>
      </c>
      <c r="J48" s="2954">
        <v>14644.54</v>
      </c>
      <c r="K48" s="2954">
        <v>1918</v>
      </c>
      <c r="L48" s="2954">
        <v>0.1</v>
      </c>
      <c r="M48" s="2954" t="s">
        <v>3100</v>
      </c>
    </row>
    <row r="49" spans="1:13">
      <c r="A49" s="2954" t="s">
        <v>3101</v>
      </c>
      <c r="B49" s="2954" t="s">
        <v>3081</v>
      </c>
      <c r="C49" s="2954" t="s">
        <v>3082</v>
      </c>
      <c r="D49" s="2954">
        <v>43572</v>
      </c>
      <c r="E49" s="2954">
        <v>87144</v>
      </c>
      <c r="F49" s="2954" t="s">
        <v>3094</v>
      </c>
      <c r="G49" s="2954" t="s">
        <v>3083</v>
      </c>
      <c r="H49" s="2954" t="s">
        <v>3099</v>
      </c>
      <c r="I49" s="2954">
        <v>12121.72</v>
      </c>
      <c r="J49" s="2954">
        <v>12139.15</v>
      </c>
      <c r="K49" s="2954">
        <v>1393</v>
      </c>
      <c r="L49" s="2954">
        <v>0.14000000000000001</v>
      </c>
      <c r="M49" s="2954" t="s">
        <v>3102</v>
      </c>
    </row>
    <row r="50" spans="1:13">
      <c r="A50" s="2954" t="s">
        <v>3101</v>
      </c>
      <c r="B50" s="2954" t="s">
        <v>3081</v>
      </c>
      <c r="C50" s="2954" t="s">
        <v>3082</v>
      </c>
      <c r="D50" s="2954">
        <v>68048</v>
      </c>
      <c r="E50" s="2954">
        <v>139876</v>
      </c>
      <c r="F50" s="2954" t="s">
        <v>3094</v>
      </c>
      <c r="G50" s="2954" t="s">
        <v>3083</v>
      </c>
      <c r="H50" s="2954" t="s">
        <v>3099</v>
      </c>
      <c r="I50" s="2954">
        <v>19414.79</v>
      </c>
      <c r="J50" s="2954">
        <v>19442.75</v>
      </c>
      <c r="K50" s="2954">
        <v>1390</v>
      </c>
      <c r="L50" s="2954">
        <v>0.14000000000000001</v>
      </c>
      <c r="M50" s="2954" t="s">
        <v>3102</v>
      </c>
    </row>
    <row r="51" spans="1:13">
      <c r="A51" s="2954" t="s">
        <v>3103</v>
      </c>
      <c r="B51" s="2954" t="s">
        <v>3081</v>
      </c>
      <c r="C51" s="2954" t="s">
        <v>3082</v>
      </c>
      <c r="D51" s="2954">
        <v>8899</v>
      </c>
      <c r="E51" s="2954">
        <v>15840.22</v>
      </c>
      <c r="F51" s="2954" t="s">
        <v>3104</v>
      </c>
      <c r="G51" s="2954" t="s">
        <v>3083</v>
      </c>
      <c r="H51" s="2954" t="s">
        <v>3099</v>
      </c>
      <c r="I51" s="2954">
        <v>2355.44</v>
      </c>
      <c r="J51" s="2954">
        <v>3762.05</v>
      </c>
      <c r="K51" s="2954">
        <v>2375</v>
      </c>
      <c r="L51" s="2954">
        <v>59.72</v>
      </c>
      <c r="M51" s="2954" t="s">
        <v>3105</v>
      </c>
    </row>
  </sheetData>
  <phoneticPr fontId="143" type="noConversion"/>
  <pageMargins left="0.75" right="0.75" top="1" bottom="1" header="0.5" footer="0.5"/>
  <pageSetup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56" sqref="F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3303</v>
      </c>
      <c r="D1" s="1820" t="s">
        <v>3319</v>
      </c>
      <c r="E1" s="1821" t="s">
        <v>1387</v>
      </c>
      <c r="F1" s="1283">
        <f ca="1">J53</f>
        <v>37.994</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6806</v>
      </c>
      <c r="C2" s="1845" t="s">
        <v>1516</v>
      </c>
      <c r="D2" s="1845"/>
      <c r="E2" s="1846"/>
      <c r="F2" s="1847"/>
      <c r="G2" s="1848"/>
      <c r="H2" s="1840"/>
      <c r="I2" s="1840"/>
      <c r="J2" s="1840"/>
      <c r="K2" s="1841"/>
      <c r="L2" s="1840"/>
      <c r="M2" s="1840"/>
    </row>
    <row r="3" spans="1:37" ht="18" customHeight="1" thickBot="1">
      <c r="A3" s="1849" t="s">
        <v>1517</v>
      </c>
      <c r="B3" s="1850">
        <f ca="1">IF(ISERROR(B2*10000/F43),0,ROUND(B2*10000/F43,0))</f>
        <v>2459</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707</v>
      </c>
      <c r="D5" s="1822" t="s">
        <v>1402</v>
      </c>
      <c r="E5" s="1293"/>
      <c r="F5" s="1294"/>
      <c r="G5" s="1851"/>
      <c r="H5" s="344">
        <v>1</v>
      </c>
      <c r="I5" s="345" t="s">
        <v>1401</v>
      </c>
      <c r="J5" s="1292">
        <f ca="1">J6+J10+J12</f>
        <v>0</v>
      </c>
      <c r="K5" s="1822" t="s">
        <v>1402</v>
      </c>
      <c r="L5" s="1293"/>
      <c r="M5" s="1294"/>
    </row>
    <row r="6" spans="1:37" ht="18" customHeight="1">
      <c r="A6" s="1291" t="s">
        <v>1035</v>
      </c>
      <c r="B6" s="3255" t="s">
        <v>1403</v>
      </c>
      <c r="C6" s="1296">
        <f ca="1">ROUND(F6*F8*F7*(1-F9)/10000,0)</f>
        <v>707</v>
      </c>
      <c r="D6" s="164" t="s">
        <v>3038</v>
      </c>
      <c r="E6" s="347" t="s">
        <v>1405</v>
      </c>
      <c r="F6" s="348">
        <f ca="1">INDIRECT("'数据-取费表'!u"&amp;$G$1)</f>
        <v>0.7</v>
      </c>
      <c r="G6" s="1851"/>
      <c r="H6" s="1291" t="s">
        <v>1035</v>
      </c>
      <c r="I6" s="3255" t="s">
        <v>1403</v>
      </c>
      <c r="J6" s="346">
        <f ca="1">ROUND(M6*M8*M7*(1-M9)/10000,0)</f>
        <v>0</v>
      </c>
      <c r="K6" s="164" t="s">
        <v>3037</v>
      </c>
      <c r="L6" s="347" t="s">
        <v>1405</v>
      </c>
      <c r="M6" s="348">
        <f ca="1">INDIRECT("'数据-取费表'!z"&amp;$G$1)</f>
        <v>0</v>
      </c>
    </row>
    <row r="7" spans="1:37" ht="18" customHeight="1">
      <c r="A7" s="1295"/>
      <c r="B7" s="3256"/>
      <c r="C7" s="1297"/>
      <c r="D7" s="352"/>
      <c r="E7" s="1298" t="s">
        <v>1406</v>
      </c>
      <c r="F7" s="348">
        <f ca="1">IF(INDIRECT("'数据-取费表'!ah"&amp;$G$1)="",INDIRECT("'数据-取费表'!k"&amp;$G$1),INDIRECT("'数据-取费表'!ah"&amp;$G$1))</f>
        <v>27683.46</v>
      </c>
      <c r="G7" s="1851"/>
      <c r="H7" s="349"/>
      <c r="I7" s="3256"/>
      <c r="J7" s="351"/>
      <c r="K7" s="352"/>
      <c r="L7" s="347" t="s">
        <v>1406</v>
      </c>
      <c r="M7" s="348">
        <f ca="1">F7</f>
        <v>27683.46</v>
      </c>
    </row>
    <row r="8" spans="1:37" ht="18" customHeight="1">
      <c r="A8" s="349"/>
      <c r="B8" s="3256"/>
      <c r="C8" s="351"/>
      <c r="D8" s="352"/>
      <c r="E8" s="347" t="s">
        <v>1407</v>
      </c>
      <c r="F8" s="348">
        <f ca="1">INDIRECT("'数据-取费表'!ai"&amp;$G$1)</f>
        <v>365</v>
      </c>
      <c r="G8" s="1851"/>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v>
      </c>
      <c r="G9" s="1851"/>
      <c r="H9" s="349"/>
      <c r="I9" s="3257"/>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3047</v>
      </c>
      <c r="E10" s="358" t="s">
        <v>1410</v>
      </c>
      <c r="F10" s="1366"/>
      <c r="G10" s="1851"/>
      <c r="H10" s="1291" t="s">
        <v>1039</v>
      </c>
      <c r="I10" s="1823" t="s">
        <v>1409</v>
      </c>
      <c r="J10" s="346">
        <f ca="1">ROUND(IF(M10="押一",J6/12*M11,IF(M10="押二",J6/12*2*M11,IF(M10="押三",J6/12*3*M11,J11*M11))),0)</f>
        <v>0</v>
      </c>
      <c r="K10" s="1824" t="s">
        <v>3046</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6212</v>
      </c>
      <c r="D14" s="1800" t="s">
        <v>1418</v>
      </c>
      <c r="E14" s="1794"/>
      <c r="F14" s="364"/>
      <c r="G14" s="1851"/>
      <c r="H14" s="1201" t="s">
        <v>1035</v>
      </c>
      <c r="I14" s="347" t="s">
        <v>1419</v>
      </c>
      <c r="J14" s="24">
        <f ca="1">C29</f>
        <v>9332</v>
      </c>
      <c r="K14" s="15"/>
      <c r="L14" s="979"/>
      <c r="M14" s="980"/>
    </row>
    <row r="15" spans="1:37" s="1858" customFormat="1" ht="18" customHeight="1" thickBot="1">
      <c r="A15" s="1201" t="s">
        <v>1036</v>
      </c>
      <c r="B15" s="347" t="s">
        <v>1420</v>
      </c>
      <c r="C15" s="24">
        <f ca="1">ROUND(C14*F15,0)</f>
        <v>186</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236</v>
      </c>
      <c r="K16" s="1337" t="s">
        <v>1425</v>
      </c>
      <c r="L16" s="1338"/>
      <c r="M16" s="1294"/>
    </row>
    <row r="17" spans="1:37" s="1858" customFormat="1" ht="18" customHeight="1">
      <c r="A17" s="1201" t="s">
        <v>1390</v>
      </c>
      <c r="B17" s="347" t="s">
        <v>1426</v>
      </c>
      <c r="C17" s="24">
        <f ca="1">ROUND(F17*(F43+INDIRECT("'数据-取费表'!S"&amp;$G$1))/10000,0)</f>
        <v>565</v>
      </c>
      <c r="D17" s="347" t="s">
        <v>1427</v>
      </c>
      <c r="E17" s="347" t="s">
        <v>1428</v>
      </c>
      <c r="F17" s="26">
        <f>'数据-取费表'!B35</f>
        <v>200</v>
      </c>
      <c r="G17" s="1854"/>
      <c r="H17" s="1201" t="s">
        <v>1035</v>
      </c>
      <c r="I17" s="347" t="s">
        <v>1429</v>
      </c>
      <c r="J17" s="24">
        <f ca="1">ROUND(IF(项目基本情况!B11="自然人",J5*M17,J18+J19+J20),1)</f>
        <v>95.9</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93</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7056</v>
      </c>
      <c r="D19" s="140" t="s">
        <v>1436</v>
      </c>
      <c r="E19" s="1818"/>
      <c r="F19" s="26"/>
      <c r="G19" s="1851"/>
      <c r="H19" s="1201" t="s">
        <v>1036</v>
      </c>
      <c r="I19" s="347" t="s">
        <v>1437</v>
      </c>
      <c r="J19" s="24">
        <f ca="1">IF(K19="按租金收入计税",ROUND(J5*M19,2),ROUND(C29*M19*0.7,2))</f>
        <v>78.39</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141</v>
      </c>
      <c r="D20" s="369" t="s">
        <v>1440</v>
      </c>
      <c r="E20" s="347" t="s">
        <v>1422</v>
      </c>
      <c r="F20" s="367">
        <f>'数据-取费表'!B37</f>
        <v>0.02</v>
      </c>
      <c r="G20" s="1854"/>
      <c r="H20" s="1201" t="s">
        <v>1389</v>
      </c>
      <c r="I20" s="164" t="s">
        <v>1441</v>
      </c>
      <c r="J20" s="25">
        <f ca="1">ROUND(M20*M21/10000,2)</f>
        <v>17.53</v>
      </c>
      <c r="K20" s="370" t="s">
        <v>1442</v>
      </c>
      <c r="L20" s="347" t="s">
        <v>1443</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9738.7899999999991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140</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342</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-236</v>
      </c>
      <c r="K25" s="1345" t="s">
        <v>1464</v>
      </c>
      <c r="L25" s="1346"/>
      <c r="M25" s="1347"/>
    </row>
    <row r="26" spans="1:37">
      <c r="A26" s="1201" t="s">
        <v>1034</v>
      </c>
      <c r="B26" s="347" t="s">
        <v>1465</v>
      </c>
      <c r="C26" s="24">
        <f ca="1">ROUND((C19+C20)*F26,0)</f>
        <v>1080</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9332</v>
      </c>
      <c r="D29" s="1342"/>
      <c r="E29" s="1340"/>
      <c r="F29" s="1343"/>
      <c r="G29" s="1854"/>
      <c r="H29" s="380" t="s">
        <v>1033</v>
      </c>
      <c r="I29" s="381" t="s">
        <v>1479</v>
      </c>
      <c r="J29" s="382">
        <f ca="1">ROUND(J26/(1+F40)^F41,0)</f>
        <v>0</v>
      </c>
      <c r="K29" s="383" t="s">
        <v>1480</v>
      </c>
      <c r="L29" s="384"/>
      <c r="M29" s="385">
        <f ca="1">INDIRECT("'数据-取费表'!k"&amp;$G$1)</f>
        <v>27683.46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287</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133</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37.03</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78.39</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17.53</v>
      </c>
      <c r="D34" s="370" t="s">
        <v>1442</v>
      </c>
      <c r="E34" s="347" t="s">
        <v>1443</v>
      </c>
      <c r="F34" s="371">
        <f>'数据-取费表'!B52</f>
        <v>18</v>
      </c>
      <c r="G34" s="1851"/>
      <c r="H34" s="745"/>
      <c r="I34" s="1860"/>
      <c r="J34" s="1861"/>
      <c r="K34" s="1863"/>
      <c r="L34" s="1864"/>
      <c r="M34" s="1864"/>
    </row>
    <row r="35" spans="1:18" ht="18" customHeight="1">
      <c r="A35" s="1353"/>
      <c r="B35" s="1351"/>
      <c r="C35" s="29"/>
      <c r="D35" s="373"/>
      <c r="E35" s="347" t="s">
        <v>1447</v>
      </c>
      <c r="F35" s="348">
        <f ca="1">INDIRECT("'数据-取费表'!r"&amp;$G$1)</f>
        <v>9738.7899999999991</v>
      </c>
      <c r="G35" s="1851"/>
      <c r="H35" s="745"/>
      <c r="I35" s="1860"/>
      <c r="J35" s="1861"/>
      <c r="K35" s="1862"/>
      <c r="L35" s="1859"/>
      <c r="M35" s="1859"/>
    </row>
    <row r="36" spans="1:18" ht="18" customHeight="1">
      <c r="A36" s="1352" t="s">
        <v>1039</v>
      </c>
      <c r="B36" s="347" t="s">
        <v>1449</v>
      </c>
      <c r="C36" s="24">
        <f ca="1">ROUND(C29*F36,1)</f>
        <v>140</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14.1</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420</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6638</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37.994</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f ca="1">ROUND(C40*10000/F43,0)</f>
        <v>2398</v>
      </c>
      <c r="D43" s="383" t="s">
        <v>1488</v>
      </c>
      <c r="E43" s="384" t="s">
        <v>1489</v>
      </c>
      <c r="F43" s="385">
        <f ca="1">INDIRECT("'数据-取费表'!k"&amp;$G$1)</f>
        <v>27683.46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-10368</v>
      </c>
      <c r="D46" s="1872" t="str">
        <f>C2</f>
        <v>万元</v>
      </c>
      <c r="E46" s="1866"/>
      <c r="F46" s="1866"/>
      <c r="I46" s="1873" t="s">
        <v>1521</v>
      </c>
      <c r="J46" s="1874"/>
      <c r="K46" s="1875"/>
      <c r="L46" s="1876">
        <f ca="1">IF(M47="住宅",0,IF(L48&gt;J51,L60,J60))</f>
        <v>168</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3119</v>
      </c>
      <c r="K47" s="1882" t="s">
        <v>1527</v>
      </c>
      <c r="L47" s="1883">
        <f ca="1">INDIRECT("'数据-取费表'!d"&amp;$G$1)</f>
        <v>40</v>
      </c>
      <c r="M47" s="1838" t="str">
        <f>IF(ISNUMBER(FIND("住宅",C1)),"住宅","非住宅")</f>
        <v>非住宅</v>
      </c>
      <c r="O47" s="1884" t="s">
        <v>1040</v>
      </c>
      <c r="P47" s="1885" t="s">
        <v>1528</v>
      </c>
      <c r="Q47" s="1886">
        <f ca="1">C40+J29</f>
        <v>6638</v>
      </c>
      <c r="R47" s="1886" t="s">
        <v>1529</v>
      </c>
    </row>
    <row r="48" spans="1:18" s="1842" customFormat="1" ht="28.5" thickBot="1">
      <c r="A48" s="1360" t="s">
        <v>1135</v>
      </c>
      <c r="B48" s="345" t="s">
        <v>1401</v>
      </c>
      <c r="C48" s="1817">
        <f ca="1">C49+C53+C55</f>
        <v>0</v>
      </c>
      <c r="D48" s="1362"/>
      <c r="E48" s="1363"/>
      <c r="F48" s="1181"/>
      <c r="G48" s="792"/>
      <c r="H48" s="793"/>
      <c r="I48" s="1887" t="s">
        <v>1530</v>
      </c>
      <c r="J48" s="1888" t="s">
        <v>3320</v>
      </c>
      <c r="K48" s="1889" t="s">
        <v>1531</v>
      </c>
      <c r="L48" s="1890">
        <f ca="1">INDIRECT("'数据-取费表'!f"&amp;$G$1)</f>
        <v>39.4</v>
      </c>
      <c r="O48" s="1884" t="s">
        <v>1041</v>
      </c>
      <c r="P48" s="1885" t="s">
        <v>1532</v>
      </c>
      <c r="Q48" s="1886">
        <f ca="1">J60</f>
        <v>168</v>
      </c>
      <c r="R48" s="1886" t="s">
        <v>1533</v>
      </c>
    </row>
    <row r="49" spans="1:18" s="1842" customFormat="1" ht="13.5" thickBot="1">
      <c r="A49" s="1194" t="s">
        <v>1136</v>
      </c>
      <c r="B49" s="1829" t="s">
        <v>1490</v>
      </c>
      <c r="C49" s="1364">
        <f ca="1">ROUND(F49*F51*F50*(1-F52)/10000,0)</f>
        <v>0</v>
      </c>
      <c r="D49" s="1276" t="s">
        <v>3039</v>
      </c>
      <c r="E49" s="1830" t="s">
        <v>1491</v>
      </c>
      <c r="F49" s="1281"/>
      <c r="G49" s="1891"/>
      <c r="H49" s="793"/>
      <c r="I49" s="1887" t="s">
        <v>1534</v>
      </c>
      <c r="J49" s="1892"/>
      <c r="K49" s="1889" t="s">
        <v>1535</v>
      </c>
      <c r="L49" s="1893"/>
      <c r="O49" s="1894" t="s">
        <v>1042</v>
      </c>
      <c r="P49" s="1885" t="s">
        <v>1536</v>
      </c>
      <c r="Q49" s="1886">
        <f ca="1">C29</f>
        <v>9332</v>
      </c>
      <c r="R49" s="1886" t="s">
        <v>1529</v>
      </c>
    </row>
    <row r="50" spans="1:18" s="1842" customFormat="1" ht="13.5" thickBot="1">
      <c r="A50" s="1195"/>
      <c r="B50" s="1198"/>
      <c r="C50" s="1368"/>
      <c r="D50" s="1172"/>
      <c r="E50" s="1277" t="s">
        <v>1406</v>
      </c>
      <c r="F50" s="1278">
        <f ca="1">F7</f>
        <v>27683.46</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7171</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37.994</v>
      </c>
      <c r="R52" s="1886" t="s">
        <v>1546</v>
      </c>
    </row>
    <row r="53" spans="1:18" s="1842" customFormat="1" ht="24.75" thickBot="1">
      <c r="A53" s="1405" t="s">
        <v>1137</v>
      </c>
      <c r="B53" s="1831" t="s">
        <v>1409</v>
      </c>
      <c r="C53" s="361">
        <f ca="1">ROUND(IF(F53="押一",C49/12*F11,IF(F53="押二",C49/12*2*F11,IF(F53="押三",C49/12*3*F11,C54*F11))),0)</f>
        <v>0</v>
      </c>
      <c r="D53" s="1824" t="s">
        <v>3046</v>
      </c>
      <c r="E53" s="358" t="s">
        <v>1410</v>
      </c>
      <c r="F53" s="1366"/>
      <c r="I53" s="1905" t="s">
        <v>1547</v>
      </c>
      <c r="J53" s="1906">
        <f ca="1">IF(M47="住宅",J51,IF(D1="——",MIN(J51,L48),IF(D1="在建（套用方法）",MIN(J51,L48-'数据-取费表'!B24),IF(D1="土地（套用方法）",MIN(J51,L48-'数据-取费表'!B20)))))</f>
        <v>37.994</v>
      </c>
      <c r="K53" s="3253" t="s">
        <v>1548</v>
      </c>
      <c r="L53" s="3254"/>
      <c r="O53" s="1884" t="s">
        <v>1046</v>
      </c>
      <c r="P53" s="1885" t="s">
        <v>1549</v>
      </c>
      <c r="Q53" s="1886">
        <f ca="1">Q47+Q48</f>
        <v>6806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0.34300000000000003</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3182</v>
      </c>
      <c r="K56" s="1887" t="s">
        <v>1555</v>
      </c>
      <c r="L56" s="1890" t="str">
        <f ca="1">IF(L48&lt;J51,"——",L48-J53)</f>
        <v>——</v>
      </c>
      <c r="O56" s="1884" t="s">
        <v>1040</v>
      </c>
      <c r="P56" s="1885" t="s">
        <v>1528</v>
      </c>
      <c r="Q56" s="1886">
        <f ca="1">C40+J29</f>
        <v>6638</v>
      </c>
      <c r="R56" s="1886" t="s">
        <v>1529</v>
      </c>
    </row>
    <row r="57" spans="1:18" s="1842" customFormat="1" ht="24.75" thickBot="1">
      <c r="A57" s="1918"/>
      <c r="B57" s="1169" t="s">
        <v>1478</v>
      </c>
      <c r="C57" s="282">
        <f ca="1">C29</f>
        <v>9332</v>
      </c>
      <c r="D57" s="1919"/>
      <c r="E57" s="1920"/>
      <c r="F57" s="1921"/>
      <c r="I57" s="1922" t="s">
        <v>1556</v>
      </c>
      <c r="J57" s="1923">
        <f ca="1">IF(OR(M47="住宅",J51&lt;L48,J56="是"),"——",J51-L48)</f>
        <v>20.6</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236</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95.9</v>
      </c>
      <c r="D59" s="1182" t="s">
        <v>1430</v>
      </c>
      <c r="E59" s="1183" t="s">
        <v>1431</v>
      </c>
      <c r="F59" s="368" t="str">
        <f ca="1">IF(项目基本情况!B11="企业","",IF(INDIRECT("'数据-取费表'!c"&amp;$G$1)="住宅",5%,IF(F49*F50*F51/12/(1+'数据-取费表'!C42)&gt;20000,12%,7%)))</f>
        <v/>
      </c>
      <c r="I59" s="1922" t="s">
        <v>1563</v>
      </c>
      <c r="J59" s="1923">
        <f ca="1">IF(OR(M47="住宅",J51&lt;L48,J56="是"),"——",ROUND(C29*J58,0))</f>
        <v>3733</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f ca="1">IF(OR(M47="住宅",J51&lt;L48,J56="是"),"0",ROUND(J59/(1+J52)^J53,0))</f>
        <v>168</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78.39</v>
      </c>
      <c r="D61" s="1828" t="s">
        <v>1438</v>
      </c>
      <c r="E61" s="1169" t="s">
        <v>1494</v>
      </c>
      <c r="F61" s="367">
        <f t="shared" si="0"/>
        <v>1.2E-2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17.53</v>
      </c>
      <c r="D62" s="1184" t="s">
        <v>1497</v>
      </c>
      <c r="E62" s="1169" t="s">
        <v>1498</v>
      </c>
      <c r="F62" s="371">
        <f t="shared" si="0"/>
        <v>18</v>
      </c>
      <c r="I62" s="1929" t="s">
        <v>1570</v>
      </c>
      <c r="J62" s="1930" t="s">
        <v>1571</v>
      </c>
      <c r="K62" s="1930" t="s">
        <v>1572</v>
      </c>
      <c r="L62" s="1930" t="s">
        <v>1573</v>
      </c>
      <c r="M62" s="1931" t="s">
        <v>1574</v>
      </c>
      <c r="O62" s="1884" t="s">
        <v>1046</v>
      </c>
      <c r="P62" s="1885" t="s">
        <v>1575</v>
      </c>
      <c r="Q62" s="1886">
        <f ca="1">Q56+Q57</f>
        <v>6638</v>
      </c>
      <c r="R62" s="1886" t="s">
        <v>1047</v>
      </c>
    </row>
    <row r="63" spans="1:18" s="1842" customFormat="1" ht="13.5" thickBot="1">
      <c r="A63" s="372"/>
      <c r="B63" s="1175"/>
      <c r="C63" s="29"/>
      <c r="D63" s="1185"/>
      <c r="E63" s="1169" t="s">
        <v>1499</v>
      </c>
      <c r="F63" s="348">
        <f t="shared" ca="1" si="0"/>
        <v>9738.7899999999991</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140</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2E-3</v>
      </c>
      <c r="I65" s="1929" t="s">
        <v>1579</v>
      </c>
      <c r="J65" s="1930">
        <v>40</v>
      </c>
      <c r="K65" s="1930">
        <v>30</v>
      </c>
      <c r="L65" s="1930">
        <v>50</v>
      </c>
      <c r="M65" s="1932">
        <v>0.02</v>
      </c>
      <c r="O65" s="1884" t="s">
        <v>1040</v>
      </c>
      <c r="P65" s="1885" t="s">
        <v>1580</v>
      </c>
      <c r="Q65" s="1886">
        <f ca="1">C40+J29</f>
        <v>6638</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-236</v>
      </c>
      <c r="D67" s="1182" t="s">
        <v>1464</v>
      </c>
      <c r="E67" s="1187"/>
      <c r="F67" s="1188"/>
      <c r="O67" s="1894" t="s">
        <v>1042</v>
      </c>
      <c r="P67" s="1885" t="s">
        <v>1562</v>
      </c>
      <c r="Q67" s="1933">
        <f ca="1">L51</f>
        <v>7171</v>
      </c>
      <c r="R67" s="1886" t="s">
        <v>1582</v>
      </c>
    </row>
    <row r="68" spans="1:18" s="1842" customFormat="1" ht="16.5" thickBot="1">
      <c r="A68" s="1166" t="s">
        <v>1032</v>
      </c>
      <c r="B68" s="1167" t="s">
        <v>1485</v>
      </c>
      <c r="C68" s="346">
        <f ca="1">ROUND(C67*(1-((1+F70)/(1+F68))^F69)/(F68-F70),0)</f>
        <v>-3730</v>
      </c>
      <c r="D68" s="1184" t="s">
        <v>1469</v>
      </c>
      <c r="E68" s="1169" t="s">
        <v>1470</v>
      </c>
      <c r="F68" s="357">
        <f ca="1">F40</f>
        <v>5.5E-2</v>
      </c>
      <c r="O68" s="1894" t="s">
        <v>1043</v>
      </c>
      <c r="P68" s="1934" t="s">
        <v>1583</v>
      </c>
      <c r="Q68" s="1886">
        <f ca="1">ROUND(Q69-Q70*Q71,0)</f>
        <v>420</v>
      </c>
      <c r="R68" s="1886" t="s">
        <v>1051</v>
      </c>
    </row>
    <row r="69" spans="1:18" s="1842" customFormat="1" ht="13.5" thickBot="1">
      <c r="A69" s="1170"/>
      <c r="B69" s="1171"/>
      <c r="C69" s="351"/>
      <c r="D69" s="1189" t="s">
        <v>1473</v>
      </c>
      <c r="E69" s="1169" t="s">
        <v>1474</v>
      </c>
      <c r="F69" s="379">
        <f ca="1">F41</f>
        <v>37.994</v>
      </c>
      <c r="O69" s="1894" t="s">
        <v>1048</v>
      </c>
      <c r="P69" s="1934" t="s">
        <v>1584</v>
      </c>
      <c r="Q69" s="1886">
        <f ca="1">C39</f>
        <v>420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-1347</v>
      </c>
      <c r="D71" s="1192" t="s">
        <v>1488</v>
      </c>
      <c r="E71" s="1193" t="s">
        <v>1489</v>
      </c>
      <c r="F71" s="385">
        <f ca="1">F43</f>
        <v>27683.46</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6638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3319</v>
      </c>
      <c r="E1" s="1821" t="s">
        <v>1387</v>
      </c>
      <c r="F1" s="1283">
        <f ca="1">J53</f>
        <v>37.994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7628</v>
      </c>
      <c r="C2" s="1845" t="s">
        <v>1516</v>
      </c>
      <c r="D2" s="1845"/>
      <c r="E2" s="1846"/>
      <c r="F2" s="1847"/>
      <c r="G2" s="1848"/>
      <c r="H2" s="1840"/>
      <c r="I2" s="1840"/>
      <c r="J2" s="1840"/>
      <c r="K2" s="1841"/>
      <c r="L2" s="1840"/>
      <c r="M2" s="1840"/>
    </row>
    <row r="3" spans="1:37" ht="18" customHeight="1" thickBot="1">
      <c r="A3" s="1849" t="s">
        <v>1517</v>
      </c>
      <c r="B3" s="1850">
        <f ca="1">IF(ISERROR(B2*10000/F43),0,ROUND(B2*10000/F43,0))</f>
        <v>6445</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648</v>
      </c>
      <c r="D5" s="1822" t="s">
        <v>1402</v>
      </c>
      <c r="E5" s="1293"/>
      <c r="F5" s="1294"/>
      <c r="G5" s="1851"/>
      <c r="H5" s="344">
        <v>1</v>
      </c>
      <c r="I5" s="345" t="s">
        <v>1401</v>
      </c>
      <c r="J5" s="1292">
        <f ca="1">J6+J10+J12</f>
        <v>0</v>
      </c>
      <c r="K5" s="1822" t="s">
        <v>1402</v>
      </c>
      <c r="L5" s="1293"/>
      <c r="M5" s="1294"/>
    </row>
    <row r="6" spans="1:37" ht="18" customHeight="1">
      <c r="A6" s="1291" t="s">
        <v>1035</v>
      </c>
      <c r="B6" s="3255" t="s">
        <v>1403</v>
      </c>
      <c r="C6" s="1296">
        <f ca="1">ROUND(F6*F8*F7*(1-F9)/10000,0)</f>
        <v>648</v>
      </c>
      <c r="D6" s="164" t="s">
        <v>3038</v>
      </c>
      <c r="E6" s="347" t="s">
        <v>1405</v>
      </c>
      <c r="F6" s="348">
        <f ca="1">INDIRECT("'数据-取费表'!u"&amp;$G$1)</f>
        <v>1.5</v>
      </c>
      <c r="G6" s="1851"/>
      <c r="H6" s="1291" t="s">
        <v>1035</v>
      </c>
      <c r="I6" s="3255" t="s">
        <v>1403</v>
      </c>
      <c r="J6" s="346">
        <f ca="1">ROUND(M6*M8*M7*(1-M9)/10000,0)</f>
        <v>0</v>
      </c>
      <c r="K6" s="164" t="s">
        <v>3037</v>
      </c>
      <c r="L6" s="347" t="s">
        <v>1405</v>
      </c>
      <c r="M6" s="348">
        <f ca="1">INDIRECT("'数据-取费表'!z"&amp;$G$1)</f>
        <v>0</v>
      </c>
    </row>
    <row r="7" spans="1:37" ht="18" customHeight="1">
      <c r="A7" s="1295"/>
      <c r="B7" s="3256"/>
      <c r="C7" s="1297"/>
      <c r="D7" s="352"/>
      <c r="E7" s="2962" t="s">
        <v>1406</v>
      </c>
      <c r="F7" s="348">
        <f ca="1">IF(INDIRECT("'数据-取费表'!ah"&amp;$G$1)="",INDIRECT("'数据-取费表'!k"&amp;$G$1),INDIRECT("'数据-取费表'!ah"&amp;$G$1))</f>
        <v>11836.029999999999</v>
      </c>
      <c r="G7" s="1851"/>
      <c r="H7" s="349"/>
      <c r="I7" s="3256"/>
      <c r="J7" s="351"/>
      <c r="K7" s="352"/>
      <c r="L7" s="347" t="s">
        <v>1406</v>
      </c>
      <c r="M7" s="348">
        <f ca="1">F7</f>
        <v>11836.029999999999</v>
      </c>
    </row>
    <row r="8" spans="1:37" ht="18" customHeight="1">
      <c r="A8" s="349"/>
      <c r="B8" s="3256"/>
      <c r="C8" s="351"/>
      <c r="D8" s="352"/>
      <c r="E8" s="347" t="s">
        <v>1407</v>
      </c>
      <c r="F8" s="348">
        <f ca="1">INDIRECT("'数据-取费表'!ai"&amp;$G$1)</f>
        <v>365</v>
      </c>
      <c r="G8" s="1851"/>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v>
      </c>
      <c r="G9" s="1851"/>
      <c r="H9" s="349"/>
      <c r="I9" s="3257"/>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3047</v>
      </c>
      <c r="E10" s="358" t="s">
        <v>1410</v>
      </c>
      <c r="F10" s="1366"/>
      <c r="G10" s="1851"/>
      <c r="H10" s="1291" t="s">
        <v>1039</v>
      </c>
      <c r="I10" s="1823" t="s">
        <v>1409</v>
      </c>
      <c r="J10" s="346">
        <f ca="1">ROUND(IF(M10="押一",J6/12*M11,IF(M10="押二",J6/12*2*M11,IF(M10="押三",J6/12*3*M11,J11*M11))),0)</f>
        <v>0</v>
      </c>
      <c r="K10" s="1824" t="s">
        <v>3046</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3366</v>
      </c>
      <c r="D14" s="2965" t="s">
        <v>1418</v>
      </c>
      <c r="E14" s="2964"/>
      <c r="F14" s="364"/>
      <c r="G14" s="1851"/>
      <c r="H14" s="1201" t="s">
        <v>1035</v>
      </c>
      <c r="I14" s="347" t="s">
        <v>1419</v>
      </c>
      <c r="J14" s="24">
        <f ca="1">C29</f>
        <v>4971</v>
      </c>
      <c r="K14" s="2961"/>
      <c r="L14" s="979"/>
      <c r="M14" s="980"/>
    </row>
    <row r="15" spans="1:37" s="1858" customFormat="1" ht="18" customHeight="1" thickBot="1">
      <c r="A15" s="1201" t="s">
        <v>1036</v>
      </c>
      <c r="B15" s="347" t="s">
        <v>1420</v>
      </c>
      <c r="C15" s="24">
        <f ca="1">ROUND(C14*F15,0)</f>
        <v>101</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124</v>
      </c>
      <c r="K16" s="1337" t="s">
        <v>1425</v>
      </c>
      <c r="L16" s="2967"/>
      <c r="M16" s="1294"/>
    </row>
    <row r="17" spans="1:37" s="1858" customFormat="1" ht="18" customHeight="1">
      <c r="A17" s="1201" t="s">
        <v>1390</v>
      </c>
      <c r="B17" s="347" t="s">
        <v>1426</v>
      </c>
      <c r="C17" s="24">
        <f ca="1">ROUND(F17*(F43+INDIRECT("'数据-取费表'!S"&amp;$G$1))/10000,0)</f>
        <v>241</v>
      </c>
      <c r="D17" s="347" t="s">
        <v>1427</v>
      </c>
      <c r="E17" s="347" t="s">
        <v>1428</v>
      </c>
      <c r="F17" s="26">
        <f>'数据-取费表'!B35</f>
        <v>200</v>
      </c>
      <c r="G17" s="1854"/>
      <c r="H17" s="1201" t="s">
        <v>1035</v>
      </c>
      <c r="I17" s="347" t="s">
        <v>1429</v>
      </c>
      <c r="J17" s="24">
        <f ca="1">ROUND(IF(项目基本情况!B11="自然人",J5*M17,J18+J19+J20),1)</f>
        <v>49.3</v>
      </c>
      <c r="K17" s="2965" t="s">
        <v>1430</v>
      </c>
      <c r="L17" s="296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50</v>
      </c>
      <c r="D18" s="347" t="s">
        <v>1421</v>
      </c>
      <c r="E18" s="347" t="s">
        <v>1422</v>
      </c>
      <c r="F18" s="367">
        <f>'数据-取费表'!B36</f>
        <v>1.4999999999999999E-2</v>
      </c>
      <c r="G18" s="1854"/>
      <c r="H18" s="1201" t="s">
        <v>1034</v>
      </c>
      <c r="I18" s="347" t="s">
        <v>1433</v>
      </c>
      <c r="J18" s="24">
        <f ca="1">ROUND(J5*M18/(1+'数据-取费表'!C42),2)</f>
        <v>0</v>
      </c>
      <c r="K18" s="2966"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3758</v>
      </c>
      <c r="D19" s="140" t="s">
        <v>1436</v>
      </c>
      <c r="E19" s="2960"/>
      <c r="F19" s="26"/>
      <c r="G19" s="1851"/>
      <c r="H19" s="1201" t="s">
        <v>1036</v>
      </c>
      <c r="I19" s="347" t="s">
        <v>1437</v>
      </c>
      <c r="J19" s="24">
        <f ca="1">IF(K19="按租金收入计税",ROUND(J5*M19,2),ROUND(C29*M19*0.7,2))</f>
        <v>41.76</v>
      </c>
      <c r="K19" s="1828" t="s">
        <v>1438</v>
      </c>
      <c r="L19" s="347" t="s">
        <v>1422</v>
      </c>
      <c r="M19" s="367">
        <f>IF(K19="按租金收入计税",'数据-取费表'!B51,'数据-取费表'!B50)</f>
        <v>1.2E-2</v>
      </c>
    </row>
    <row r="20" spans="1:37" s="1858" customFormat="1" ht="18" customHeight="1">
      <c r="A20" s="1201" t="s">
        <v>1039</v>
      </c>
      <c r="B20" s="347" t="s">
        <v>1439</v>
      </c>
      <c r="C20" s="24">
        <f ca="1">ROUND(C19*F20,0)</f>
        <v>75</v>
      </c>
      <c r="D20" s="369" t="s">
        <v>1440</v>
      </c>
      <c r="E20" s="347" t="s">
        <v>1422</v>
      </c>
      <c r="F20" s="367">
        <f>'数据-取费表'!B37</f>
        <v>0.02</v>
      </c>
      <c r="G20" s="1854"/>
      <c r="H20" s="1201" t="s">
        <v>1389</v>
      </c>
      <c r="I20" s="164" t="s">
        <v>1441</v>
      </c>
      <c r="J20" s="25">
        <f ca="1">ROUND(M20*M21/10000,2)</f>
        <v>7.49</v>
      </c>
      <c r="K20" s="370" t="s">
        <v>1442</v>
      </c>
      <c r="L20" s="347" t="s">
        <v>1443</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4163.8100000000004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60"/>
      <c r="F22" s="26"/>
      <c r="G22" s="1851"/>
      <c r="H22" s="1201" t="s">
        <v>1039</v>
      </c>
      <c r="I22" s="347" t="s">
        <v>1449</v>
      </c>
      <c r="J22" s="24">
        <f ca="1">ROUND(J14*M22,1)</f>
        <v>74.599999999999994</v>
      </c>
      <c r="K22" s="296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183</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66"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60"/>
      <c r="F25" s="26"/>
      <c r="G25" s="1851"/>
      <c r="H25" s="1329" t="s">
        <v>1031</v>
      </c>
      <c r="I25" s="1344" t="s">
        <v>1463</v>
      </c>
      <c r="J25" s="355">
        <f ca="1">J5-J16</f>
        <v>-124</v>
      </c>
      <c r="K25" s="1345" t="s">
        <v>1464</v>
      </c>
      <c r="L25" s="1346"/>
      <c r="M25" s="1347"/>
    </row>
    <row r="26" spans="1:37">
      <c r="A26" s="1201" t="s">
        <v>1034</v>
      </c>
      <c r="B26" s="347" t="s">
        <v>1465</v>
      </c>
      <c r="C26" s="24">
        <f ca="1">ROUND((C19+C20)*F26,0)</f>
        <v>575</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4971</v>
      </c>
      <c r="D29" s="1342"/>
      <c r="E29" s="1340"/>
      <c r="F29" s="1343"/>
      <c r="G29" s="1854"/>
      <c r="H29" s="380" t="s">
        <v>1033</v>
      </c>
      <c r="I29" s="381" t="s">
        <v>1479</v>
      </c>
      <c r="J29" s="382">
        <f ca="1">ROUND(J26/(1+F40)^F41,0)</f>
        <v>0</v>
      </c>
      <c r="K29" s="383" t="s">
        <v>1480</v>
      </c>
      <c r="L29" s="384"/>
      <c r="M29" s="385">
        <f ca="1">INDIRECT("'数据-取费表'!k"&amp;$G$1)</f>
        <v>11836.029999999999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171</v>
      </c>
      <c r="D30" s="1337" t="s">
        <v>1425</v>
      </c>
      <c r="E30" s="2967"/>
      <c r="F30" s="1294"/>
      <c r="G30" s="1851"/>
      <c r="H30" s="745"/>
      <c r="I30" s="746"/>
      <c r="J30" s="747"/>
      <c r="K30" s="748"/>
      <c r="L30" s="749"/>
      <c r="M30" s="750"/>
    </row>
    <row r="31" spans="1:37" ht="18" customHeight="1">
      <c r="A31" s="1201" t="s">
        <v>1035</v>
      </c>
      <c r="B31" s="347" t="s">
        <v>1429</v>
      </c>
      <c r="C31" s="24">
        <f ca="1">ROUND(IF(项目基本情况!B11="自然人",C5*F31,C32+C33+C34),1)</f>
        <v>83.2</v>
      </c>
      <c r="D31" s="2965" t="s">
        <v>1430</v>
      </c>
      <c r="E31" s="296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33.94</v>
      </c>
      <c r="D32" s="2966"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41.76</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7.49</v>
      </c>
      <c r="D34" s="370" t="s">
        <v>1442</v>
      </c>
      <c r="E34" s="347" t="s">
        <v>1443</v>
      </c>
      <c r="F34" s="371">
        <f>'数据-取费表'!B52</f>
        <v>18</v>
      </c>
      <c r="G34" s="1851"/>
      <c r="H34" s="745"/>
      <c r="I34" s="1860"/>
      <c r="J34" s="1861"/>
      <c r="K34" s="1863"/>
      <c r="L34" s="1864"/>
      <c r="M34" s="1864"/>
    </row>
    <row r="35" spans="1:18" ht="18" customHeight="1">
      <c r="A35" s="1353"/>
      <c r="B35" s="1351"/>
      <c r="C35" s="29"/>
      <c r="D35" s="373"/>
      <c r="E35" s="347" t="s">
        <v>1447</v>
      </c>
      <c r="F35" s="348">
        <f ca="1">INDIRECT("'数据-取费表'!r"&amp;$G$1)</f>
        <v>4163.8100000000004</v>
      </c>
      <c r="G35" s="1851"/>
      <c r="H35" s="745"/>
      <c r="I35" s="1860"/>
      <c r="J35" s="1861"/>
      <c r="K35" s="1862"/>
      <c r="L35" s="1859"/>
      <c r="M35" s="1859"/>
    </row>
    <row r="36" spans="1:18" ht="18" customHeight="1">
      <c r="A36" s="1352" t="s">
        <v>1039</v>
      </c>
      <c r="B36" s="347" t="s">
        <v>1449</v>
      </c>
      <c r="C36" s="24">
        <f ca="1">ROUND(C29*F36,1)</f>
        <v>74.599999999999994</v>
      </c>
      <c r="D36" s="296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2966"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13</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5">
        <f ca="1">C5-C30</f>
        <v>477</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7538</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37.994</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f ca="1">ROUND(C40*10000/F43,0)</f>
        <v>6369</v>
      </c>
      <c r="D43" s="383" t="s">
        <v>1488</v>
      </c>
      <c r="E43" s="384" t="s">
        <v>1489</v>
      </c>
      <c r="F43" s="385">
        <f ca="1">INDIRECT("'数据-取费表'!k"&amp;$G$1)</f>
        <v>11836.029999999999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-9498</v>
      </c>
      <c r="D46" s="1872" t="str">
        <f>C2</f>
        <v>万元</v>
      </c>
      <c r="E46" s="1866"/>
      <c r="F46" s="1866"/>
      <c r="I46" s="1873" t="s">
        <v>1521</v>
      </c>
      <c r="J46" s="1874"/>
      <c r="K46" s="1875"/>
      <c r="L46" s="1876">
        <f ca="1">IF(M47="住宅",0,IF(L48&gt;J51,L60,J60))</f>
        <v>90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3119</v>
      </c>
      <c r="K47" s="1882" t="s">
        <v>1527</v>
      </c>
      <c r="L47" s="1883">
        <f ca="1">INDIRECT("'数据-取费表'!d"&amp;$G$1)</f>
        <v>40</v>
      </c>
      <c r="M47" s="1838" t="str">
        <f>IF(ISNUMBER(FIND("住宅",C1)),"住宅","非住宅")</f>
        <v>非住宅</v>
      </c>
      <c r="O47" s="1884" t="s">
        <v>1040</v>
      </c>
      <c r="P47" s="1885" t="s">
        <v>1528</v>
      </c>
      <c r="Q47" s="1886">
        <f ca="1">C40+J29</f>
        <v>7538</v>
      </c>
      <c r="R47" s="1886" t="s">
        <v>1529</v>
      </c>
    </row>
    <row r="48" spans="1:18" s="1842" customFormat="1" ht="28.5" thickBot="1">
      <c r="A48" s="1360" t="s">
        <v>1135</v>
      </c>
      <c r="B48" s="345" t="s">
        <v>1401</v>
      </c>
      <c r="C48" s="2959">
        <f ca="1">C49+C53+C55</f>
        <v>0</v>
      </c>
      <c r="D48" s="1362"/>
      <c r="E48" s="1363"/>
      <c r="F48" s="1181"/>
      <c r="G48" s="792"/>
      <c r="H48" s="793"/>
      <c r="I48" s="1887" t="s">
        <v>1530</v>
      </c>
      <c r="J48" s="1888" t="s">
        <v>3320</v>
      </c>
      <c r="K48" s="1889" t="s">
        <v>1531</v>
      </c>
      <c r="L48" s="1890">
        <f ca="1">INDIRECT("'数据-取费表'!f"&amp;$G$1)</f>
        <v>39.4</v>
      </c>
      <c r="O48" s="1884" t="s">
        <v>1041</v>
      </c>
      <c r="P48" s="1885" t="s">
        <v>1532</v>
      </c>
      <c r="Q48" s="1886">
        <f ca="1">J60</f>
        <v>90</v>
      </c>
      <c r="R48" s="1886" t="s">
        <v>1533</v>
      </c>
    </row>
    <row r="49" spans="1:18" s="1842" customFormat="1" ht="13.5" thickBot="1">
      <c r="A49" s="1194" t="s">
        <v>1136</v>
      </c>
      <c r="B49" s="1829" t="s">
        <v>1490</v>
      </c>
      <c r="C49" s="1364">
        <f ca="1">ROUND(F49*F51*F50*(1-F52)/10000,0)</f>
        <v>0</v>
      </c>
      <c r="D49" s="1276" t="s">
        <v>3039</v>
      </c>
      <c r="E49" s="1830" t="s">
        <v>1491</v>
      </c>
      <c r="F49" s="1281"/>
      <c r="G49" s="1891"/>
      <c r="H49" s="793"/>
      <c r="I49" s="1887" t="s">
        <v>1534</v>
      </c>
      <c r="J49" s="1892">
        <v>2019</v>
      </c>
      <c r="K49" s="1889" t="s">
        <v>1535</v>
      </c>
      <c r="L49" s="1893"/>
      <c r="O49" s="1894" t="s">
        <v>1042</v>
      </c>
      <c r="P49" s="1885" t="s">
        <v>1536</v>
      </c>
      <c r="Q49" s="1886">
        <f ca="1">C29</f>
        <v>4971</v>
      </c>
      <c r="R49" s="1886" t="s">
        <v>1529</v>
      </c>
    </row>
    <row r="50" spans="1:18" s="1842" customFormat="1" ht="13.5" thickBot="1">
      <c r="A50" s="1195"/>
      <c r="B50" s="1198"/>
      <c r="C50" s="1368"/>
      <c r="D50" s="1172"/>
      <c r="E50" s="1277" t="s">
        <v>1406</v>
      </c>
      <c r="F50" s="1278">
        <f ca="1">F7</f>
        <v>11836.029999999999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8145</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37.994</v>
      </c>
      <c r="R52" s="1886" t="s">
        <v>1546</v>
      </c>
    </row>
    <row r="53" spans="1:18" s="1842" customFormat="1" ht="24.75" thickBot="1">
      <c r="A53" s="1405" t="s">
        <v>1137</v>
      </c>
      <c r="B53" s="1831" t="s">
        <v>1409</v>
      </c>
      <c r="C53" s="361">
        <f ca="1">ROUND(IF(F53="押一",C49/12*F11,IF(F53="押二",C49/12*2*F11,IF(F53="押三",C49/12*3*F11,C54*F11))),0)</f>
        <v>0</v>
      </c>
      <c r="D53" s="1824" t="s">
        <v>3046</v>
      </c>
      <c r="E53" s="358" t="s">
        <v>1410</v>
      </c>
      <c r="F53" s="1366"/>
      <c r="I53" s="1905" t="s">
        <v>1547</v>
      </c>
      <c r="J53" s="1906">
        <f ca="1">IF(M47="住宅",J51,IF(D1="——",MIN(J51,L48),IF(D1="在建（套用方法）",MIN(J51,L48-'数据-取费表'!B24),IF(D1="土地（套用方法）",MIN(J51,L48-'数据-取费表'!B20)))))</f>
        <v>37.994</v>
      </c>
      <c r="K53" s="3253" t="s">
        <v>1548</v>
      </c>
      <c r="L53" s="3254"/>
      <c r="O53" s="1884" t="s">
        <v>1046</v>
      </c>
      <c r="P53" s="1885" t="s">
        <v>1549</v>
      </c>
      <c r="Q53" s="1886">
        <f ca="1">Q47+Q48</f>
        <v>7628</v>
      </c>
      <c r="R53" s="1886" t="s">
        <v>1047</v>
      </c>
    </row>
    <row r="54" spans="1:18" s="1842" customFormat="1" ht="13.5" thickBot="1">
      <c r="A54" s="1406"/>
      <c r="B54" s="1825" t="s">
        <v>1388</v>
      </c>
      <c r="C54" s="1178"/>
      <c r="D54" s="1824"/>
      <c r="E54" s="296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63"/>
      <c r="F55" s="1907"/>
      <c r="I55" s="1910" t="s">
        <v>1551</v>
      </c>
      <c r="J55" s="1911">
        <f ca="1">ROUND(IF(J47="钢混",J57/J50,1-(1-2%)*(J50-J57)/J50),3)</f>
        <v>0.34300000000000003</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3182</v>
      </c>
      <c r="K56" s="1887" t="s">
        <v>1555</v>
      </c>
      <c r="L56" s="1890" t="str">
        <f ca="1">IF(L48&lt;J51,"——",L48-J53)</f>
        <v>——</v>
      </c>
      <c r="O56" s="1884" t="s">
        <v>1040</v>
      </c>
      <c r="P56" s="1885" t="s">
        <v>1528</v>
      </c>
      <c r="Q56" s="1886">
        <f ca="1">C40+J29</f>
        <v>7538</v>
      </c>
      <c r="R56" s="1886" t="s">
        <v>1529</v>
      </c>
    </row>
    <row r="57" spans="1:18" s="1842" customFormat="1" ht="24.75" thickBot="1">
      <c r="A57" s="1918"/>
      <c r="B57" s="1169" t="s">
        <v>1478</v>
      </c>
      <c r="C57" s="282">
        <f ca="1">C29</f>
        <v>4971</v>
      </c>
      <c r="D57" s="1919"/>
      <c r="E57" s="1920"/>
      <c r="F57" s="1921"/>
      <c r="I57" s="1922" t="s">
        <v>1556</v>
      </c>
      <c r="J57" s="1923">
        <f ca="1">IF(OR(M47="住宅",J51&lt;L48,J56="是"),"——",J51-L48)</f>
        <v>20.6</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124</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49.3</v>
      </c>
      <c r="D59" s="1182" t="s">
        <v>1430</v>
      </c>
      <c r="E59" s="1183" t="s">
        <v>1431</v>
      </c>
      <c r="F59" s="368" t="str">
        <f ca="1">IF(项目基本情况!B11="企业","",IF(INDIRECT("'数据-取费表'!c"&amp;$G$1)="住宅",5%,IF(F49*F50*F51/12/(1+'数据-取费表'!C42)&gt;20000,12%,7%)))</f>
        <v/>
      </c>
      <c r="I59" s="1922" t="s">
        <v>1563</v>
      </c>
      <c r="J59" s="1923">
        <f ca="1">IF(OR(M47="住宅",J51&lt;L48,J56="是"),"——",ROUND(C29*J58,0))</f>
        <v>1988</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f ca="1">IF(OR(M47="住宅",J51&lt;L48,J56="是"),"0",ROUND(J59/(1+J52)^J53,0))</f>
        <v>90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41.76</v>
      </c>
      <c r="D61" s="1828" t="s">
        <v>1438</v>
      </c>
      <c r="E61" s="1169" t="s">
        <v>1422</v>
      </c>
      <c r="F61" s="367">
        <f t="shared" si="0"/>
        <v>1.2E-2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7.49</v>
      </c>
      <c r="D62" s="1184" t="s">
        <v>1442</v>
      </c>
      <c r="E62" s="1169" t="s">
        <v>1443</v>
      </c>
      <c r="F62" s="371">
        <f t="shared" si="0"/>
        <v>18</v>
      </c>
      <c r="I62" s="1929" t="s">
        <v>1570</v>
      </c>
      <c r="J62" s="1930" t="s">
        <v>1571</v>
      </c>
      <c r="K62" s="1930" t="s">
        <v>1572</v>
      </c>
      <c r="L62" s="1930" t="s">
        <v>1573</v>
      </c>
      <c r="M62" s="1931" t="s">
        <v>1574</v>
      </c>
      <c r="O62" s="1884" t="s">
        <v>1046</v>
      </c>
      <c r="P62" s="1885" t="s">
        <v>1549</v>
      </c>
      <c r="Q62" s="1886">
        <f ca="1">Q56+Q57</f>
        <v>7538</v>
      </c>
      <c r="R62" s="1886" t="s">
        <v>1047</v>
      </c>
    </row>
    <row r="63" spans="1:18" s="1842" customFormat="1" ht="13.5" thickBot="1">
      <c r="A63" s="372"/>
      <c r="B63" s="1175"/>
      <c r="C63" s="29"/>
      <c r="D63" s="1185"/>
      <c r="E63" s="1169" t="s">
        <v>1447</v>
      </c>
      <c r="F63" s="348">
        <f t="shared" ca="1" si="0"/>
        <v>4163.8100000000004</v>
      </c>
      <c r="I63" s="1929" t="s">
        <v>1576</v>
      </c>
      <c r="J63" s="1930">
        <v>70</v>
      </c>
      <c r="K63" s="1930">
        <v>50</v>
      </c>
      <c r="L63" s="1930">
        <v>80</v>
      </c>
      <c r="M63" s="1932">
        <v>0.02</v>
      </c>
      <c r="O63" s="1869" t="s">
        <v>1577</v>
      </c>
      <c r="P63" s="1839"/>
      <c r="Q63" s="1839"/>
      <c r="R63" s="1839"/>
    </row>
    <row r="64" spans="1:18" s="1842" customFormat="1" ht="13.5" thickBot="1">
      <c r="A64" s="1201" t="s">
        <v>1500</v>
      </c>
      <c r="B64" s="1169" t="s">
        <v>1449</v>
      </c>
      <c r="C64" s="24">
        <f ca="1">ROUND(C57*F64,1)</f>
        <v>74.599999999999994</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1422</v>
      </c>
      <c r="F65" s="376">
        <f t="shared" ca="1" si="0"/>
        <v>2E-3</v>
      </c>
      <c r="I65" s="1929" t="s">
        <v>1579</v>
      </c>
      <c r="J65" s="1930">
        <v>40</v>
      </c>
      <c r="K65" s="1930">
        <v>30</v>
      </c>
      <c r="L65" s="1930">
        <v>50</v>
      </c>
      <c r="M65" s="1932">
        <v>0.02</v>
      </c>
      <c r="O65" s="1884" t="s">
        <v>1040</v>
      </c>
      <c r="P65" s="1885" t="s">
        <v>1528</v>
      </c>
      <c r="Q65" s="1886">
        <f ca="1">C40+J29</f>
        <v>7538</v>
      </c>
      <c r="R65" s="1886" t="s">
        <v>1529</v>
      </c>
    </row>
    <row r="66" spans="1:18" s="1842" customFormat="1" ht="16.5" thickBot="1">
      <c r="A66" s="1201" t="s">
        <v>1504</v>
      </c>
      <c r="B66" s="1169" t="s">
        <v>1439</v>
      </c>
      <c r="C66" s="24">
        <f ca="1">ROUND(C48*F66,1)</f>
        <v>0</v>
      </c>
      <c r="D66" s="1183" t="s">
        <v>1459</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-124</v>
      </c>
      <c r="D67" s="1182" t="s">
        <v>1464</v>
      </c>
      <c r="E67" s="1187"/>
      <c r="F67" s="1188"/>
      <c r="O67" s="1894" t="s">
        <v>1042</v>
      </c>
      <c r="P67" s="1885" t="s">
        <v>1562</v>
      </c>
      <c r="Q67" s="1933">
        <f ca="1">L51</f>
        <v>8145</v>
      </c>
      <c r="R67" s="1886" t="s">
        <v>1582</v>
      </c>
    </row>
    <row r="68" spans="1:18" s="1842" customFormat="1" ht="16.5" thickBot="1">
      <c r="A68" s="1166" t="s">
        <v>1032</v>
      </c>
      <c r="B68" s="1167" t="s">
        <v>1485</v>
      </c>
      <c r="C68" s="346">
        <f ca="1">ROUND(C67*(1-((1+F70)/(1+F68))^F69)/(F68-F70),0)</f>
        <v>-1960</v>
      </c>
      <c r="D68" s="1184" t="s">
        <v>1469</v>
      </c>
      <c r="E68" s="1169" t="s">
        <v>1470</v>
      </c>
      <c r="F68" s="357">
        <f ca="1">F40</f>
        <v>5.5E-2</v>
      </c>
      <c r="O68" s="1894" t="s">
        <v>1043</v>
      </c>
      <c r="P68" s="1934" t="s">
        <v>1583</v>
      </c>
      <c r="Q68" s="1886">
        <f ca="1">ROUND(Q69-Q70*Q71,0)</f>
        <v>477</v>
      </c>
      <c r="R68" s="1886" t="s">
        <v>1051</v>
      </c>
    </row>
    <row r="69" spans="1:18" s="1842" customFormat="1" ht="13.5" thickBot="1">
      <c r="A69" s="1170"/>
      <c r="B69" s="1171"/>
      <c r="C69" s="351"/>
      <c r="D69" s="1189" t="s">
        <v>1473</v>
      </c>
      <c r="E69" s="1169" t="s">
        <v>1474</v>
      </c>
      <c r="F69" s="379">
        <f ca="1">F41</f>
        <v>37.994</v>
      </c>
      <c r="O69" s="1894" t="s">
        <v>1048</v>
      </c>
      <c r="P69" s="1934" t="s">
        <v>1584</v>
      </c>
      <c r="Q69" s="1886">
        <f ca="1">C39</f>
        <v>477</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-1656</v>
      </c>
      <c r="D71" s="1192" t="s">
        <v>1488</v>
      </c>
      <c r="E71" s="1193" t="s">
        <v>1489</v>
      </c>
      <c r="F71" s="385">
        <f ca="1">F43</f>
        <v>11836.029999999999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7538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5" t="s">
        <v>1403</v>
      </c>
      <c r="C6" s="1296">
        <f ca="1">ROUND(F6*F8*F7*(1-F9),0)</f>
        <v>0</v>
      </c>
      <c r="D6" s="164" t="s">
        <v>3035</v>
      </c>
      <c r="E6" s="347" t="s">
        <v>1405</v>
      </c>
      <c r="F6" s="348">
        <f ca="1">INDIRECT("'数据-取费表'!u"&amp;$G$1)</f>
        <v>0</v>
      </c>
      <c r="G6" s="1851"/>
      <c r="H6" s="1291" t="s">
        <v>1035</v>
      </c>
      <c r="I6" s="3255" t="s">
        <v>1403</v>
      </c>
      <c r="J6" s="346">
        <f ca="1">ROUND(M6*M8*M7*(1-M9),0)</f>
        <v>0</v>
      </c>
      <c r="K6" s="1834" t="s">
        <v>3036</v>
      </c>
      <c r="L6" s="347" t="s">
        <v>1405</v>
      </c>
      <c r="M6" s="348">
        <f ca="1">INDIRECT("'数据-取费表'!z"&amp;$G$1)</f>
        <v>0</v>
      </c>
    </row>
    <row r="7" spans="1:37" ht="18" customHeight="1">
      <c r="A7" s="1295"/>
      <c r="B7" s="3256"/>
      <c r="C7" s="1297"/>
      <c r="D7" s="352"/>
      <c r="E7" s="1298" t="s">
        <v>1406</v>
      </c>
      <c r="F7" s="348">
        <f ca="1">IF(INDIRECT("'数据-取费表'!ah"&amp;$G$1)="",INDIRECT("'数据-取费表'!k"&amp;$G$1),INDIRECT("'数据-取费表'!ah"&amp;$G$1))</f>
        <v>0</v>
      </c>
      <c r="G7" s="1851"/>
      <c r="H7" s="349"/>
      <c r="I7" s="3256"/>
      <c r="J7" s="351"/>
      <c r="K7" s="352"/>
      <c r="L7" s="347" t="s">
        <v>1406</v>
      </c>
      <c r="M7" s="348">
        <f ca="1">F7</f>
        <v>0</v>
      </c>
    </row>
    <row r="8" spans="1:37" ht="18" customHeight="1">
      <c r="A8" s="349"/>
      <c r="B8" s="3256"/>
      <c r="C8" s="351"/>
      <c r="D8" s="352"/>
      <c r="E8" s="347" t="s">
        <v>1407</v>
      </c>
      <c r="F8" s="348">
        <f ca="1">INDIRECT("'数据-取费表'!ai"&amp;$G$1)</f>
        <v>0</v>
      </c>
      <c r="G8" s="1851"/>
      <c r="H8" s="349"/>
      <c r="I8" s="3256"/>
      <c r="J8" s="351"/>
      <c r="K8" s="352"/>
      <c r="L8" s="347" t="s">
        <v>1407</v>
      </c>
      <c r="M8" s="348">
        <f ca="1">INDIRECT("'数据-取费表'!ai"&amp;$G$1)</f>
        <v>0</v>
      </c>
    </row>
    <row r="9" spans="1:37" ht="18" customHeight="1">
      <c r="A9" s="349"/>
      <c r="B9" s="3257"/>
      <c r="C9" s="351"/>
      <c r="D9" s="352"/>
      <c r="E9" s="347" t="s">
        <v>1408</v>
      </c>
      <c r="F9" s="357">
        <f ca="1">INDIRECT("'数据-取费表'!w"&amp;$G$1)</f>
        <v>0</v>
      </c>
      <c r="G9" s="1851"/>
      <c r="H9" s="349"/>
      <c r="I9" s="3257"/>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3046</v>
      </c>
      <c r="E10" s="358" t="s">
        <v>1410</v>
      </c>
      <c r="F10" s="1366"/>
      <c r="G10" s="1851"/>
      <c r="H10" s="1291" t="s">
        <v>1039</v>
      </c>
      <c r="I10" s="1823" t="s">
        <v>1409</v>
      </c>
      <c r="J10" s="346">
        <f ca="1">ROUND(IF(M10="押一",J6/12*M11,IF(M10="押二",J6/12*2*M11,IF(M10="押三",J6/12*3*M11,J11*M11))),0)</f>
        <v>0</v>
      </c>
      <c r="K10" s="1835" t="s">
        <v>3048</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18</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3049</v>
      </c>
      <c r="E53" s="358" t="s">
        <v>1410</v>
      </c>
      <c r="F53" s="1366"/>
      <c r="I53" s="1905" t="s">
        <v>1547</v>
      </c>
      <c r="J53" s="1906" t="b">
        <f>IF(M47="住宅",J51,IF(D1="——",MIN(J51,L48),IF(D1="在建（套用方法）",MIN(J51,L48-'数据-取费表'!B24),IF(D1="土地（套用方法）",MIN(J51,L48-'数据-取费表'!B20)))))</f>
        <v>0</v>
      </c>
      <c r="K53" s="3253" t="s">
        <v>1548</v>
      </c>
      <c r="L53" s="3254"/>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2530</v>
      </c>
      <c r="B1" s="2566"/>
      <c r="C1" s="2566"/>
      <c r="D1" s="2566"/>
      <c r="E1" s="2567"/>
    </row>
    <row r="2" spans="1:6" ht="15.75">
      <c r="A2" s="2568" t="s">
        <v>2334</v>
      </c>
      <c r="B2" s="2569">
        <f ca="1">SUMIF(B6:B13,"&lt;&gt;#ref!",B6:B13)</f>
        <v>14434</v>
      </c>
      <c r="C2" s="2570" t="s">
        <v>2523</v>
      </c>
      <c r="D2" s="2571" t="s">
        <v>2524</v>
      </c>
      <c r="E2" s="2572">
        <f>SUM(E6:E13)</f>
        <v>40313.89</v>
      </c>
    </row>
    <row r="3" spans="1:6" ht="15.75">
      <c r="A3" s="2568" t="s">
        <v>1395</v>
      </c>
      <c r="B3" s="2569">
        <f ca="1">ROUND(B2*10000/E2,0)</f>
        <v>3580</v>
      </c>
      <c r="C3" s="2570" t="s">
        <v>2531</v>
      </c>
      <c r="D3" s="2573"/>
      <c r="E3" s="2574"/>
    </row>
    <row r="4" spans="1:6" ht="15.75">
      <c r="A4" s="2575"/>
      <c r="B4" s="2573"/>
      <c r="C4" s="2573"/>
      <c r="D4" s="2573"/>
      <c r="E4" s="2574"/>
    </row>
    <row r="5" spans="1:6" ht="15">
      <c r="A5" s="2576" t="s">
        <v>2525</v>
      </c>
      <c r="B5" s="3258" t="s">
        <v>2526</v>
      </c>
      <c r="C5" s="3258"/>
      <c r="D5" s="2577"/>
      <c r="E5" s="2578" t="s">
        <v>2527</v>
      </c>
      <c r="F5" s="2579" t="s">
        <v>2528</v>
      </c>
    </row>
    <row r="6" spans="1:6">
      <c r="A6" s="2580">
        <f>'数据-取费表'!AN6</f>
        <v>0</v>
      </c>
      <c r="B6" s="2579" t="e">
        <f ca="1">IF(F6="是",'数据-取费表'!AO6,0)</f>
        <v>#REF!</v>
      </c>
      <c r="C6" s="2570" t="s">
        <v>2523</v>
      </c>
      <c r="D6" s="2573"/>
      <c r="E6" s="2581">
        <f>IF(OR(A6=0,F6="否"),0,'数据-取费表'!K6+'数据-取费表'!S6)</f>
        <v>0</v>
      </c>
      <c r="F6" s="2582" t="s">
        <v>2529</v>
      </c>
    </row>
    <row r="7" spans="1:6">
      <c r="A7" s="2580" t="str">
        <f>'数据-取费表'!AN7</f>
        <v>收益法 (商业)</v>
      </c>
      <c r="B7" s="2579">
        <f ca="1">IF(F7="是",'数据-取费表'!AO7,0)</f>
        <v>7628</v>
      </c>
      <c r="C7" s="2570" t="s">
        <v>2523</v>
      </c>
      <c r="D7" s="2573"/>
      <c r="E7" s="2581">
        <f>IF(OR(A7=0,F7="否"),0,'数据-取费表'!K7+'数据-取费表'!S7)</f>
        <v>12073.949999999999</v>
      </c>
      <c r="F7" s="2582" t="s">
        <v>2529</v>
      </c>
    </row>
    <row r="8" spans="1:6">
      <c r="A8" s="2580" t="str">
        <f>'数据-取费表'!AN8</f>
        <v>收益法</v>
      </c>
      <c r="B8" s="2579">
        <f ca="1">IF(F8="是",'数据-取费表'!AO8,0)</f>
        <v>6806</v>
      </c>
      <c r="C8" s="2570" t="s">
        <v>2523</v>
      </c>
      <c r="D8" s="2573"/>
      <c r="E8" s="2581">
        <f>IF(OR(A8=0,F8="否"),0,'数据-取费表'!K8+'数据-取费表'!S8)</f>
        <v>28239.94</v>
      </c>
      <c r="F8" s="2582" t="s">
        <v>2529</v>
      </c>
    </row>
    <row r="9" spans="1:6">
      <c r="A9" s="2580">
        <f>'数据-取费表'!AN9</f>
        <v>0</v>
      </c>
      <c r="B9" s="2579" t="e">
        <f ca="1">IF(F9="是",'数据-取费表'!AO9,0)</f>
        <v>#REF!</v>
      </c>
      <c r="C9" s="2570" t="s">
        <v>2523</v>
      </c>
      <c r="D9" s="2573"/>
      <c r="E9" s="2581">
        <f>IF(OR(A9=0,F9="否"),0,'数据-取费表'!K9+'数据-取费表'!S9)</f>
        <v>0</v>
      </c>
      <c r="F9" s="2582" t="s">
        <v>2529</v>
      </c>
    </row>
    <row r="10" spans="1:6">
      <c r="A10" s="2580">
        <f>'数据-取费表'!AN10</f>
        <v>0</v>
      </c>
      <c r="B10" s="2579" t="e">
        <f ca="1">IF(F10="是",'数据-取费表'!AO10,0)</f>
        <v>#REF!</v>
      </c>
      <c r="C10" s="2570" t="s">
        <v>2523</v>
      </c>
      <c r="D10" s="2573"/>
      <c r="E10" s="2581">
        <f>IF(OR(A10=0,F10="否"),0,'数据-取费表'!K10+'数据-取费表'!S10)</f>
        <v>0</v>
      </c>
      <c r="F10" s="2582" t="s">
        <v>2529</v>
      </c>
    </row>
    <row r="11" spans="1:6">
      <c r="A11" s="2580">
        <f>'数据-取费表'!AN11</f>
        <v>0</v>
      </c>
      <c r="B11" s="2579" t="e">
        <f ca="1">IF(F11="是",'数据-取费表'!AO11,0)</f>
        <v>#REF!</v>
      </c>
      <c r="C11" s="2570" t="s">
        <v>2523</v>
      </c>
      <c r="D11" s="2573"/>
      <c r="E11" s="2581">
        <f>IF(OR(A11=0,F11="否"),0,'数据-取费表'!K11+'数据-取费表'!S11)</f>
        <v>0</v>
      </c>
      <c r="F11" s="2582" t="s">
        <v>2529</v>
      </c>
    </row>
    <row r="12" spans="1:6">
      <c r="A12" s="2580">
        <f>'数据-取费表'!AN12</f>
        <v>0</v>
      </c>
      <c r="B12" s="2579" t="e">
        <f ca="1">IF(F12="是",'数据-取费表'!AO12,0)</f>
        <v>#REF!</v>
      </c>
      <c r="C12" s="2570" t="s">
        <v>2523</v>
      </c>
      <c r="D12" s="2573"/>
      <c r="E12" s="2581">
        <f>IF(OR(A12=0,F12="否"),0,'数据-取费表'!K12+'数据-取费表'!S12)</f>
        <v>0</v>
      </c>
      <c r="F12" s="2582" t="s">
        <v>2529</v>
      </c>
    </row>
    <row r="13" spans="1:6" ht="15" thickBot="1">
      <c r="A13" s="2583">
        <f>'数据-取费表'!AN13</f>
        <v>0</v>
      </c>
      <c r="B13" s="2579" t="e">
        <f ca="1">IF(F13="是",'数据-取费表'!AO13,0)</f>
        <v>#REF!</v>
      </c>
      <c r="C13" s="2584" t="s">
        <v>2523</v>
      </c>
      <c r="D13" s="2585"/>
      <c r="E13" s="2581">
        <f>IF(OR(A13=0,F13="否"),0,'数据-取费表'!K13+'数据-取费表'!S13)</f>
        <v>0</v>
      </c>
      <c r="F13" s="258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64" t="s">
        <v>1077</v>
      </c>
      <c r="B2" s="3265" t="s">
        <v>1078</v>
      </c>
      <c r="C2" s="3265"/>
      <c r="D2" s="1301" t="s">
        <v>1079</v>
      </c>
      <c r="E2" s="1301" t="s">
        <v>1080</v>
      </c>
      <c r="F2" s="1301" t="s">
        <v>1081</v>
      </c>
      <c r="G2" s="1301" t="s">
        <v>1082</v>
      </c>
      <c r="H2" s="1301" t="s">
        <v>1083</v>
      </c>
      <c r="I2" s="1302" t="s">
        <v>1084</v>
      </c>
    </row>
    <row r="3" spans="1:9">
      <c r="A3" s="3264"/>
      <c r="B3" s="3265" t="s">
        <v>1085</v>
      </c>
      <c r="C3" s="3265"/>
      <c r="D3" s="1303"/>
      <c r="E3" s="1301"/>
      <c r="F3" s="1304"/>
      <c r="G3" s="1304"/>
      <c r="H3" s="1305"/>
      <c r="I3" s="1306">
        <f>ROUND(D3*E3*F3*G3*H3/10000,0)</f>
        <v>0</v>
      </c>
    </row>
    <row r="4" spans="1:9">
      <c r="A4" s="3264"/>
      <c r="B4" s="3265" t="s">
        <v>1086</v>
      </c>
      <c r="C4" s="3265"/>
      <c r="D4" s="1303"/>
      <c r="E4" s="1301"/>
      <c r="F4" s="1304"/>
      <c r="G4" s="1304"/>
      <c r="H4" s="1305"/>
      <c r="I4" s="1306">
        <f t="shared" ref="I4:I9" si="0">ROUND(D4*E4*F4*G4*H4/10000,0)</f>
        <v>0</v>
      </c>
    </row>
    <row r="5" spans="1:9">
      <c r="A5" s="3264"/>
      <c r="B5" s="3265" t="s">
        <v>1087</v>
      </c>
      <c r="C5" s="3265"/>
      <c r="D5" s="1303"/>
      <c r="E5" s="1301"/>
      <c r="F5" s="1304"/>
      <c r="G5" s="1304"/>
      <c r="H5" s="1305"/>
      <c r="I5" s="1306">
        <f t="shared" si="0"/>
        <v>0</v>
      </c>
    </row>
    <row r="6" spans="1:9">
      <c r="A6" s="3264"/>
      <c r="B6" s="3265" t="s">
        <v>1088</v>
      </c>
      <c r="C6" s="3265"/>
      <c r="D6" s="1303"/>
      <c r="E6" s="1301"/>
      <c r="F6" s="1304"/>
      <c r="G6" s="1304"/>
      <c r="H6" s="1305"/>
      <c r="I6" s="1306">
        <f t="shared" si="0"/>
        <v>0</v>
      </c>
    </row>
    <row r="7" spans="1:9">
      <c r="A7" s="3264"/>
      <c r="B7" s="3265" t="s">
        <v>1089</v>
      </c>
      <c r="C7" s="3265"/>
      <c r="D7" s="1303"/>
      <c r="E7" s="1301"/>
      <c r="F7" s="1304"/>
      <c r="G7" s="1304"/>
      <c r="H7" s="1305"/>
      <c r="I7" s="1306">
        <f t="shared" si="0"/>
        <v>0</v>
      </c>
    </row>
    <row r="8" spans="1:9">
      <c r="A8" s="3264"/>
      <c r="B8" s="3265" t="s">
        <v>1090</v>
      </c>
      <c r="C8" s="3265"/>
      <c r="D8" s="1303"/>
      <c r="E8" s="1301"/>
      <c r="F8" s="1304"/>
      <c r="G8" s="1304"/>
      <c r="H8" s="1305"/>
      <c r="I8" s="1306">
        <f t="shared" si="0"/>
        <v>0</v>
      </c>
    </row>
    <row r="9" spans="1:9">
      <c r="A9" s="3264"/>
      <c r="B9" s="3265" t="s">
        <v>1091</v>
      </c>
      <c r="C9" s="3265"/>
      <c r="D9" s="1303"/>
      <c r="E9" s="1301"/>
      <c r="F9" s="1304"/>
      <c r="G9" s="1304"/>
      <c r="H9" s="1305"/>
      <c r="I9" s="1306">
        <f t="shared" si="0"/>
        <v>0</v>
      </c>
    </row>
    <row r="10" spans="1:9">
      <c r="A10" s="3264"/>
      <c r="B10" s="3266" t="s">
        <v>1092</v>
      </c>
      <c r="C10" s="3266"/>
      <c r="D10" s="1307"/>
      <c r="E10" s="1307" t="e">
        <f>ROUND(D1*10000/D10/H9,0)</f>
        <v>#DIV/0!</v>
      </c>
      <c r="F10" s="1308"/>
      <c r="G10" s="1308"/>
      <c r="H10" s="1309"/>
      <c r="I10" s="1310">
        <f>SUM(I3:I9)</f>
        <v>0</v>
      </c>
    </row>
    <row r="11" spans="1:9" ht="14.25">
      <c r="A11" s="3264" t="s">
        <v>1093</v>
      </c>
      <c r="B11" s="3265" t="s">
        <v>1094</v>
      </c>
      <c r="C11" s="3265"/>
      <c r="D11" s="1303" t="s">
        <v>1095</v>
      </c>
      <c r="E11" s="1303" t="s">
        <v>1096</v>
      </c>
      <c r="F11" s="1304" t="s">
        <v>1097</v>
      </c>
      <c r="G11" s="1304" t="s">
        <v>1083</v>
      </c>
      <c r="H11" s="1311" t="s">
        <v>1098</v>
      </c>
      <c r="I11" s="1302" t="s">
        <v>1084</v>
      </c>
    </row>
    <row r="12" spans="1:9">
      <c r="A12" s="3264"/>
      <c r="B12" s="3265" t="s">
        <v>1099</v>
      </c>
      <c r="C12" s="3265"/>
      <c r="D12" s="1303"/>
      <c r="E12" s="1303"/>
      <c r="F12" s="1304"/>
      <c r="G12" s="1305"/>
      <c r="H12" s="1312"/>
      <c r="I12" s="1302">
        <f>ROUND(D12*E12*F12*G12/10000,0)</f>
        <v>0</v>
      </c>
    </row>
    <row r="13" spans="1:9">
      <c r="A13" s="3264"/>
      <c r="B13" s="3265" t="s">
        <v>1100</v>
      </c>
      <c r="C13" s="3265"/>
      <c r="D13" s="1303"/>
      <c r="E13" s="1303"/>
      <c r="F13" s="1304"/>
      <c r="G13" s="1305"/>
      <c r="H13" s="1312"/>
      <c r="I13" s="1302">
        <f>ROUND(D13*E13*F13*G13/10000,0)</f>
        <v>0</v>
      </c>
    </row>
    <row r="14" spans="1:9">
      <c r="A14" s="3264"/>
      <c r="B14" s="3265" t="s">
        <v>1101</v>
      </c>
      <c r="C14" s="3265"/>
      <c r="D14" s="1303"/>
      <c r="E14" s="1303"/>
      <c r="F14" s="1304"/>
      <c r="G14" s="1305"/>
      <c r="H14" s="1312"/>
      <c r="I14" s="1302">
        <f>ROUND(D14*E14*F14*G14/10000,0)</f>
        <v>0</v>
      </c>
    </row>
    <row r="15" spans="1:9">
      <c r="A15" s="3264"/>
      <c r="B15" s="3266" t="s">
        <v>1092</v>
      </c>
      <c r="C15" s="3266"/>
      <c r="D15" s="1307"/>
      <c r="E15" s="1307">
        <f>SUM(E12:E14)</f>
        <v>0</v>
      </c>
      <c r="F15" s="1308"/>
      <c r="G15" s="1305"/>
      <c r="H15" s="1312"/>
      <c r="I15" s="1313">
        <f>SUM(I12:I14)</f>
        <v>0</v>
      </c>
    </row>
    <row r="16" spans="1:9" ht="24">
      <c r="A16" s="3264" t="s">
        <v>1102</v>
      </c>
      <c r="B16" s="3265" t="s">
        <v>1103</v>
      </c>
      <c r="C16" s="3265"/>
      <c r="D16" s="1303" t="s">
        <v>1079</v>
      </c>
      <c r="E16" s="1314" t="s">
        <v>1104</v>
      </c>
      <c r="F16" s="1304" t="s">
        <v>1105</v>
      </c>
      <c r="G16" s="1305" t="s">
        <v>1083</v>
      </c>
      <c r="H16" s="1311" t="s">
        <v>1098</v>
      </c>
      <c r="I16" s="1302" t="s">
        <v>1084</v>
      </c>
    </row>
    <row r="17" spans="1:9" ht="14.25">
      <c r="A17" s="3264"/>
      <c r="B17" s="3265" t="s">
        <v>1106</v>
      </c>
      <c r="C17" s="3265"/>
      <c r="D17" s="1303"/>
      <c r="E17" s="1303"/>
      <c r="F17" s="1304"/>
      <c r="G17" s="1305"/>
      <c r="H17" s="1315"/>
      <c r="I17" s="1316">
        <f>ROUND(D17*E17*F17*G17/10000,0)</f>
        <v>0</v>
      </c>
    </row>
    <row r="18" spans="1:9" ht="14.25">
      <c r="A18" s="3264"/>
      <c r="B18" s="3265" t="s">
        <v>1107</v>
      </c>
      <c r="C18" s="3265"/>
      <c r="D18" s="1303"/>
      <c r="E18" s="1303"/>
      <c r="F18" s="1304"/>
      <c r="G18" s="1305"/>
      <c r="H18" s="1315"/>
      <c r="I18" s="1316">
        <f>ROUND(D18*E18*F18*G18/10000,0)</f>
        <v>0</v>
      </c>
    </row>
    <row r="19" spans="1:9" ht="14.25">
      <c r="A19" s="3264"/>
      <c r="B19" s="3265" t="s">
        <v>1108</v>
      </c>
      <c r="C19" s="3265"/>
      <c r="D19" s="1303"/>
      <c r="E19" s="1303"/>
      <c r="F19" s="1304"/>
      <c r="G19" s="1305"/>
      <c r="H19" s="1315"/>
      <c r="I19" s="1316">
        <f>ROUND(D19*E19*F19*G19/10000,0)</f>
        <v>0</v>
      </c>
    </row>
    <row r="20" spans="1:9">
      <c r="A20" s="3264"/>
      <c r="B20" s="3266" t="s">
        <v>1092</v>
      </c>
      <c r="C20" s="3266"/>
      <c r="D20" s="1307">
        <f>SUM(D17:D19)</f>
        <v>0</v>
      </c>
      <c r="E20" s="1307"/>
      <c r="F20" s="1308"/>
      <c r="G20" s="1305"/>
      <c r="H20" s="1312"/>
      <c r="I20" s="1313">
        <f>SUM(I17:I19)</f>
        <v>0</v>
      </c>
    </row>
    <row r="21" spans="1:9">
      <c r="A21" s="3264" t="s">
        <v>1109</v>
      </c>
      <c r="B21" s="3268"/>
      <c r="C21" s="3268"/>
      <c r="D21" s="3268"/>
      <c r="E21" s="3268"/>
      <c r="F21" s="3268"/>
      <c r="G21" s="3268"/>
      <c r="H21" s="1765">
        <v>0.1</v>
      </c>
      <c r="I21" s="1310">
        <f>ROUND(I10*H21,0)</f>
        <v>0</v>
      </c>
    </row>
    <row r="22" spans="1:9" ht="14.25">
      <c r="A22" s="3269" t="s">
        <v>1110</v>
      </c>
      <c r="B22" s="3270"/>
      <c r="C22" s="3271"/>
      <c r="D22" s="1317" t="s">
        <v>1111</v>
      </c>
      <c r="E22" s="1317" t="s">
        <v>1112</v>
      </c>
      <c r="F22" s="1318" t="s">
        <v>1113</v>
      </c>
      <c r="G22" s="1318" t="s">
        <v>1114</v>
      </c>
      <c r="H22" s="1311" t="s">
        <v>1115</v>
      </c>
      <c r="I22" s="1302" t="s">
        <v>1116</v>
      </c>
    </row>
    <row r="23" spans="1:9" ht="14.25" thickBot="1">
      <c r="A23" s="3272"/>
      <c r="B23" s="3273"/>
      <c r="C23" s="3274"/>
      <c r="D23" s="1319"/>
      <c r="E23" s="1319"/>
      <c r="F23" s="1319"/>
      <c r="G23" s="1320"/>
      <c r="H23" s="1321"/>
      <c r="I23" s="1322">
        <f>ROUND(E23*D23*F23*(1-G23)/10000,0)</f>
        <v>0</v>
      </c>
    </row>
    <row r="26" spans="1:9">
      <c r="A26" s="1323" t="s">
        <v>1117</v>
      </c>
      <c r="B26" s="1323"/>
      <c r="C26" s="1323"/>
      <c r="D26" s="1323"/>
      <c r="E26" s="3275">
        <f>C27-C30-C31-C32</f>
        <v>0</v>
      </c>
      <c r="F26" s="3275"/>
      <c r="G26" s="3275"/>
      <c r="H26" s="1737" t="s">
        <v>1340</v>
      </c>
    </row>
    <row r="27" spans="1:9">
      <c r="A27" s="1324">
        <v>1</v>
      </c>
      <c r="B27" s="1325" t="s">
        <v>1118</v>
      </c>
      <c r="C27" s="1325">
        <f>C28+C29</f>
        <v>0</v>
      </c>
      <c r="D27" s="1325"/>
      <c r="E27" s="3276"/>
      <c r="F27" s="3276"/>
      <c r="G27" s="3276"/>
    </row>
    <row r="28" spans="1:9">
      <c r="A28" s="1326" t="s">
        <v>1119</v>
      </c>
      <c r="B28" s="1325" t="s">
        <v>1120</v>
      </c>
      <c r="C28" s="1325"/>
      <c r="D28" s="1325"/>
      <c r="E28" s="3276"/>
      <c r="F28" s="3276"/>
      <c r="G28" s="327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7"/>
      <c r="F32" s="3267"/>
      <c r="G32" s="3267"/>
    </row>
    <row r="33" spans="1:7" hidden="1">
      <c r="A33" s="3277" t="s">
        <v>1129</v>
      </c>
      <c r="B33" s="3278"/>
      <c r="C33" s="3278"/>
      <c r="D33" s="3279"/>
      <c r="E33" s="3275"/>
      <c r="F33" s="3275"/>
      <c r="G33" s="3275"/>
    </row>
    <row r="34" spans="1:7" hidden="1">
      <c r="A34" s="1328">
        <v>1</v>
      </c>
      <c r="B34" s="1325" t="s">
        <v>1130</v>
      </c>
      <c r="C34" s="1325"/>
      <c r="D34" s="1325"/>
      <c r="E34" s="3276"/>
      <c r="F34" s="3276"/>
      <c r="G34" s="3276"/>
    </row>
    <row r="35" spans="1:7" hidden="1">
      <c r="A35" s="1328">
        <v>2</v>
      </c>
      <c r="B35" s="1325" t="s">
        <v>1131</v>
      </c>
      <c r="C35" s="1325"/>
      <c r="D35" s="1325"/>
      <c r="E35" s="3276"/>
      <c r="F35" s="3276"/>
      <c r="G35" s="3276"/>
    </row>
    <row r="36" spans="1:7" hidden="1">
      <c r="A36" s="1328">
        <v>3</v>
      </c>
      <c r="B36" s="1325" t="s">
        <v>1132</v>
      </c>
      <c r="C36" s="1325"/>
      <c r="D36" s="1325"/>
      <c r="E36" s="3276"/>
      <c r="F36" s="3276"/>
      <c r="G36" s="3276"/>
    </row>
    <row r="37" spans="1:7" hidden="1">
      <c r="A37" s="1328">
        <v>4</v>
      </c>
      <c r="B37" s="1325" t="s">
        <v>1133</v>
      </c>
      <c r="C37" s="1325"/>
      <c r="D37" s="1325"/>
      <c r="E37" s="3276"/>
      <c r="F37" s="3276"/>
      <c r="G37" s="3276"/>
    </row>
    <row r="38" spans="1:7" hidden="1">
      <c r="A38" s="3277" t="s">
        <v>1134</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估价对象为出让国有建设用地使用权及在建建筑物房地产，为所有。根据《国有土地使用证》[]，估价对象（分摊）出让国有建设用地使用权面积为42459.8平方米，建筑面积为123122.34平方米。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42459.8平方米，规划建筑面积为123122.34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2019年1月23日（评估专业人员实地查勘之日）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6" t="s">
        <v>2533</v>
      </c>
      <c r="C1" s="1634" t="s">
        <v>2534</v>
      </c>
      <c r="D1" s="1621"/>
      <c r="E1" s="2587"/>
      <c r="F1" s="2588" t="s">
        <v>2535</v>
      </c>
      <c r="G1" s="1631" t="s">
        <v>2536</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90"/>
      <c r="D2" s="1365" t="e">
        <f ca="1">SUMIF(INDIRECT("'"&amp;F2&amp;"'"&amp;"!A:A"),"承租人权益价值",INDIRECT("'"&amp;F2&amp;"'"&amp;"!c:c"))</f>
        <v>#REF!</v>
      </c>
      <c r="E2" s="2591" t="s">
        <v>2537</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2538</v>
      </c>
      <c r="D3" s="399">
        <f>IF(D1="",'数据-汇总表'!E3,SUMIF('数据-汇总表'!$C19:$C33,D1,'数据-汇总表'!$E19:$E33))</f>
        <v>123122.34</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2539</v>
      </c>
      <c r="B4" s="402"/>
      <c r="C4" s="3227" t="s">
        <v>2540</v>
      </c>
      <c r="D4" s="3228"/>
      <c r="E4" s="3229" t="s">
        <v>2541</v>
      </c>
      <c r="F4" s="3230"/>
      <c r="G4" s="3227" t="s">
        <v>2542</v>
      </c>
      <c r="H4" s="3228"/>
      <c r="I4" s="3227" t="s">
        <v>2543</v>
      </c>
      <c r="J4" s="3228"/>
      <c r="K4" s="2600" t="s">
        <v>2544</v>
      </c>
      <c r="L4" s="1130"/>
      <c r="M4" s="1131"/>
      <c r="N4" s="1131"/>
      <c r="O4" s="1131"/>
      <c r="P4" s="3231" t="s">
        <v>2545</v>
      </c>
      <c r="Q4" s="3232"/>
      <c r="R4" s="3214" t="s">
        <v>2541</v>
      </c>
      <c r="S4" s="3215"/>
      <c r="T4" s="3214" t="s">
        <v>2542</v>
      </c>
      <c r="U4" s="3215"/>
      <c r="V4" s="3239" t="s">
        <v>2543</v>
      </c>
      <c r="W4" s="3239"/>
      <c r="X4" s="1813"/>
      <c r="Y4" s="3214" t="s">
        <v>2545</v>
      </c>
      <c r="Z4" s="3215"/>
      <c r="AA4" s="3209" t="s">
        <v>2541</v>
      </c>
      <c r="AB4" s="3209" t="s">
        <v>2542</v>
      </c>
      <c r="AC4" s="3209" t="s">
        <v>2543</v>
      </c>
    </row>
    <row r="5" spans="1:29" ht="15">
      <c r="A5" s="404"/>
      <c r="B5" s="405"/>
      <c r="C5" s="3220" t="s">
        <v>2546</v>
      </c>
      <c r="D5" s="3221"/>
      <c r="E5" s="3218" t="s">
        <v>2547</v>
      </c>
      <c r="F5" s="3219"/>
      <c r="G5" s="3220" t="s">
        <v>2548</v>
      </c>
      <c r="H5" s="3221"/>
      <c r="I5" s="3220" t="s">
        <v>2549</v>
      </c>
      <c r="J5" s="3221"/>
      <c r="K5" s="2601"/>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2550</v>
      </c>
      <c r="D6" s="3223"/>
      <c r="E6" s="3224" t="s">
        <v>2550</v>
      </c>
      <c r="F6" s="3225"/>
      <c r="G6" s="3222" t="s">
        <v>2550</v>
      </c>
      <c r="H6" s="3223"/>
      <c r="I6" s="3222" t="s">
        <v>2550</v>
      </c>
      <c r="J6" s="3223"/>
      <c r="K6" s="2601" t="s">
        <v>2551</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2552</v>
      </c>
      <c r="B7" s="409"/>
      <c r="C7" s="410">
        <f>'数据-取费表'!B2</f>
        <v>43488</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12" t="s">
        <v>2553</v>
      </c>
      <c r="Q7" s="3240"/>
      <c r="R7" s="770" t="s">
        <v>23</v>
      </c>
      <c r="S7" s="771">
        <f t="shared" ref="S7:S15" si="0">F7</f>
        <v>0</v>
      </c>
      <c r="T7" s="770" t="s">
        <v>23</v>
      </c>
      <c r="U7" s="771">
        <f t="shared" ref="U7:U15" si="1">H7</f>
        <v>0</v>
      </c>
      <c r="V7" s="770" t="s">
        <v>23</v>
      </c>
      <c r="W7" s="771">
        <f t="shared" ref="W7:W15" si="2">J7</f>
        <v>0</v>
      </c>
      <c r="X7" s="772"/>
      <c r="Y7" s="3212" t="s">
        <v>2553</v>
      </c>
      <c r="Z7" s="3213"/>
      <c r="AA7" s="773" t="e">
        <f>D7/F7</f>
        <v>#DIV/0!</v>
      </c>
      <c r="AB7" s="773" t="e">
        <f>D7/H7</f>
        <v>#DIV/0!</v>
      </c>
      <c r="AC7" s="773" t="e">
        <f>D7/J7</f>
        <v>#DIV/0!</v>
      </c>
    </row>
    <row r="8" spans="1:29" s="117" customFormat="1" ht="15.75" thickBot="1">
      <c r="A8" s="408" t="s">
        <v>2554</v>
      </c>
      <c r="B8" s="409"/>
      <c r="C8" s="414" t="s">
        <v>2555</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12" t="s">
        <v>2556</v>
      </c>
      <c r="Q8" s="3213"/>
      <c r="R8" s="770" t="s">
        <v>23</v>
      </c>
      <c r="S8" s="771">
        <f t="shared" si="0"/>
        <v>0</v>
      </c>
      <c r="T8" s="770" t="s">
        <v>23</v>
      </c>
      <c r="U8" s="771">
        <f t="shared" si="1"/>
        <v>0</v>
      </c>
      <c r="V8" s="770" t="s">
        <v>23</v>
      </c>
      <c r="W8" s="771">
        <f t="shared" si="2"/>
        <v>0</v>
      </c>
      <c r="X8" s="772"/>
      <c r="Y8" s="3212" t="s">
        <v>2556</v>
      </c>
      <c r="Z8" s="3213"/>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50"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0"/>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0"/>
      <c r="Q11" s="1795" t="str">
        <f t="shared" si="6"/>
        <v>容积率</v>
      </c>
      <c r="R11" s="770" t="s">
        <v>21</v>
      </c>
      <c r="S11" s="771" t="e">
        <f t="shared" si="0"/>
        <v>#N/A</v>
      </c>
      <c r="T11" s="770" t="s">
        <v>21</v>
      </c>
      <c r="U11" s="771" t="e">
        <f t="shared" si="1"/>
        <v>#N/A</v>
      </c>
      <c r="V11" s="770" t="s">
        <v>21</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50"/>
      <c r="Q12" s="1795">
        <f t="shared" si="6"/>
        <v>111</v>
      </c>
      <c r="R12" s="770" t="s">
        <v>21</v>
      </c>
      <c r="S12" s="771">
        <f t="shared" si="0"/>
        <v>100</v>
      </c>
      <c r="T12" s="770" t="s">
        <v>21</v>
      </c>
      <c r="U12" s="771">
        <f t="shared" si="1"/>
        <v>100</v>
      </c>
      <c r="V12" s="770" t="s">
        <v>21</v>
      </c>
      <c r="W12" s="771">
        <f t="shared" si="2"/>
        <v>100</v>
      </c>
      <c r="X12" s="772"/>
      <c r="Y12" s="308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50"/>
      <c r="Q13" s="1795">
        <f t="shared" si="6"/>
        <v>111</v>
      </c>
      <c r="R13" s="770" t="s">
        <v>21</v>
      </c>
      <c r="S13" s="771">
        <f t="shared" si="0"/>
        <v>100</v>
      </c>
      <c r="T13" s="770" t="s">
        <v>21</v>
      </c>
      <c r="U13" s="771">
        <f t="shared" si="1"/>
        <v>100</v>
      </c>
      <c r="V13" s="770" t="s">
        <v>21</v>
      </c>
      <c r="W13" s="771">
        <f t="shared" si="2"/>
        <v>100</v>
      </c>
      <c r="X13" s="772"/>
      <c r="Y13" s="308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50"/>
      <c r="Q14" s="1795">
        <f t="shared" si="6"/>
        <v>111</v>
      </c>
      <c r="R14" s="770" t="s">
        <v>21</v>
      </c>
      <c r="S14" s="771">
        <f t="shared" si="0"/>
        <v>100</v>
      </c>
      <c r="T14" s="770" t="s">
        <v>21</v>
      </c>
      <c r="U14" s="771">
        <f t="shared" si="1"/>
        <v>100</v>
      </c>
      <c r="V14" s="770" t="s">
        <v>21</v>
      </c>
      <c r="W14" s="771">
        <f t="shared" si="2"/>
        <v>100</v>
      </c>
      <c r="X14" s="772"/>
      <c r="Y14" s="3086"/>
      <c r="Z14" s="55">
        <f t="shared" si="7"/>
        <v>111</v>
      </c>
      <c r="AA14" s="773">
        <f t="shared" si="3"/>
        <v>1</v>
      </c>
      <c r="AB14" s="773">
        <f t="shared" si="4"/>
        <v>1</v>
      </c>
      <c r="AC14" s="773">
        <f t="shared" si="5"/>
        <v>1</v>
      </c>
    </row>
    <row r="15" spans="1:29" ht="99.75">
      <c r="A15" s="440" t="s">
        <v>2563</v>
      </c>
      <c r="B15" s="69" t="s">
        <v>2090</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6" t="s">
        <v>2564</v>
      </c>
      <c r="Q15" s="1810" t="str">
        <f t="shared" si="6"/>
        <v>居住社区成熟度</v>
      </c>
      <c r="R15" s="774" t="s">
        <v>21</v>
      </c>
      <c r="S15" s="775">
        <f t="shared" si="0"/>
        <v>100</v>
      </c>
      <c r="T15" s="774" t="s">
        <v>21</v>
      </c>
      <c r="U15" s="775">
        <f t="shared" si="1"/>
        <v>100</v>
      </c>
      <c r="V15" s="774" t="s">
        <v>21</v>
      </c>
      <c r="W15" s="775">
        <f t="shared" si="2"/>
        <v>100</v>
      </c>
      <c r="X15" s="1813"/>
      <c r="Y15" s="3241" t="s">
        <v>2564</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87"/>
      <c r="Q16" s="1810"/>
      <c r="R16" s="774"/>
      <c r="S16" s="775"/>
      <c r="T16" s="774"/>
      <c r="U16" s="775"/>
      <c r="V16" s="774"/>
      <c r="W16" s="775"/>
      <c r="X16" s="1813"/>
      <c r="Y16" s="3242"/>
      <c r="Z16" s="1814"/>
      <c r="AA16" s="1811">
        <v>1</v>
      </c>
      <c r="AB16" s="1811">
        <v>1</v>
      </c>
      <c r="AC16" s="1811">
        <v>1</v>
      </c>
    </row>
    <row r="17" spans="1:29" ht="85.5">
      <c r="A17" s="428"/>
      <c r="B17" s="451" t="s">
        <v>2102</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7"/>
      <c r="Q17" s="1810" t="str">
        <f>B17</f>
        <v>交通便捷度</v>
      </c>
      <c r="R17" s="774" t="s">
        <v>21</v>
      </c>
      <c r="S17" s="775">
        <f>F17</f>
        <v>100</v>
      </c>
      <c r="T17" s="774" t="s">
        <v>21</v>
      </c>
      <c r="U17" s="775">
        <f>H17</f>
        <v>100</v>
      </c>
      <c r="V17" s="774" t="s">
        <v>21</v>
      </c>
      <c r="W17" s="775">
        <f>J17</f>
        <v>100</v>
      </c>
      <c r="X17" s="1813"/>
      <c r="Y17" s="3242"/>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87"/>
      <c r="Q18" s="1810"/>
      <c r="R18" s="774"/>
      <c r="S18" s="775"/>
      <c r="T18" s="774"/>
      <c r="U18" s="775"/>
      <c r="V18" s="774"/>
      <c r="W18" s="775"/>
      <c r="X18" s="1813"/>
      <c r="Y18" s="3242"/>
      <c r="Z18" s="1814"/>
      <c r="AA18" s="1811">
        <v>1</v>
      </c>
      <c r="AB18" s="1811">
        <v>1</v>
      </c>
      <c r="AC18" s="1811">
        <v>1</v>
      </c>
    </row>
    <row r="19" spans="1:29" ht="42.75">
      <c r="A19" s="428"/>
      <c r="B19" s="451" t="s">
        <v>2100</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7"/>
      <c r="Q19" s="1810" t="str">
        <f>B19</f>
        <v>公共配套设施</v>
      </c>
      <c r="R19" s="774" t="s">
        <v>21</v>
      </c>
      <c r="S19" s="775">
        <f>F19</f>
        <v>100</v>
      </c>
      <c r="T19" s="774" t="s">
        <v>21</v>
      </c>
      <c r="U19" s="775">
        <f>H19</f>
        <v>100</v>
      </c>
      <c r="V19" s="774" t="s">
        <v>21</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87"/>
      <c r="Q20" s="1810"/>
      <c r="R20" s="774"/>
      <c r="S20" s="775"/>
      <c r="T20" s="774"/>
      <c r="U20" s="775"/>
      <c r="V20" s="774"/>
      <c r="W20" s="775"/>
      <c r="X20" s="1813"/>
      <c r="Y20" s="3242"/>
      <c r="Z20" s="1814"/>
      <c r="AA20" s="1811">
        <v>1</v>
      </c>
      <c r="AB20" s="1811">
        <v>1</v>
      </c>
      <c r="AC20" s="1811">
        <v>1</v>
      </c>
    </row>
    <row r="21" spans="1:29" ht="28.5">
      <c r="A21" s="428"/>
      <c r="B21" s="1384" t="s">
        <v>2103</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7"/>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87"/>
      <c r="Q22" s="1810"/>
      <c r="R22" s="774"/>
      <c r="S22" s="775"/>
      <c r="T22" s="774"/>
      <c r="U22" s="775"/>
      <c r="V22" s="774"/>
      <c r="W22" s="775"/>
      <c r="X22" s="1813"/>
      <c r="Y22" s="3242"/>
      <c r="Z22" s="1814"/>
      <c r="AA22" s="1811">
        <v>1</v>
      </c>
      <c r="AB22" s="1811">
        <v>1</v>
      </c>
      <c r="AC22" s="1811">
        <v>1</v>
      </c>
    </row>
    <row r="23" spans="1:29" ht="57">
      <c r="A23" s="428"/>
      <c r="B23" s="451" t="s">
        <v>2107</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7"/>
      <c r="Q23" s="1810" t="str">
        <f>B23</f>
        <v>自然及人文环境</v>
      </c>
      <c r="R23" s="774" t="s">
        <v>21</v>
      </c>
      <c r="S23" s="775">
        <f>F23</f>
        <v>100</v>
      </c>
      <c r="T23" s="774" t="s">
        <v>21</v>
      </c>
      <c r="U23" s="775">
        <f>H23</f>
        <v>100</v>
      </c>
      <c r="V23" s="774" t="s">
        <v>21</v>
      </c>
      <c r="W23" s="775">
        <f>J23</f>
        <v>100</v>
      </c>
      <c r="X23" s="1813"/>
      <c r="Y23" s="3242"/>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87"/>
      <c r="Q24" s="1810"/>
      <c r="R24" s="774"/>
      <c r="S24" s="775"/>
      <c r="T24" s="774"/>
      <c r="U24" s="775"/>
      <c r="V24" s="774"/>
      <c r="W24" s="775"/>
      <c r="X24" s="1813"/>
      <c r="Y24" s="3242"/>
      <c r="Z24" s="1814"/>
      <c r="AA24" s="1811">
        <v>1</v>
      </c>
      <c r="AB24" s="1811">
        <v>1</v>
      </c>
      <c r="AC24" s="1811">
        <v>1</v>
      </c>
    </row>
    <row r="25" spans="1:29" ht="15">
      <c r="A25" s="428"/>
      <c r="B25" s="422" t="s">
        <v>2565</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8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2"/>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87"/>
      <c r="Q26" s="1810" t="str">
        <f t="shared" si="11"/>
        <v>朝向</v>
      </c>
      <c r="R26" s="774" t="s">
        <v>21</v>
      </c>
      <c r="S26" s="775">
        <f t="shared" si="12"/>
        <v>100</v>
      </c>
      <c r="T26" s="774" t="s">
        <v>21</v>
      </c>
      <c r="U26" s="775">
        <f t="shared" si="13"/>
        <v>100</v>
      </c>
      <c r="V26" s="774" t="s">
        <v>21</v>
      </c>
      <c r="W26" s="775">
        <f t="shared" si="14"/>
        <v>100</v>
      </c>
      <c r="X26" s="1813"/>
      <c r="Y26" s="324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87"/>
      <c r="Q27" s="1795">
        <f t="shared" si="11"/>
        <v>111</v>
      </c>
      <c r="R27" s="770" t="s">
        <v>21</v>
      </c>
      <c r="S27" s="771">
        <f t="shared" si="12"/>
        <v>100</v>
      </c>
      <c r="T27" s="770" t="s">
        <v>21</v>
      </c>
      <c r="U27" s="771">
        <f t="shared" si="13"/>
        <v>100</v>
      </c>
      <c r="V27" s="770" t="s">
        <v>21</v>
      </c>
      <c r="W27" s="771">
        <f t="shared" si="14"/>
        <v>100</v>
      </c>
      <c r="X27" s="772"/>
      <c r="Y27" s="324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87"/>
      <c r="Q28" s="1810">
        <f t="shared" si="11"/>
        <v>111</v>
      </c>
      <c r="R28" s="774" t="s">
        <v>21</v>
      </c>
      <c r="S28" s="775">
        <f t="shared" si="12"/>
        <v>100</v>
      </c>
      <c r="T28" s="774" t="s">
        <v>21</v>
      </c>
      <c r="U28" s="775">
        <f t="shared" si="13"/>
        <v>100</v>
      </c>
      <c r="V28" s="774" t="s">
        <v>21</v>
      </c>
      <c r="W28" s="775">
        <f t="shared" si="14"/>
        <v>100</v>
      </c>
      <c r="X28" s="1813"/>
      <c r="Y28" s="324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87"/>
      <c r="Q29" s="1810">
        <f t="shared" si="11"/>
        <v>111</v>
      </c>
      <c r="R29" s="774" t="s">
        <v>21</v>
      </c>
      <c r="S29" s="775">
        <f t="shared" si="12"/>
        <v>100</v>
      </c>
      <c r="T29" s="774" t="s">
        <v>21</v>
      </c>
      <c r="U29" s="775">
        <f t="shared" si="13"/>
        <v>100</v>
      </c>
      <c r="V29" s="774" t="s">
        <v>21</v>
      </c>
      <c r="W29" s="775">
        <f t="shared" si="14"/>
        <v>100</v>
      </c>
      <c r="X29" s="1813"/>
      <c r="Y29" s="324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87"/>
      <c r="Q30" s="1810">
        <f t="shared" si="11"/>
        <v>111</v>
      </c>
      <c r="R30" s="774" t="s">
        <v>21</v>
      </c>
      <c r="S30" s="775">
        <f t="shared" si="12"/>
        <v>100</v>
      </c>
      <c r="T30" s="774" t="s">
        <v>21</v>
      </c>
      <c r="U30" s="775">
        <f t="shared" si="13"/>
        <v>100</v>
      </c>
      <c r="V30" s="774" t="s">
        <v>21</v>
      </c>
      <c r="W30" s="775">
        <f t="shared" si="14"/>
        <v>100</v>
      </c>
      <c r="X30" s="1813"/>
      <c r="Y30" s="324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87"/>
      <c r="Q31" s="1810">
        <f t="shared" si="11"/>
        <v>111</v>
      </c>
      <c r="R31" s="774" t="s">
        <v>21</v>
      </c>
      <c r="S31" s="775">
        <f t="shared" si="12"/>
        <v>100</v>
      </c>
      <c r="T31" s="774" t="s">
        <v>21</v>
      </c>
      <c r="U31" s="775">
        <f t="shared" si="13"/>
        <v>100</v>
      </c>
      <c r="V31" s="774" t="s">
        <v>21</v>
      </c>
      <c r="W31" s="775">
        <f t="shared" si="14"/>
        <v>100</v>
      </c>
      <c r="X31" s="1813"/>
      <c r="Y31" s="3242"/>
      <c r="Z31" s="1814">
        <f t="shared" si="18"/>
        <v>111</v>
      </c>
      <c r="AA31" s="1811">
        <f t="shared" si="15"/>
        <v>1</v>
      </c>
      <c r="AB31" s="1811">
        <f t="shared" si="16"/>
        <v>1</v>
      </c>
      <c r="AC31" s="1811">
        <f t="shared" si="17"/>
        <v>1</v>
      </c>
    </row>
    <row r="32" spans="1:29" ht="15">
      <c r="A32" s="440" t="s">
        <v>2567</v>
      </c>
      <c r="B32" s="71" t="s">
        <v>2568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82" t="s">
        <v>2569</v>
      </c>
      <c r="Q32" s="1810" t="str">
        <f t="shared" si="11"/>
        <v>建筑类型</v>
      </c>
      <c r="R32" s="774" t="s">
        <v>21</v>
      </c>
      <c r="S32" s="775">
        <f t="shared" si="12"/>
        <v>100</v>
      </c>
      <c r="T32" s="774" t="s">
        <v>21</v>
      </c>
      <c r="U32" s="775">
        <f t="shared" si="13"/>
        <v>100</v>
      </c>
      <c r="V32" s="774" t="s">
        <v>21</v>
      </c>
      <c r="W32" s="775">
        <f t="shared" si="14"/>
        <v>100</v>
      </c>
      <c r="X32" s="1813"/>
      <c r="Y32" s="3244" t="s">
        <v>2569</v>
      </c>
      <c r="Z32" s="1814" t="str">
        <f t="shared" si="18"/>
        <v>建筑类型</v>
      </c>
      <c r="AA32" s="1811">
        <f t="shared" si="15"/>
        <v>1</v>
      </c>
      <c r="AB32" s="1811">
        <f t="shared" si="16"/>
        <v>1</v>
      </c>
      <c r="AC32" s="1811">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83"/>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1" t="e">
        <f t="shared" si="15"/>
        <v>#N/A</v>
      </c>
      <c r="AB33" s="1811" t="e">
        <f t="shared" si="16"/>
        <v>#N/A</v>
      </c>
      <c r="AC33" s="1811" t="e">
        <f t="shared" si="17"/>
        <v>#N/A</v>
      </c>
    </row>
    <row r="34" spans="1:29" ht="15">
      <c r="A34" s="472"/>
      <c r="B34" s="422" t="s">
        <v>2571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83"/>
      <c r="Q34" s="1810" t="str">
        <f t="shared" si="11"/>
        <v>建筑结构</v>
      </c>
      <c r="R34" s="774" t="s">
        <v>21</v>
      </c>
      <c r="S34" s="775">
        <f t="shared" si="12"/>
        <v>100</v>
      </c>
      <c r="T34" s="774" t="s">
        <v>21</v>
      </c>
      <c r="U34" s="775">
        <f t="shared" si="13"/>
        <v>100</v>
      </c>
      <c r="V34" s="774" t="s">
        <v>21</v>
      </c>
      <c r="W34" s="775">
        <f t="shared" si="14"/>
        <v>100</v>
      </c>
      <c r="X34" s="1813"/>
      <c r="Y34" s="3244"/>
      <c r="Z34" s="1814" t="str">
        <f t="shared" si="18"/>
        <v>建筑结构</v>
      </c>
      <c r="AA34" s="1811">
        <f t="shared" si="15"/>
        <v>1</v>
      </c>
      <c r="AB34" s="1811">
        <f t="shared" si="16"/>
        <v>1</v>
      </c>
      <c r="AC34" s="1811">
        <f t="shared" si="17"/>
        <v>1</v>
      </c>
    </row>
    <row r="35" spans="1:29" ht="15">
      <c r="A35" s="472"/>
      <c r="B35" s="422" t="s">
        <v>2572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83"/>
      <c r="Q35" s="1810" t="str">
        <f t="shared" si="11"/>
        <v>建筑品质</v>
      </c>
      <c r="R35" s="774" t="s">
        <v>21</v>
      </c>
      <c r="S35" s="775">
        <f t="shared" si="12"/>
        <v>100</v>
      </c>
      <c r="T35" s="774" t="s">
        <v>21</v>
      </c>
      <c r="U35" s="775">
        <f t="shared" si="13"/>
        <v>100</v>
      </c>
      <c r="V35" s="774" t="s">
        <v>21</v>
      </c>
      <c r="W35" s="775">
        <f t="shared" si="14"/>
        <v>100</v>
      </c>
      <c r="X35" s="1813"/>
      <c r="Y35" s="3244"/>
      <c r="Z35" s="1814" t="str">
        <f t="shared" si="18"/>
        <v>建筑品质</v>
      </c>
      <c r="AA35" s="1811">
        <f t="shared" si="15"/>
        <v>1</v>
      </c>
      <c r="AB35" s="1811">
        <f t="shared" si="16"/>
        <v>1</v>
      </c>
      <c r="AC35" s="1811">
        <f t="shared" si="17"/>
        <v>1</v>
      </c>
    </row>
    <row r="36" spans="1:29" ht="15">
      <c r="A36" s="472"/>
      <c r="B36" s="422" t="s">
        <v>2573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83"/>
      <c r="Q36" s="1810" t="str">
        <f t="shared" si="11"/>
        <v>公共部分装修</v>
      </c>
      <c r="R36" s="774" t="s">
        <v>21</v>
      </c>
      <c r="S36" s="775">
        <f t="shared" si="12"/>
        <v>100</v>
      </c>
      <c r="T36" s="774" t="s">
        <v>21</v>
      </c>
      <c r="U36" s="775">
        <f t="shared" si="13"/>
        <v>100</v>
      </c>
      <c r="V36" s="774" t="s">
        <v>21</v>
      </c>
      <c r="W36" s="775">
        <f t="shared" si="14"/>
        <v>100</v>
      </c>
      <c r="X36" s="1813"/>
      <c r="Y36" s="3244"/>
      <c r="Z36" s="1814" t="str">
        <f t="shared" si="18"/>
        <v>公共部分装修</v>
      </c>
      <c r="AA36" s="1811">
        <f t="shared" si="15"/>
        <v>1</v>
      </c>
      <c r="AB36" s="1811">
        <f t="shared" si="16"/>
        <v>1</v>
      </c>
      <c r="AC36" s="1811">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3"/>
      <c r="Q37" s="1795"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2575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83" t="s">
        <v>2569</v>
      </c>
      <c r="Q38" s="1810" t="str">
        <f t="shared" si="11"/>
        <v>物业管理</v>
      </c>
      <c r="R38" s="774" t="s">
        <v>21</v>
      </c>
      <c r="S38" s="775">
        <f t="shared" si="12"/>
        <v>100</v>
      </c>
      <c r="T38" s="774" t="s">
        <v>21</v>
      </c>
      <c r="U38" s="775">
        <f t="shared" si="13"/>
        <v>100</v>
      </c>
      <c r="V38" s="774" t="s">
        <v>21</v>
      </c>
      <c r="W38" s="775">
        <f t="shared" si="14"/>
        <v>100</v>
      </c>
      <c r="X38" s="1813"/>
      <c r="Y38" s="3244" t="s">
        <v>2569</v>
      </c>
      <c r="Z38" s="1814" t="str">
        <f t="shared" si="18"/>
        <v>物业管理</v>
      </c>
      <c r="AA38" s="1811">
        <f t="shared" si="15"/>
        <v>1</v>
      </c>
      <c r="AB38" s="1811">
        <f t="shared" si="16"/>
        <v>1</v>
      </c>
      <c r="AC38" s="1811">
        <f t="shared" si="17"/>
        <v>1</v>
      </c>
    </row>
    <row r="39" spans="1:29" ht="15">
      <c r="A39" s="472"/>
      <c r="B39" s="422" t="s">
        <v>2576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83"/>
      <c r="Q39" s="1810" t="str">
        <f t="shared" si="11"/>
        <v>市政基础设施</v>
      </c>
      <c r="R39" s="774" t="s">
        <v>21</v>
      </c>
      <c r="S39" s="775">
        <f t="shared" si="12"/>
        <v>100</v>
      </c>
      <c r="T39" s="774" t="s">
        <v>21</v>
      </c>
      <c r="U39" s="775">
        <f t="shared" si="13"/>
        <v>100</v>
      </c>
      <c r="V39" s="774" t="s">
        <v>21</v>
      </c>
      <c r="W39" s="775">
        <f t="shared" si="14"/>
        <v>100</v>
      </c>
      <c r="X39" s="1813"/>
      <c r="Y39" s="3244"/>
      <c r="Z39" s="1814" t="str">
        <f t="shared" si="18"/>
        <v>市政基础设施</v>
      </c>
      <c r="AA39" s="1811">
        <f t="shared" si="15"/>
        <v>1</v>
      </c>
      <c r="AB39" s="1811">
        <f t="shared" si="16"/>
        <v>1</v>
      </c>
      <c r="AC39" s="1811">
        <f t="shared" si="17"/>
        <v>1</v>
      </c>
    </row>
    <row r="40" spans="1:29" ht="15">
      <c r="A40" s="472"/>
      <c r="B40" s="422" t="s">
        <v>2577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83"/>
      <c r="Q40" s="1810" t="str">
        <f t="shared" si="11"/>
        <v>房型</v>
      </c>
      <c r="R40" s="774" t="s">
        <v>21</v>
      </c>
      <c r="S40" s="775">
        <f t="shared" si="12"/>
        <v>100</v>
      </c>
      <c r="T40" s="774" t="s">
        <v>21</v>
      </c>
      <c r="U40" s="775">
        <f t="shared" si="13"/>
        <v>100</v>
      </c>
      <c r="V40" s="774" t="s">
        <v>21</v>
      </c>
      <c r="W40" s="775">
        <f t="shared" si="14"/>
        <v>100</v>
      </c>
      <c r="X40" s="1813"/>
      <c r="Y40" s="3244"/>
      <c r="Z40" s="1814" t="str">
        <f t="shared" si="18"/>
        <v>房型</v>
      </c>
      <c r="AA40" s="1811">
        <f t="shared" si="15"/>
        <v>1</v>
      </c>
      <c r="AB40" s="1811">
        <f t="shared" si="16"/>
        <v>1</v>
      </c>
      <c r="AC40" s="1811">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83"/>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1">
        <f t="shared" si="15"/>
        <v>1</v>
      </c>
      <c r="AB41" s="1811">
        <f t="shared" si="16"/>
        <v>1</v>
      </c>
      <c r="AC41" s="1811">
        <f t="shared" si="17"/>
        <v>1</v>
      </c>
    </row>
    <row r="42" spans="1:29" ht="15">
      <c r="A42" s="472"/>
      <c r="B42" s="422" t="s">
        <v>2579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83"/>
      <c r="Q42" s="1810" t="str">
        <f t="shared" si="11"/>
        <v>内部装修</v>
      </c>
      <c r="R42" s="774" t="s">
        <v>21</v>
      </c>
      <c r="S42" s="775">
        <f t="shared" si="12"/>
        <v>100</v>
      </c>
      <c r="T42" s="774" t="s">
        <v>21</v>
      </c>
      <c r="U42" s="775">
        <f t="shared" si="13"/>
        <v>100</v>
      </c>
      <c r="V42" s="774" t="s">
        <v>21</v>
      </c>
      <c r="W42" s="775">
        <f t="shared" si="14"/>
        <v>100</v>
      </c>
      <c r="X42" s="1813"/>
      <c r="Y42" s="3244"/>
      <c r="Z42" s="1814" t="str">
        <f t="shared" si="18"/>
        <v>内部装修</v>
      </c>
      <c r="AA42" s="1811">
        <f t="shared" si="15"/>
        <v>1</v>
      </c>
      <c r="AB42" s="1811">
        <f t="shared" si="16"/>
        <v>1</v>
      </c>
      <c r="AC42" s="1811">
        <f t="shared" si="17"/>
        <v>1</v>
      </c>
    </row>
    <row r="43" spans="1:29" ht="15">
      <c r="A43" s="472"/>
      <c r="B43" s="422" t="s">
        <v>2580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83"/>
      <c r="Q43" s="1810" t="str">
        <f t="shared" si="11"/>
        <v>内部装修维护情况</v>
      </c>
      <c r="R43" s="774" t="s">
        <v>21</v>
      </c>
      <c r="S43" s="775">
        <f t="shared" si="12"/>
        <v>100</v>
      </c>
      <c r="T43" s="774" t="s">
        <v>21</v>
      </c>
      <c r="U43" s="775">
        <f t="shared" si="13"/>
        <v>100</v>
      </c>
      <c r="V43" s="774" t="s">
        <v>21</v>
      </c>
      <c r="W43" s="775">
        <f t="shared" si="14"/>
        <v>100</v>
      </c>
      <c r="X43" s="1813"/>
      <c r="Y43" s="324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83"/>
      <c r="Q44" s="1795">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83"/>
      <c r="Q45" s="1810">
        <f t="shared" si="11"/>
        <v>111</v>
      </c>
      <c r="R45" s="774" t="s">
        <v>21</v>
      </c>
      <c r="S45" s="775">
        <f t="shared" si="12"/>
        <v>100</v>
      </c>
      <c r="T45" s="774" t="s">
        <v>21</v>
      </c>
      <c r="U45" s="775">
        <f t="shared" si="13"/>
        <v>100</v>
      </c>
      <c r="V45" s="774" t="s">
        <v>21</v>
      </c>
      <c r="W45" s="775">
        <f t="shared" si="14"/>
        <v>100</v>
      </c>
      <c r="X45" s="1813"/>
      <c r="Y45" s="3244"/>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84"/>
      <c r="Q46" s="1810">
        <f t="shared" si="11"/>
        <v>111</v>
      </c>
      <c r="R46" s="774" t="s">
        <v>20</v>
      </c>
      <c r="S46" s="775">
        <f t="shared" si="12"/>
        <v>100</v>
      </c>
      <c r="T46" s="774" t="s">
        <v>20</v>
      </c>
      <c r="U46" s="775">
        <f t="shared" si="13"/>
        <v>100</v>
      </c>
      <c r="V46" s="774" t="s">
        <v>20</v>
      </c>
      <c r="W46" s="775">
        <f t="shared" si="14"/>
        <v>100</v>
      </c>
      <c r="X46" s="1813"/>
      <c r="Y46" s="3285"/>
      <c r="Z46" s="1814">
        <f t="shared" si="18"/>
        <v>111</v>
      </c>
      <c r="AA46" s="1811">
        <f t="shared" si="15"/>
        <v>1</v>
      </c>
      <c r="AB46" s="1811">
        <f t="shared" si="16"/>
        <v>1</v>
      </c>
      <c r="AC46" s="1811">
        <f t="shared" si="17"/>
        <v>1</v>
      </c>
    </row>
    <row r="47" spans="1:29" ht="15">
      <c r="A47" s="479" t="s">
        <v>2581</v>
      </c>
      <c r="B47" s="480"/>
      <c r="C47" s="1407" t="s">
        <v>19</v>
      </c>
      <c r="D47" s="1408"/>
      <c r="E47" s="1409"/>
      <c r="F47" s="1410"/>
      <c r="G47" s="1411"/>
      <c r="H47" s="1412"/>
      <c r="I47" s="1409"/>
      <c r="J47" s="1412"/>
      <c r="K47" s="2625"/>
      <c r="L47" s="1143"/>
      <c r="M47" s="1144"/>
      <c r="N47" s="1131"/>
      <c r="O47" s="1144"/>
      <c r="P47" s="3226" t="str">
        <f>A47</f>
        <v>成交单价（元/平方米）</v>
      </c>
      <c r="Q47" s="3226"/>
      <c r="R47" s="3281">
        <f>E47</f>
        <v>0</v>
      </c>
      <c r="S47" s="3281"/>
      <c r="T47" s="3281">
        <f>G47</f>
        <v>0</v>
      </c>
      <c r="U47" s="3281"/>
      <c r="V47" s="3281">
        <f>I47</f>
        <v>0</v>
      </c>
      <c r="W47" s="3281"/>
      <c r="X47" s="759"/>
      <c r="Y47" s="781"/>
      <c r="Z47" s="759"/>
      <c r="AA47" s="759"/>
      <c r="AB47" s="759"/>
      <c r="AC47" s="759"/>
    </row>
    <row r="48" spans="1:29" ht="15.75" thickBot="1">
      <c r="A48" s="486" t="s">
        <v>2582</v>
      </c>
      <c r="B48" s="487"/>
      <c r="C48" s="1413" t="e">
        <f>R49</f>
        <v>#DIV/0!</v>
      </c>
      <c r="D48" s="1414"/>
      <c r="E48" s="1415" t="e">
        <f>R48</f>
        <v>#DIV/0!</v>
      </c>
      <c r="F48" s="1415"/>
      <c r="G48" s="1413" t="e">
        <f>T48</f>
        <v>#DIV/0!</v>
      </c>
      <c r="H48" s="1414"/>
      <c r="I48" s="1415" t="e">
        <f>V48</f>
        <v>#DIV/0!</v>
      </c>
      <c r="J48" s="1414"/>
      <c r="K48" s="2626"/>
      <c r="L48" s="1143"/>
      <c r="M48" s="1144"/>
      <c r="N48" s="1144"/>
      <c r="O48" s="1144"/>
      <c r="P48" s="3226" t="str">
        <f>A48</f>
        <v>比较价值（元/平方米）</v>
      </c>
      <c r="Q48" s="3226"/>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2583</v>
      </c>
      <c r="B49" s="493"/>
      <c r="C49" s="1416" t="e">
        <f>R49</f>
        <v>#DIV/0!</v>
      </c>
      <c r="D49" s="1417"/>
      <c r="E49" s="1417"/>
      <c r="F49" s="1417"/>
      <c r="G49" s="1417"/>
      <c r="H49" s="1417"/>
      <c r="I49" s="1417"/>
      <c r="J49" s="1417"/>
      <c r="K49" s="2627"/>
      <c r="L49" s="1143"/>
      <c r="M49" s="1144"/>
      <c r="N49" s="1144"/>
      <c r="O49" s="1144"/>
      <c r="P49" s="3246" t="str">
        <f>A49</f>
        <v>估价对象XX用房的比较价值（楼面单价，元/平方米）</v>
      </c>
      <c r="Q49" s="3247"/>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2587</v>
      </c>
      <c r="B57" s="759"/>
      <c r="C57" s="764"/>
      <c r="D57" s="764"/>
      <c r="E57" s="764"/>
      <c r="F57" s="765"/>
      <c r="G57" s="765"/>
      <c r="H57" s="764"/>
      <c r="I57" s="764"/>
      <c r="J57" s="764"/>
      <c r="K57" s="1160"/>
      <c r="L57" s="1161"/>
      <c r="M57" s="1159"/>
      <c r="N57" s="1159"/>
      <c r="O57" s="1159"/>
      <c r="P57" s="2630"/>
      <c r="Q57" s="504"/>
    </row>
    <row r="58" spans="1:29" s="508" customFormat="1" ht="15">
      <c r="A58" s="505" t="s">
        <v>2588</v>
      </c>
      <c r="B58" s="506"/>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2590</v>
      </c>
      <c r="B61" s="510"/>
      <c r="C61" s="522" t="s">
        <v>2591</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2592</v>
      </c>
      <c r="B63" s="528" t="s">
        <v>2558</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2103</v>
      </c>
      <c r="C82" s="539" t="s">
        <v>2608</v>
      </c>
      <c r="D82" s="539" t="s">
        <v>2609</v>
      </c>
      <c r="E82" s="539" t="s">
        <v>2610</v>
      </c>
      <c r="F82" s="539" t="s">
        <v>2611</v>
      </c>
      <c r="G82" s="539" t="s">
        <v>2612</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2614</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2615</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2567</v>
      </c>
      <c r="B100" s="528" t="s">
        <v>2616</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2618</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2619</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2620</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2621</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2622</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2623</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2578</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2624</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2626</v>
      </c>
    </row>
    <row r="137" spans="1:17" ht="15">
      <c r="B137" s="2642" t="s">
        <v>2627</v>
      </c>
      <c r="C137" s="2643"/>
      <c r="D137" s="2643"/>
      <c r="E137" s="2643"/>
      <c r="F137" s="2643"/>
      <c r="G137" s="2644"/>
      <c r="H137" s="2645"/>
      <c r="I137" s="2646" t="s">
        <v>2628</v>
      </c>
      <c r="J137" s="2643"/>
      <c r="K137" s="2647"/>
    </row>
    <row r="138" spans="1:17" ht="15">
      <c r="B138" s="2648"/>
      <c r="C138" s="146" t="s">
        <v>2629</v>
      </c>
      <c r="D138" s="146" t="s">
        <v>2630</v>
      </c>
      <c r="E138" s="2649" t="s">
        <v>2631</v>
      </c>
      <c r="F138" s="2650" t="s">
        <v>2632</v>
      </c>
      <c r="G138" s="146" t="s">
        <v>2630</v>
      </c>
      <c r="H138" s="147" t="s">
        <v>2631</v>
      </c>
      <c r="I138" s="2651"/>
      <c r="J138" s="146" t="s">
        <v>2633</v>
      </c>
      <c r="K138" s="147" t="s">
        <v>2634</v>
      </c>
    </row>
    <row r="139" spans="1:17" ht="15">
      <c r="B139" s="1084">
        <v>6</v>
      </c>
      <c r="C139" s="1085">
        <v>96</v>
      </c>
      <c r="D139" s="2652" t="s">
        <v>2635</v>
      </c>
      <c r="E139" s="1086">
        <v>100</v>
      </c>
      <c r="F139" s="1087">
        <v>102.5</v>
      </c>
      <c r="G139" s="2652" t="s">
        <v>2635</v>
      </c>
      <c r="H139" s="1088">
        <v>105</v>
      </c>
      <c r="I139" s="2653" t="s">
        <v>2636</v>
      </c>
      <c r="J139" s="1085">
        <v>20</v>
      </c>
      <c r="K139" s="1089">
        <f>C145/(J139-2)</f>
        <v>4.0555555555555553E-3</v>
      </c>
    </row>
    <row r="140" spans="1:17" ht="15">
      <c r="B140" s="1090">
        <v>5</v>
      </c>
      <c r="C140" s="1091">
        <v>100</v>
      </c>
      <c r="D140" s="1091"/>
      <c r="E140" s="1092"/>
      <c r="F140" s="1093">
        <v>102</v>
      </c>
      <c r="G140" s="1091"/>
      <c r="H140" s="1094"/>
      <c r="I140" s="2654" t="s">
        <v>2637</v>
      </c>
      <c r="J140" s="315">
        <f>ROUNDUP((J139-1)/2,0)</f>
        <v>10</v>
      </c>
      <c r="K140" s="1095">
        <v>100</v>
      </c>
    </row>
    <row r="141" spans="1:17" ht="15">
      <c r="B141" s="1090">
        <v>4</v>
      </c>
      <c r="C141" s="1091">
        <v>102</v>
      </c>
      <c r="D141" s="1091"/>
      <c r="E141" s="1092"/>
      <c r="F141" s="1093">
        <v>101.5</v>
      </c>
      <c r="G141" s="1091"/>
      <c r="H141" s="1094"/>
      <c r="I141" s="2654" t="s">
        <v>2638</v>
      </c>
      <c r="J141" s="315">
        <v>1</v>
      </c>
      <c r="K141" s="1096">
        <f>ROUND(100+(J141-J140)*K139*100,1)</f>
        <v>96.4</v>
      </c>
    </row>
    <row r="142" spans="1:17" ht="15">
      <c r="B142" s="1090">
        <v>3</v>
      </c>
      <c r="C142" s="1091">
        <v>103</v>
      </c>
      <c r="D142" s="1091"/>
      <c r="E142" s="1092"/>
      <c r="F142" s="1093">
        <v>101</v>
      </c>
      <c r="G142" s="1091"/>
      <c r="H142" s="1094"/>
      <c r="I142" s="2654" t="s">
        <v>2639</v>
      </c>
      <c r="J142" s="315">
        <f>J139</f>
        <v>20</v>
      </c>
      <c r="K142" s="1097">
        <v>95</v>
      </c>
    </row>
    <row r="143" spans="1:17" ht="15">
      <c r="B143" s="1090">
        <v>2</v>
      </c>
      <c r="C143" s="1091">
        <v>100</v>
      </c>
      <c r="D143" s="1091"/>
      <c r="E143" s="1092"/>
      <c r="F143" s="1093">
        <v>100.5</v>
      </c>
      <c r="G143" s="1091"/>
      <c r="H143" s="1094"/>
      <c r="I143" s="2654" t="s">
        <v>2640</v>
      </c>
      <c r="J143" s="1091">
        <v>15</v>
      </c>
      <c r="K143" s="1096">
        <f>ROUND(100+(J143-J140)*K139*100,1)</f>
        <v>102</v>
      </c>
    </row>
    <row r="144" spans="1:17" ht="15">
      <c r="B144" s="1090">
        <v>1</v>
      </c>
      <c r="C144" s="1091">
        <v>98</v>
      </c>
      <c r="D144" s="2655" t="s">
        <v>2641</v>
      </c>
      <c r="E144" s="1092">
        <v>102</v>
      </c>
      <c r="F144" s="1098">
        <v>100</v>
      </c>
      <c r="G144" s="2655" t="s">
        <v>2641</v>
      </c>
      <c r="H144" s="1094">
        <v>105</v>
      </c>
      <c r="I144" s="2654" t="s">
        <v>2640</v>
      </c>
      <c r="J144" s="1091">
        <v>18</v>
      </c>
      <c r="K144" s="1096">
        <f>ROUND(100+(J144-J140)*K139*100,1)</f>
        <v>103.2</v>
      </c>
    </row>
    <row r="145" spans="2:11" ht="15.75" thickBot="1">
      <c r="B145" s="2656" t="s">
        <v>2642</v>
      </c>
      <c r="C145" s="1099">
        <f>ROUND(MAX(C139:C144)/MIN(C139:C144)-1,3)</f>
        <v>7.2999999999999995E-2</v>
      </c>
      <c r="D145" s="1100"/>
      <c r="E145" s="1100"/>
      <c r="F145" s="2657" t="s">
        <v>2643</v>
      </c>
      <c r="G145" s="2658"/>
      <c r="H145" s="2659"/>
      <c r="I145" s="2660" t="s">
        <v>2640</v>
      </c>
      <c r="J145" s="1101">
        <v>8</v>
      </c>
      <c r="K145" s="1102">
        <f>ROUND(100+(J145-J140)*K139*100,1)</f>
        <v>99.2</v>
      </c>
    </row>
    <row r="147" spans="2:11">
      <c r="B147" s="2641" t="s">
        <v>2644</v>
      </c>
    </row>
    <row r="148" spans="2:11">
      <c r="B148" s="2641"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20" sqref="M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6" t="s">
        <v>2646</v>
      </c>
      <c r="C1" s="1634" t="s">
        <v>2534</v>
      </c>
      <c r="D1" s="1621"/>
      <c r="E1" s="2661"/>
      <c r="F1" s="2588"/>
      <c r="G1" s="1631" t="s">
        <v>2647</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2334</v>
      </c>
      <c r="B2" s="1418" t="e">
        <f ca="1">IF(C2="——",ROUND(C49*D3/10000,0),ROUND(C49*D3/10000,0)-D2)</f>
        <v>#DIV/0!</v>
      </c>
      <c r="C2" s="2590"/>
      <c r="D2" s="1365" t="e">
        <f ca="1">SUMIF(INDIRECT("'"&amp;F2&amp;"'"&amp;"!A:A"),"承租人权益价值",INDIRECT("'"&amp;F2&amp;"'"&amp;"!c:c"))</f>
        <v>#REF!</v>
      </c>
      <c r="E2" s="2591" t="s">
        <v>2335</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2336</v>
      </c>
      <c r="B3" s="609" t="e">
        <f ca="1">IF(C2="——",C49,ROUND(B2*10000/D3,0))</f>
        <v>#DIV/0!</v>
      </c>
      <c r="C3" s="400" t="s">
        <v>2648</v>
      </c>
      <c r="D3" s="399">
        <f>IF(D1="",'数据-汇总表'!E3,SUMIF('数据-汇总表'!$C19:$C33,D1,'数据-汇总表'!$E19:$E33))</f>
        <v>123122.34</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39" t="s">
        <v>2652</v>
      </c>
      <c r="AC4" s="3209" t="s">
        <v>2653</v>
      </c>
    </row>
    <row r="5" spans="1:29"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39"/>
      <c r="AC5" s="3210"/>
    </row>
    <row r="6" spans="1:29" ht="15.75" thickBot="1">
      <c r="A6" s="406"/>
      <c r="B6" s="407"/>
      <c r="C6" s="3222" t="s">
        <v>2550</v>
      </c>
      <c r="D6" s="3223"/>
      <c r="E6" s="3224" t="s">
        <v>2550</v>
      </c>
      <c r="F6" s="3225"/>
      <c r="G6" s="3222" t="s">
        <v>2550</v>
      </c>
      <c r="H6" s="3223"/>
      <c r="I6" s="3222" t="s">
        <v>2550</v>
      </c>
      <c r="J6" s="3223"/>
      <c r="K6" s="610" t="s">
        <v>2551</v>
      </c>
      <c r="L6" s="1130"/>
      <c r="M6" s="1131"/>
      <c r="N6" s="1131"/>
      <c r="O6" s="1131"/>
      <c r="P6" s="3235"/>
      <c r="Q6" s="3236"/>
      <c r="R6" s="3216"/>
      <c r="S6" s="3217"/>
      <c r="T6" s="3237"/>
      <c r="U6" s="3238"/>
      <c r="V6" s="3239"/>
      <c r="W6" s="3239"/>
      <c r="X6" s="1813"/>
      <c r="Y6" s="3237"/>
      <c r="Z6" s="3238"/>
      <c r="AA6" s="3211"/>
      <c r="AB6" s="3239"/>
      <c r="AC6" s="3211"/>
    </row>
    <row r="7" spans="1:29" s="117" customFormat="1" ht="15.75" thickBot="1">
      <c r="A7" s="408" t="s">
        <v>2552</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2553</v>
      </c>
      <c r="Q7" s="3240"/>
      <c r="R7" s="770" t="s">
        <v>17</v>
      </c>
      <c r="S7" s="771">
        <f t="shared" ref="S7:S15" si="0">F7</f>
        <v>0</v>
      </c>
      <c r="T7" s="770" t="s">
        <v>17</v>
      </c>
      <c r="U7" s="771">
        <f t="shared" ref="U7:U15" si="1">H7</f>
        <v>0</v>
      </c>
      <c r="V7" s="770" t="s">
        <v>17</v>
      </c>
      <c r="W7" s="771">
        <f t="shared" ref="W7:W15" si="2">J7</f>
        <v>0</v>
      </c>
      <c r="X7" s="772"/>
      <c r="Y7" s="3212" t="s">
        <v>2553</v>
      </c>
      <c r="Z7" s="3213"/>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2556</v>
      </c>
      <c r="Q8" s="3213"/>
      <c r="R8" s="770" t="s">
        <v>17</v>
      </c>
      <c r="S8" s="771">
        <f t="shared" si="0"/>
        <v>0</v>
      </c>
      <c r="T8" s="770" t="s">
        <v>17</v>
      </c>
      <c r="U8" s="771">
        <f t="shared" si="1"/>
        <v>0</v>
      </c>
      <c r="V8" s="770" t="s">
        <v>17</v>
      </c>
      <c r="W8" s="771">
        <f t="shared" si="2"/>
        <v>0</v>
      </c>
      <c r="X8" s="772"/>
      <c r="Y8" s="3212" t="s">
        <v>2556</v>
      </c>
      <c r="Z8" s="3213"/>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0"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0"/>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0"/>
      <c r="Q11" s="1795"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0"/>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0"/>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0"/>
      <c r="Q14" s="1795">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71.25">
      <c r="A15" s="440" t="s">
        <v>2563</v>
      </c>
      <c r="B15" s="69" t="s">
        <v>2657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6" t="s">
        <v>2564</v>
      </c>
      <c r="Q15" s="1810" t="str">
        <f t="shared" si="6"/>
        <v>商业繁华度</v>
      </c>
      <c r="R15" s="774" t="s">
        <v>17</v>
      </c>
      <c r="S15" s="775">
        <f t="shared" si="0"/>
        <v>100</v>
      </c>
      <c r="T15" s="774" t="s">
        <v>17</v>
      </c>
      <c r="U15" s="775">
        <f t="shared" si="1"/>
        <v>100</v>
      </c>
      <c r="V15" s="774" t="s">
        <v>17</v>
      </c>
      <c r="W15" s="775">
        <f t="shared" si="2"/>
        <v>100</v>
      </c>
      <c r="X15" s="1813"/>
      <c r="Y15" s="3241"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87"/>
      <c r="Q16" s="1810"/>
      <c r="R16" s="774"/>
      <c r="S16" s="775"/>
      <c r="T16" s="774"/>
      <c r="U16" s="775"/>
      <c r="V16" s="774"/>
      <c r="W16" s="775"/>
      <c r="X16" s="1813"/>
      <c r="Y16" s="3242"/>
      <c r="Z16" s="1814"/>
      <c r="AA16" s="1811">
        <v>1</v>
      </c>
      <c r="AB16" s="1811">
        <v>1</v>
      </c>
      <c r="AC16" s="1811">
        <v>1</v>
      </c>
    </row>
    <row r="17" spans="1:29" ht="85.5">
      <c r="A17" s="428"/>
      <c r="B17" s="451" t="s">
        <v>2102</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7"/>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87"/>
      <c r="Q18" s="1810"/>
      <c r="R18" s="774"/>
      <c r="S18" s="775"/>
      <c r="T18" s="774"/>
      <c r="U18" s="775"/>
      <c r="V18" s="774"/>
      <c r="W18" s="775"/>
      <c r="X18" s="1813"/>
      <c r="Y18" s="3242"/>
      <c r="Z18" s="1814"/>
      <c r="AA18" s="1811">
        <v>1</v>
      </c>
      <c r="AB18" s="1811">
        <v>1</v>
      </c>
      <c r="AC18" s="1811">
        <v>1</v>
      </c>
    </row>
    <row r="19" spans="1:29" ht="42.75">
      <c r="A19" s="428"/>
      <c r="B19" s="451" t="s">
        <v>2658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7"/>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87"/>
      <c r="Q20" s="1810"/>
      <c r="R20" s="774"/>
      <c r="S20" s="775"/>
      <c r="T20" s="774"/>
      <c r="U20" s="775"/>
      <c r="V20" s="774"/>
      <c r="W20" s="775"/>
      <c r="X20" s="1813"/>
      <c r="Y20" s="3242"/>
      <c r="Z20" s="1814"/>
      <c r="AA20" s="1811">
        <v>1</v>
      </c>
      <c r="AB20" s="1811">
        <v>1</v>
      </c>
      <c r="AC20" s="1811">
        <v>1</v>
      </c>
    </row>
    <row r="21" spans="1:29" ht="28.5">
      <c r="A21" s="428"/>
      <c r="B21" s="1384" t="s">
        <v>2659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7"/>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87"/>
      <c r="Q22" s="1810"/>
      <c r="R22" s="774"/>
      <c r="S22" s="775"/>
      <c r="T22" s="774"/>
      <c r="U22" s="775"/>
      <c r="V22" s="774"/>
      <c r="W22" s="775"/>
      <c r="X22" s="1813"/>
      <c r="Y22" s="3242"/>
      <c r="Z22" s="1814"/>
      <c r="AA22" s="1811">
        <v>1</v>
      </c>
      <c r="AB22" s="1811">
        <v>1</v>
      </c>
      <c r="AC22" s="1811">
        <v>1</v>
      </c>
    </row>
    <row r="23" spans="1:29" ht="57">
      <c r="A23" s="428"/>
      <c r="B23" s="451" t="s">
        <v>2107</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7"/>
      <c r="Q23" s="1810" t="str">
        <f>B23</f>
        <v>自然及人文环境</v>
      </c>
      <c r="R23" s="774" t="s">
        <v>17</v>
      </c>
      <c r="S23" s="775">
        <f>F23</f>
        <v>100</v>
      </c>
      <c r="T23" s="774" t="s">
        <v>17</v>
      </c>
      <c r="U23" s="775">
        <f>H23</f>
        <v>100</v>
      </c>
      <c r="V23" s="774" t="s">
        <v>17</v>
      </c>
      <c r="W23" s="775">
        <f>J23</f>
        <v>100</v>
      </c>
      <c r="X23" s="1813"/>
      <c r="Y23" s="3242"/>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87"/>
      <c r="Q24" s="1810"/>
      <c r="R24" s="774"/>
      <c r="S24" s="775"/>
      <c r="T24" s="774"/>
      <c r="U24" s="775"/>
      <c r="V24" s="774"/>
      <c r="W24" s="775"/>
      <c r="X24" s="1813"/>
      <c r="Y24" s="3242"/>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7"/>
      <c r="Q25" s="1810" t="str">
        <f t="shared" ref="Q25:Q46" si="11">B25</f>
        <v>临街状况</v>
      </c>
      <c r="R25" s="774" t="s">
        <v>17</v>
      </c>
      <c r="S25" s="775">
        <f>F25</f>
        <v>100</v>
      </c>
      <c r="T25" s="774" t="s">
        <v>17</v>
      </c>
      <c r="U25" s="775">
        <f>H25</f>
        <v>100</v>
      </c>
      <c r="V25" s="774" t="s">
        <v>17</v>
      </c>
      <c r="W25" s="775">
        <f>J25</f>
        <v>100</v>
      </c>
      <c r="X25" s="1813"/>
      <c r="Y25" s="3242"/>
      <c r="Z25" s="1814" t="str">
        <f>Q25</f>
        <v>临街状况</v>
      </c>
      <c r="AA25" s="1811">
        <f t="shared" si="3"/>
        <v>1</v>
      </c>
      <c r="AB25" s="1811">
        <f t="shared" si="4"/>
        <v>1</v>
      </c>
      <c r="AC25" s="1811">
        <f t="shared" si="5"/>
        <v>1</v>
      </c>
    </row>
    <row r="26" spans="1:29" ht="15">
      <c r="A26" s="428"/>
      <c r="B26" s="1386" t="s">
        <v>2661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7"/>
      <c r="Q26" s="1810" t="str">
        <f t="shared" si="11"/>
        <v>平面位置/可视性</v>
      </c>
      <c r="R26" s="774" t="s">
        <v>17</v>
      </c>
      <c r="S26" s="775">
        <f>F26</f>
        <v>100</v>
      </c>
      <c r="T26" s="774" t="s">
        <v>17</v>
      </c>
      <c r="U26" s="775">
        <f>H26</f>
        <v>100</v>
      </c>
      <c r="V26" s="774" t="s">
        <v>17</v>
      </c>
      <c r="W26" s="775">
        <f>J26</f>
        <v>100</v>
      </c>
      <c r="X26" s="1813"/>
      <c r="Y26" s="3242"/>
      <c r="Z26" s="1814" t="str">
        <f>Q26</f>
        <v>平面位置/可视性</v>
      </c>
      <c r="AA26" s="1811">
        <f t="shared" si="3"/>
        <v>1</v>
      </c>
      <c r="AB26" s="1811">
        <f t="shared" si="4"/>
        <v>1</v>
      </c>
      <c r="AC26" s="1811">
        <f t="shared" si="5"/>
        <v>1</v>
      </c>
    </row>
    <row r="27" spans="1:29" s="117" customFormat="1" ht="15">
      <c r="A27" s="431"/>
      <c r="B27" s="451" t="s">
        <v>2662</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87"/>
      <c r="Q27" s="1795" t="str">
        <f t="shared" si="11"/>
        <v>人流量</v>
      </c>
      <c r="R27" s="770" t="s">
        <v>17</v>
      </c>
      <c r="S27" s="771">
        <f>F27</f>
        <v>100</v>
      </c>
      <c r="T27" s="770" t="s">
        <v>17</v>
      </c>
      <c r="U27" s="771">
        <f>H27</f>
        <v>100</v>
      </c>
      <c r="V27" s="770" t="s">
        <v>17</v>
      </c>
      <c r="W27" s="771">
        <f>J27</f>
        <v>100</v>
      </c>
      <c r="X27" s="772"/>
      <c r="Y27" s="3242"/>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7"/>
      <c r="Q29" s="1810">
        <f t="shared" si="11"/>
        <v>111</v>
      </c>
      <c r="R29" s="774" t="s">
        <v>17</v>
      </c>
      <c r="S29" s="775">
        <f t="shared" si="12"/>
        <v>100</v>
      </c>
      <c r="T29" s="774" t="s">
        <v>17</v>
      </c>
      <c r="U29" s="775">
        <f t="shared" si="13"/>
        <v>100</v>
      </c>
      <c r="V29" s="774" t="s">
        <v>17</v>
      </c>
      <c r="W29" s="775">
        <f t="shared" si="14"/>
        <v>100</v>
      </c>
      <c r="X29" s="1813"/>
      <c r="Y29" s="324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7"/>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7"/>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1811">
        <f t="shared" si="5"/>
        <v>1</v>
      </c>
    </row>
    <row r="32" spans="1:29" ht="15">
      <c r="A32" s="440" t="s">
        <v>2567</v>
      </c>
      <c r="B32" s="71" t="s">
        <v>2664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82" t="s">
        <v>2569</v>
      </c>
      <c r="Q32" s="1810" t="str">
        <f t="shared" si="11"/>
        <v>商业类型</v>
      </c>
      <c r="R32" s="774" t="s">
        <v>17</v>
      </c>
      <c r="S32" s="775">
        <f t="shared" si="12"/>
        <v>100</v>
      </c>
      <c r="T32" s="774" t="s">
        <v>17</v>
      </c>
      <c r="U32" s="775">
        <f t="shared" si="13"/>
        <v>100</v>
      </c>
      <c r="V32" s="774" t="s">
        <v>17</v>
      </c>
      <c r="W32" s="775">
        <f t="shared" si="14"/>
        <v>100</v>
      </c>
      <c r="X32" s="1813"/>
      <c r="Y32" s="3244" t="s">
        <v>2569</v>
      </c>
      <c r="Z32" s="1814" t="str">
        <f t="shared" si="15"/>
        <v>商业类型</v>
      </c>
      <c r="AA32" s="1811">
        <f t="shared" si="3"/>
        <v>1</v>
      </c>
      <c r="AB32" s="1811">
        <f t="shared" si="4"/>
        <v>1</v>
      </c>
      <c r="AC32" s="1811">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3"/>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1" t="e">
        <f t="shared" si="3"/>
        <v>#N/A</v>
      </c>
      <c r="AB33" s="1811" t="e">
        <f t="shared" si="4"/>
        <v>#N/A</v>
      </c>
      <c r="AC33" s="1811" t="e">
        <f t="shared" si="5"/>
        <v>#N/A</v>
      </c>
    </row>
    <row r="34" spans="1:29" ht="15">
      <c r="A34" s="472"/>
      <c r="B34" s="422" t="s">
        <v>2571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83"/>
      <c r="Q34" s="1810" t="str">
        <f t="shared" si="11"/>
        <v>建筑结构</v>
      </c>
      <c r="R34" s="774" t="s">
        <v>17</v>
      </c>
      <c r="S34" s="775">
        <f t="shared" si="12"/>
        <v>100</v>
      </c>
      <c r="T34" s="774" t="s">
        <v>17</v>
      </c>
      <c r="U34" s="775">
        <f t="shared" si="13"/>
        <v>100</v>
      </c>
      <c r="V34" s="774" t="s">
        <v>17</v>
      </c>
      <c r="W34" s="775">
        <f t="shared" si="14"/>
        <v>100</v>
      </c>
      <c r="X34" s="1813"/>
      <c r="Y34" s="3244"/>
      <c r="Z34" s="1814" t="str">
        <f t="shared" si="15"/>
        <v>建筑结构</v>
      </c>
      <c r="AA34" s="1811">
        <f t="shared" si="3"/>
        <v>1</v>
      </c>
      <c r="AB34" s="1811">
        <f t="shared" si="4"/>
        <v>1</v>
      </c>
      <c r="AC34" s="1811">
        <f t="shared" si="5"/>
        <v>1</v>
      </c>
    </row>
    <row r="35" spans="1:29" ht="15">
      <c r="A35" s="472"/>
      <c r="B35" s="422" t="s">
        <v>2665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83"/>
      <c r="Q35" s="1810" t="str">
        <f t="shared" si="11"/>
        <v>公共部分装修</v>
      </c>
      <c r="R35" s="774" t="s">
        <v>17</v>
      </c>
      <c r="S35" s="775">
        <f t="shared" si="12"/>
        <v>100</v>
      </c>
      <c r="T35" s="774" t="s">
        <v>17</v>
      </c>
      <c r="U35" s="775">
        <f t="shared" si="13"/>
        <v>100</v>
      </c>
      <c r="V35" s="774" t="s">
        <v>17</v>
      </c>
      <c r="W35" s="775">
        <f t="shared" si="14"/>
        <v>100</v>
      </c>
      <c r="X35" s="1813"/>
      <c r="Y35" s="3244"/>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3"/>
      <c r="Q36" s="1810" t="str">
        <f t="shared" si="11"/>
        <v>成新度</v>
      </c>
      <c r="R36" s="774" t="s">
        <v>17</v>
      </c>
      <c r="S36" s="775" t="e">
        <f t="shared" si="12"/>
        <v>#N/A</v>
      </c>
      <c r="T36" s="774" t="s">
        <v>17</v>
      </c>
      <c r="U36" s="775" t="e">
        <f t="shared" si="13"/>
        <v>#N/A</v>
      </c>
      <c r="V36" s="774" t="s">
        <v>17</v>
      </c>
      <c r="W36" s="775" t="e">
        <f t="shared" si="14"/>
        <v>#N/A</v>
      </c>
      <c r="X36" s="1813"/>
      <c r="Y36" s="3244"/>
      <c r="Z36" s="1814" t="str">
        <f t="shared" si="15"/>
        <v>成新度</v>
      </c>
      <c r="AA36" s="1811" t="e">
        <f t="shared" si="3"/>
        <v>#N/A</v>
      </c>
      <c r="AB36" s="1811" t="e">
        <f t="shared" si="4"/>
        <v>#N/A</v>
      </c>
      <c r="AC36" s="1811" t="e">
        <f t="shared" si="5"/>
        <v>#N/A</v>
      </c>
    </row>
    <row r="37" spans="1:29" s="117" customFormat="1" ht="15">
      <c r="A37" s="473"/>
      <c r="B37" s="422" t="s">
        <v>2667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83"/>
      <c r="Q37" s="1795"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83" t="s">
        <v>2569</v>
      </c>
      <c r="Q38" s="1810" t="str">
        <f t="shared" si="11"/>
        <v>业态</v>
      </c>
      <c r="R38" s="774" t="s">
        <v>17</v>
      </c>
      <c r="S38" s="775">
        <f t="shared" si="12"/>
        <v>100</v>
      </c>
      <c r="T38" s="774" t="s">
        <v>17</v>
      </c>
      <c r="U38" s="775">
        <f t="shared" si="13"/>
        <v>100</v>
      </c>
      <c r="V38" s="774" t="s">
        <v>17</v>
      </c>
      <c r="W38" s="775">
        <f t="shared" si="14"/>
        <v>100</v>
      </c>
      <c r="X38" s="1813"/>
      <c r="Y38" s="3244" t="s">
        <v>2569</v>
      </c>
      <c r="Z38" s="1814" t="str">
        <f t="shared" si="15"/>
        <v>业态</v>
      </c>
      <c r="AA38" s="1811">
        <f t="shared" si="3"/>
        <v>1</v>
      </c>
      <c r="AB38" s="1811">
        <f t="shared" si="4"/>
        <v>1</v>
      </c>
      <c r="AC38" s="1811">
        <f t="shared" si="5"/>
        <v>1</v>
      </c>
    </row>
    <row r="39" spans="1:29" ht="15">
      <c r="A39" s="472"/>
      <c r="B39" s="422" t="s">
        <v>2669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83"/>
      <c r="Q39" s="1810" t="str">
        <f t="shared" si="11"/>
        <v>层高</v>
      </c>
      <c r="R39" s="774" t="s">
        <v>17</v>
      </c>
      <c r="S39" s="775">
        <f t="shared" si="12"/>
        <v>100</v>
      </c>
      <c r="T39" s="774" t="s">
        <v>17</v>
      </c>
      <c r="U39" s="775">
        <f t="shared" si="13"/>
        <v>100</v>
      </c>
      <c r="V39" s="774" t="s">
        <v>17</v>
      </c>
      <c r="W39" s="775">
        <f t="shared" si="14"/>
        <v>100</v>
      </c>
      <c r="X39" s="1813"/>
      <c r="Y39" s="3244"/>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3"/>
      <c r="Q40" s="1810" t="str">
        <f t="shared" si="11"/>
        <v>单套建筑面积</v>
      </c>
      <c r="R40" s="774" t="s">
        <v>17</v>
      </c>
      <c r="S40" s="775">
        <f t="shared" si="12"/>
        <v>100</v>
      </c>
      <c r="T40" s="774" t="s">
        <v>17</v>
      </c>
      <c r="U40" s="775">
        <f t="shared" si="13"/>
        <v>100</v>
      </c>
      <c r="V40" s="774" t="s">
        <v>17</v>
      </c>
      <c r="W40" s="775">
        <f t="shared" si="14"/>
        <v>100</v>
      </c>
      <c r="X40" s="1813"/>
      <c r="Y40" s="3244"/>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3"/>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1">
        <f t="shared" si="3"/>
        <v>1</v>
      </c>
      <c r="AB41" s="1811">
        <f t="shared" si="4"/>
        <v>1</v>
      </c>
      <c r="AC41" s="1811">
        <f t="shared" si="5"/>
        <v>1</v>
      </c>
    </row>
    <row r="42" spans="1:29" ht="15">
      <c r="A42" s="472"/>
      <c r="B42" s="422" t="s">
        <v>2672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83"/>
      <c r="Q42" s="1810" t="str">
        <f t="shared" si="11"/>
        <v>内部装修</v>
      </c>
      <c r="R42" s="774" t="s">
        <v>17</v>
      </c>
      <c r="S42" s="775">
        <f t="shared" si="12"/>
        <v>100</v>
      </c>
      <c r="T42" s="774" t="s">
        <v>17</v>
      </c>
      <c r="U42" s="775">
        <f t="shared" si="13"/>
        <v>100</v>
      </c>
      <c r="V42" s="774" t="s">
        <v>17</v>
      </c>
      <c r="W42" s="775">
        <f t="shared" si="14"/>
        <v>100</v>
      </c>
      <c r="X42" s="1813"/>
      <c r="Y42" s="3244"/>
      <c r="Z42" s="1814" t="str">
        <f t="shared" si="15"/>
        <v>内部装修</v>
      </c>
      <c r="AA42" s="1811">
        <f t="shared" si="3"/>
        <v>1</v>
      </c>
      <c r="AB42" s="1811">
        <f t="shared" si="4"/>
        <v>1</v>
      </c>
      <c r="AC42" s="1811">
        <f t="shared" si="5"/>
        <v>1</v>
      </c>
    </row>
    <row r="43" spans="1:29" ht="15">
      <c r="A43" s="472"/>
      <c r="B43" s="422" t="s">
        <v>2580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83"/>
      <c r="Q43" s="1810" t="str">
        <f t="shared" si="11"/>
        <v>内部装修维护情况</v>
      </c>
      <c r="R43" s="774" t="s">
        <v>17</v>
      </c>
      <c r="S43" s="775">
        <f t="shared" si="12"/>
        <v>100</v>
      </c>
      <c r="T43" s="774" t="s">
        <v>17</v>
      </c>
      <c r="U43" s="775">
        <f t="shared" si="13"/>
        <v>100</v>
      </c>
      <c r="V43" s="774" t="s">
        <v>17</v>
      </c>
      <c r="W43" s="775">
        <f t="shared" si="14"/>
        <v>100</v>
      </c>
      <c r="X43" s="1813"/>
      <c r="Y43" s="324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3"/>
      <c r="Q44" s="1795">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3"/>
      <c r="Q45" s="1810">
        <f t="shared" si="11"/>
        <v>111</v>
      </c>
      <c r="R45" s="774" t="s">
        <v>17</v>
      </c>
      <c r="S45" s="775">
        <f t="shared" si="12"/>
        <v>100</v>
      </c>
      <c r="T45" s="774" t="s">
        <v>17</v>
      </c>
      <c r="U45" s="775">
        <f t="shared" si="13"/>
        <v>100</v>
      </c>
      <c r="V45" s="774" t="s">
        <v>17</v>
      </c>
      <c r="W45" s="775">
        <f t="shared" si="14"/>
        <v>100</v>
      </c>
      <c r="X45" s="1813"/>
      <c r="Y45" s="3244"/>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4"/>
      <c r="Q46" s="1810">
        <f t="shared" si="11"/>
        <v>111</v>
      </c>
      <c r="R46" s="774" t="s">
        <v>17</v>
      </c>
      <c r="S46" s="775">
        <f t="shared" si="12"/>
        <v>100</v>
      </c>
      <c r="T46" s="774" t="s">
        <v>17</v>
      </c>
      <c r="U46" s="775">
        <f t="shared" si="13"/>
        <v>100</v>
      </c>
      <c r="V46" s="774" t="s">
        <v>17</v>
      </c>
      <c r="W46" s="775">
        <f t="shared" si="14"/>
        <v>100</v>
      </c>
      <c r="X46" s="1813"/>
      <c r="Y46" s="3285"/>
      <c r="Z46" s="1814">
        <f t="shared" si="15"/>
        <v>111</v>
      </c>
      <c r="AA46" s="1811">
        <f t="shared" si="3"/>
        <v>1</v>
      </c>
      <c r="AB46" s="1811">
        <f t="shared" si="4"/>
        <v>1</v>
      </c>
      <c r="AC46" s="1811">
        <f t="shared" si="5"/>
        <v>1</v>
      </c>
    </row>
    <row r="47" spans="1:29" ht="15">
      <c r="A47" s="479" t="s">
        <v>2581</v>
      </c>
      <c r="B47" s="480"/>
      <c r="C47" s="1407" t="s">
        <v>1</v>
      </c>
      <c r="D47" s="1408"/>
      <c r="E47" s="1409"/>
      <c r="F47" s="1410"/>
      <c r="G47" s="1411"/>
      <c r="H47" s="1412"/>
      <c r="I47" s="1409"/>
      <c r="J47" s="1412"/>
      <c r="K47" s="783"/>
      <c r="L47" s="1143"/>
      <c r="M47" s="1144"/>
      <c r="N47" s="1131"/>
      <c r="O47" s="1144"/>
      <c r="P47" s="3226" t="str">
        <f>A47</f>
        <v>成交单价（元/平方米）</v>
      </c>
      <c r="Q47" s="3226"/>
      <c r="R47" s="3239">
        <f>E47</f>
        <v>0</v>
      </c>
      <c r="S47" s="3239"/>
      <c r="T47" s="3239">
        <f>G47</f>
        <v>0</v>
      </c>
      <c r="U47" s="3239"/>
      <c r="V47" s="3239">
        <f>I47</f>
        <v>0</v>
      </c>
      <c r="W47" s="3239"/>
      <c r="X47" s="759"/>
      <c r="Y47" s="781"/>
      <c r="Z47" s="759"/>
      <c r="AA47" s="759"/>
      <c r="AB47" s="759"/>
      <c r="AC47" s="759"/>
    </row>
    <row r="48" spans="1:29" ht="15.75" thickBot="1">
      <c r="A48" s="486" t="s">
        <v>2673</v>
      </c>
      <c r="B48" s="487"/>
      <c r="C48" s="1413" t="e">
        <f>R49</f>
        <v>#DIV/0!</v>
      </c>
      <c r="D48" s="1414"/>
      <c r="E48" s="1415" t="e">
        <f>R48</f>
        <v>#DIV/0!</v>
      </c>
      <c r="F48" s="1415"/>
      <c r="G48" s="1413" t="e">
        <f>T48</f>
        <v>#DIV/0!</v>
      </c>
      <c r="H48" s="1414"/>
      <c r="I48" s="1415" t="e">
        <f>V48</f>
        <v>#DIV/0!</v>
      </c>
      <c r="J48" s="1414"/>
      <c r="K48" s="784"/>
      <c r="L48" s="1143"/>
      <c r="M48" s="1144"/>
      <c r="N48" s="1131"/>
      <c r="O48" s="1144"/>
      <c r="P48" s="3226" t="str">
        <f>A48</f>
        <v>比较价值（元/平方米）</v>
      </c>
      <c r="Q48" s="3226"/>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2674</v>
      </c>
      <c r="B49" s="493"/>
      <c r="C49" s="1417" t="e">
        <f>R49</f>
        <v>#DIV/0!</v>
      </c>
      <c r="D49" s="1417"/>
      <c r="E49" s="1417"/>
      <c r="F49" s="1417"/>
      <c r="G49" s="1417"/>
      <c r="H49" s="1417"/>
      <c r="I49" s="1417"/>
      <c r="J49" s="1417"/>
      <c r="K49" s="785"/>
      <c r="L49" s="1143"/>
      <c r="M49" s="1144"/>
      <c r="N49" s="1131"/>
      <c r="O49" s="1144"/>
      <c r="P49" s="3246" t="str">
        <f>A49</f>
        <v>估价对象XX用房的比较价值（楼面单价，元/平方米）</v>
      </c>
      <c r="Q49" s="3247"/>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2552</v>
      </c>
      <c r="B58" s="506"/>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2554</v>
      </c>
      <c r="B61" s="510"/>
      <c r="C61" s="522" t="s">
        <v>2656</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2592</v>
      </c>
      <c r="B63" s="528" t="s">
        <v>2558</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2659</v>
      </c>
      <c r="C82" s="660" t="s">
        <v>2679</v>
      </c>
      <c r="D82" s="660" t="s">
        <v>2680</v>
      </c>
      <c r="E82" s="660" t="s">
        <v>2681</v>
      </c>
      <c r="F82" s="660" t="s">
        <v>2682</v>
      </c>
      <c r="G82" s="660" t="s">
        <v>2683</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2684</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2567</v>
      </c>
      <c r="B100" s="528" t="s">
        <v>2685</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2618</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2620</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2622</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2686</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2687</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2688</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2689</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2624</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0" sqref="M2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3" t="s">
        <v>2690</v>
      </c>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IF(C2="——",ROUND(C50*D3/10000,0),ROUND(C50*D3/10000,0)-D2)</f>
        <v>#DIV/0!</v>
      </c>
      <c r="C2" s="2590"/>
      <c r="D2" s="1365" t="e">
        <f ca="1">SUMIF(INDIRECT("'"&amp;F2&amp;"'"&amp;"!A:A"),"承租人权益价值",INDIRECT("'"&amp;F2&amp;"'"&amp;"!c:c"))</f>
        <v>#REF!</v>
      </c>
      <c r="E2" s="2591" t="s">
        <v>2335</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2648</v>
      </c>
      <c r="D3" s="399">
        <f>IF(D1="",'数据-汇总表'!E3,SUMIF('数据-汇总表'!$C19:$C33,D1,'数据-汇总表'!$E19:$E33))</f>
        <v>123122.34</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94" t="s">
        <v>2655</v>
      </c>
      <c r="Q4" s="3295"/>
      <c r="R4" s="3289" t="s">
        <v>2651</v>
      </c>
      <c r="S4" s="3290"/>
      <c r="T4" s="3289" t="s">
        <v>2652</v>
      </c>
      <c r="U4" s="3290"/>
      <c r="V4" s="3298" t="s">
        <v>2653</v>
      </c>
      <c r="W4" s="3298"/>
      <c r="X4" s="2674"/>
      <c r="Y4" s="3289" t="s">
        <v>2655</v>
      </c>
      <c r="Z4" s="3290"/>
      <c r="AA4" s="3288" t="s">
        <v>2651</v>
      </c>
      <c r="AB4" s="3288" t="s">
        <v>2652</v>
      </c>
      <c r="AC4" s="3291" t="s">
        <v>2653</v>
      </c>
    </row>
    <row r="5" spans="1:29" ht="15">
      <c r="A5" s="404"/>
      <c r="B5" s="405"/>
      <c r="C5" s="3220" t="s">
        <v>2546</v>
      </c>
      <c r="D5" s="3221"/>
      <c r="E5" s="3218" t="s">
        <v>2547</v>
      </c>
      <c r="F5" s="3219"/>
      <c r="G5" s="3220" t="s">
        <v>2548</v>
      </c>
      <c r="H5" s="3221"/>
      <c r="I5" s="3220" t="s">
        <v>2549</v>
      </c>
      <c r="J5" s="3221"/>
      <c r="K5" s="610"/>
      <c r="L5" s="1130"/>
      <c r="M5" s="1131"/>
      <c r="N5" s="1131"/>
      <c r="O5" s="1131"/>
      <c r="P5" s="3296"/>
      <c r="Q5" s="3234"/>
      <c r="R5" s="3216"/>
      <c r="S5" s="3217"/>
      <c r="T5" s="3216"/>
      <c r="U5" s="3217"/>
      <c r="V5" s="3239"/>
      <c r="W5" s="3239"/>
      <c r="X5" s="1813"/>
      <c r="Y5" s="3216"/>
      <c r="Z5" s="3217"/>
      <c r="AA5" s="3210"/>
      <c r="AB5" s="3210"/>
      <c r="AC5" s="3292"/>
    </row>
    <row r="6" spans="1:29" ht="15.75" thickBot="1">
      <c r="A6" s="406"/>
      <c r="B6" s="407"/>
      <c r="C6" s="3222" t="s">
        <v>2550</v>
      </c>
      <c r="D6" s="3223"/>
      <c r="E6" s="3224" t="s">
        <v>2550</v>
      </c>
      <c r="F6" s="3225"/>
      <c r="G6" s="3222" t="s">
        <v>2550</v>
      </c>
      <c r="H6" s="3223"/>
      <c r="I6" s="3222" t="s">
        <v>2550</v>
      </c>
      <c r="J6" s="3223"/>
      <c r="K6" s="610" t="s">
        <v>2551</v>
      </c>
      <c r="L6" s="1130"/>
      <c r="M6" s="1131"/>
      <c r="N6" s="1131"/>
      <c r="O6" s="1131"/>
      <c r="P6" s="3297"/>
      <c r="Q6" s="3236"/>
      <c r="R6" s="3216"/>
      <c r="S6" s="3217"/>
      <c r="T6" s="3237"/>
      <c r="U6" s="3238"/>
      <c r="V6" s="3239"/>
      <c r="W6" s="3239"/>
      <c r="X6" s="1813"/>
      <c r="Y6" s="3237"/>
      <c r="Z6" s="3238"/>
      <c r="AA6" s="3211"/>
      <c r="AB6" s="3211"/>
      <c r="AC6" s="3293"/>
    </row>
    <row r="7" spans="1:29" s="117" customFormat="1" ht="15.75" thickBot="1">
      <c r="A7" s="408" t="s">
        <v>2552</v>
      </c>
      <c r="B7" s="409"/>
      <c r="C7" s="410">
        <f>'数据-取费表'!B2</f>
        <v>43488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9" t="s">
        <v>2553</v>
      </c>
      <c r="Q7" s="3240"/>
      <c r="R7" s="770" t="s">
        <v>17</v>
      </c>
      <c r="S7" s="771">
        <f t="shared" ref="S7:S15" si="0">F7</f>
        <v>0</v>
      </c>
      <c r="T7" s="770" t="s">
        <v>17</v>
      </c>
      <c r="U7" s="771">
        <f t="shared" ref="U7:U15" si="1">H7</f>
        <v>0</v>
      </c>
      <c r="V7" s="770" t="s">
        <v>17</v>
      </c>
      <c r="W7" s="771">
        <f t="shared" ref="W7:W15" si="2">J7</f>
        <v>0</v>
      </c>
      <c r="X7" s="772"/>
      <c r="Y7" s="3212" t="s">
        <v>2553</v>
      </c>
      <c r="Z7" s="3213"/>
      <c r="AA7" s="773" t="e">
        <f>D7/F7</f>
        <v>#DIV/0!</v>
      </c>
      <c r="AB7" s="773" t="e">
        <f>D7/H7</f>
        <v>#DIV/0!</v>
      </c>
      <c r="AC7" s="2675"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9" t="s">
        <v>2556</v>
      </c>
      <c r="Q8" s="3213"/>
      <c r="R8" s="770" t="s">
        <v>17</v>
      </c>
      <c r="S8" s="771">
        <f t="shared" si="0"/>
        <v>0</v>
      </c>
      <c r="T8" s="770" t="s">
        <v>17</v>
      </c>
      <c r="U8" s="771">
        <f t="shared" si="1"/>
        <v>0</v>
      </c>
      <c r="V8" s="770" t="s">
        <v>17</v>
      </c>
      <c r="W8" s="771">
        <f t="shared" si="2"/>
        <v>0</v>
      </c>
      <c r="X8" s="772"/>
      <c r="Y8" s="3212" t="s">
        <v>2556</v>
      </c>
      <c r="Z8" s="3213"/>
      <c r="AA8" s="773" t="e">
        <f t="shared" ref="AA8:AA47" si="3">D8/F8</f>
        <v>#DIV/0!</v>
      </c>
      <c r="AB8" s="773" t="e">
        <f t="shared" ref="AB8:AB47" si="4">D8/H8</f>
        <v>#DIV/0!</v>
      </c>
      <c r="AC8" s="2675"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0"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2675">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0"/>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2675">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0"/>
      <c r="Q11" s="1795"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50"/>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50"/>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50"/>
      <c r="Q14" s="1795">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6" t="s">
        <v>2564</v>
      </c>
      <c r="Q15" s="1810" t="str">
        <f t="shared" si="6"/>
        <v>办公集聚程度</v>
      </c>
      <c r="R15" s="774" t="s">
        <v>17</v>
      </c>
      <c r="S15" s="775">
        <f t="shared" si="0"/>
        <v>100</v>
      </c>
      <c r="T15" s="774" t="s">
        <v>17</v>
      </c>
      <c r="U15" s="775">
        <f t="shared" si="1"/>
        <v>100</v>
      </c>
      <c r="V15" s="774" t="s">
        <v>17</v>
      </c>
      <c r="W15" s="775">
        <f t="shared" si="2"/>
        <v>100</v>
      </c>
      <c r="X15" s="1813"/>
      <c r="Y15" s="3241" t="s">
        <v>2564</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87"/>
      <c r="Q16" s="1810"/>
      <c r="R16" s="774"/>
      <c r="S16" s="775"/>
      <c r="T16" s="774"/>
      <c r="U16" s="775"/>
      <c r="V16" s="774"/>
      <c r="W16" s="775"/>
      <c r="X16" s="1813"/>
      <c r="Y16" s="3242"/>
      <c r="Z16" s="1814"/>
      <c r="AA16" s="1811">
        <v>1</v>
      </c>
      <c r="AB16" s="1811">
        <v>1</v>
      </c>
      <c r="AC16" s="2678">
        <v>1</v>
      </c>
    </row>
    <row r="17" spans="1:29" ht="71.25">
      <c r="A17" s="428"/>
      <c r="B17" s="631" t="s">
        <v>2102</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7"/>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87"/>
      <c r="Q18" s="1810"/>
      <c r="R18" s="774"/>
      <c r="S18" s="775"/>
      <c r="T18" s="774"/>
      <c r="U18" s="775"/>
      <c r="V18" s="774"/>
      <c r="W18" s="775"/>
      <c r="X18" s="1813"/>
      <c r="Y18" s="3242"/>
      <c r="Z18" s="1814"/>
      <c r="AA18" s="1811">
        <v>1</v>
      </c>
      <c r="AB18" s="1811">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7"/>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87"/>
      <c r="Q20" s="1810"/>
      <c r="R20" s="774"/>
      <c r="S20" s="775"/>
      <c r="T20" s="774"/>
      <c r="U20" s="775"/>
      <c r="V20" s="774"/>
      <c r="W20" s="775"/>
      <c r="X20" s="1813"/>
      <c r="Y20" s="3242"/>
      <c r="Z20" s="1814"/>
      <c r="AA20" s="1811">
        <v>1</v>
      </c>
      <c r="AB20" s="1811">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7"/>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87"/>
      <c r="Q22" s="1810"/>
      <c r="R22" s="774"/>
      <c r="S22" s="775"/>
      <c r="T22" s="774"/>
      <c r="U22" s="775"/>
      <c r="V22" s="774"/>
      <c r="W22" s="775"/>
      <c r="X22" s="1813"/>
      <c r="Y22" s="3242"/>
      <c r="Z22" s="1814"/>
      <c r="AA22" s="1811">
        <v>1</v>
      </c>
      <c r="AB22" s="1811">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7"/>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87"/>
      <c r="Q24" s="1810"/>
      <c r="R24" s="774"/>
      <c r="S24" s="775"/>
      <c r="T24" s="774"/>
      <c r="U24" s="775"/>
      <c r="V24" s="774"/>
      <c r="W24" s="775"/>
      <c r="X24" s="1813"/>
      <c r="Y24" s="3242"/>
      <c r="Z24" s="1814"/>
      <c r="AA24" s="1811">
        <v>1</v>
      </c>
      <c r="AB24" s="1811">
        <v>1</v>
      </c>
      <c r="AC24" s="2678">
        <v>1</v>
      </c>
    </row>
    <row r="25" spans="1:29" ht="27">
      <c r="A25" s="404"/>
      <c r="B25" s="631" t="s">
        <v>2695</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87"/>
      <c r="Q25" s="1810" t="str">
        <f>B25</f>
        <v>毗邻道路的类型与等级</v>
      </c>
      <c r="R25" s="774" t="s">
        <v>17</v>
      </c>
      <c r="S25" s="775">
        <f>F25</f>
        <v>100</v>
      </c>
      <c r="T25" s="774" t="s">
        <v>17</v>
      </c>
      <c r="U25" s="775">
        <f>H25</f>
        <v>100</v>
      </c>
      <c r="V25" s="774" t="s">
        <v>17</v>
      </c>
      <c r="W25" s="775">
        <f>J25</f>
        <v>100</v>
      </c>
      <c r="X25" s="1813"/>
      <c r="Y25" s="3242"/>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87"/>
      <c r="Q26" s="1810"/>
      <c r="R26" s="774"/>
      <c r="S26" s="775"/>
      <c r="T26" s="774"/>
      <c r="U26" s="775"/>
      <c r="V26" s="774"/>
      <c r="W26" s="775"/>
      <c r="X26" s="1813"/>
      <c r="Y26" s="3242"/>
      <c r="Z26" s="1814"/>
      <c r="AA26" s="1811">
        <v>1</v>
      </c>
      <c r="AB26" s="1811">
        <v>1</v>
      </c>
      <c r="AC26" s="2678">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7"/>
      <c r="Q27" s="1810" t="str">
        <f t="shared" ref="Q27:Q47" si="11">B27</f>
        <v>楼层</v>
      </c>
      <c r="R27" s="774" t="s">
        <v>17</v>
      </c>
      <c r="S27" s="775">
        <f>F27</f>
        <v>100</v>
      </c>
      <c r="T27" s="774" t="s">
        <v>17</v>
      </c>
      <c r="U27" s="775">
        <f>H27</f>
        <v>100</v>
      </c>
      <c r="V27" s="774" t="s">
        <v>17</v>
      </c>
      <c r="W27" s="775">
        <f>J27</f>
        <v>100</v>
      </c>
      <c r="X27" s="1813"/>
      <c r="Y27" s="3242"/>
      <c r="Z27" s="1814" t="str">
        <f>Q27</f>
        <v>楼层</v>
      </c>
      <c r="AA27" s="1811">
        <f t="shared" si="3"/>
        <v>1</v>
      </c>
      <c r="AB27" s="1811">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87"/>
      <c r="Q28" s="1795" t="str">
        <f t="shared" si="11"/>
        <v>朝向</v>
      </c>
      <c r="R28" s="770" t="s">
        <v>17</v>
      </c>
      <c r="S28" s="771">
        <f>F28</f>
        <v>100</v>
      </c>
      <c r="T28" s="770" t="s">
        <v>17</v>
      </c>
      <c r="U28" s="771">
        <f>H28</f>
        <v>100</v>
      </c>
      <c r="V28" s="770" t="s">
        <v>17</v>
      </c>
      <c r="W28" s="771">
        <f>J28</f>
        <v>100</v>
      </c>
      <c r="X28" s="772"/>
      <c r="Y28" s="3242"/>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87"/>
      <c r="Q29" s="1810">
        <f t="shared" si="11"/>
        <v>111</v>
      </c>
      <c r="R29" s="774" t="s">
        <v>17</v>
      </c>
      <c r="S29" s="775">
        <f t="shared" ref="S29:S47" si="12">F29</f>
        <v>100</v>
      </c>
      <c r="T29" s="774" t="s">
        <v>17</v>
      </c>
      <c r="U29" s="775">
        <f t="shared" ref="U29:U47" si="13">H29</f>
        <v>100</v>
      </c>
      <c r="V29" s="774" t="s">
        <v>17</v>
      </c>
      <c r="W29" s="775">
        <f t="shared" ref="W29:W47" si="14">J29</f>
        <v>100</v>
      </c>
      <c r="X29" s="1813"/>
      <c r="Y29" s="3242"/>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87"/>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87"/>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87"/>
      <c r="Q32" s="1810">
        <f t="shared" si="11"/>
        <v>111</v>
      </c>
      <c r="R32" s="774" t="s">
        <v>17</v>
      </c>
      <c r="S32" s="775">
        <f t="shared" si="12"/>
        <v>100</v>
      </c>
      <c r="T32" s="774" t="s">
        <v>17</v>
      </c>
      <c r="U32" s="775">
        <f t="shared" si="13"/>
        <v>100</v>
      </c>
      <c r="V32" s="774" t="s">
        <v>17</v>
      </c>
      <c r="W32" s="775">
        <f t="shared" si="14"/>
        <v>100</v>
      </c>
      <c r="X32" s="1813"/>
      <c r="Y32" s="3242"/>
      <c r="Z32" s="1814">
        <f t="shared" si="15"/>
        <v>111</v>
      </c>
      <c r="AA32" s="1811">
        <f t="shared" si="3"/>
        <v>1</v>
      </c>
      <c r="AB32" s="1811">
        <f t="shared" si="4"/>
        <v>1</v>
      </c>
      <c r="AC32" s="2678">
        <f t="shared" si="5"/>
        <v>1</v>
      </c>
    </row>
    <row r="33" spans="1:29" ht="15">
      <c r="A33" s="440" t="s">
        <v>2567</v>
      </c>
      <c r="B33" s="71" t="s">
        <v>2697</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82" t="s">
        <v>2569</v>
      </c>
      <c r="Q33" s="1810" t="str">
        <f t="shared" si="11"/>
        <v>建筑类型</v>
      </c>
      <c r="R33" s="774" t="s">
        <v>17</v>
      </c>
      <c r="S33" s="775">
        <f t="shared" si="12"/>
        <v>100</v>
      </c>
      <c r="T33" s="774" t="s">
        <v>17</v>
      </c>
      <c r="U33" s="775">
        <f t="shared" si="13"/>
        <v>100</v>
      </c>
      <c r="V33" s="774" t="s">
        <v>17</v>
      </c>
      <c r="W33" s="775">
        <f t="shared" si="14"/>
        <v>100</v>
      </c>
      <c r="X33" s="1813"/>
      <c r="Y33" s="3244" t="s">
        <v>2569</v>
      </c>
      <c r="Z33" s="1814" t="str">
        <f t="shared" si="15"/>
        <v>建筑类型</v>
      </c>
      <c r="AA33" s="1811">
        <f t="shared" si="3"/>
        <v>1</v>
      </c>
      <c r="AB33" s="1811">
        <f t="shared" si="4"/>
        <v>1</v>
      </c>
      <c r="AC33" s="2678">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3"/>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1" t="e">
        <f t="shared" si="3"/>
        <v>#N/A</v>
      </c>
      <c r="AB34" s="1811" t="e">
        <f t="shared" si="4"/>
        <v>#N/A</v>
      </c>
      <c r="AC34" s="2678"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3"/>
      <c r="Q35" s="1810" t="str">
        <f t="shared" si="11"/>
        <v>建筑结构</v>
      </c>
      <c r="R35" s="774" t="s">
        <v>17</v>
      </c>
      <c r="S35" s="775">
        <f t="shared" si="12"/>
        <v>100</v>
      </c>
      <c r="T35" s="774" t="s">
        <v>17</v>
      </c>
      <c r="U35" s="775">
        <f t="shared" si="13"/>
        <v>100</v>
      </c>
      <c r="V35" s="774" t="s">
        <v>17</v>
      </c>
      <c r="W35" s="775">
        <f t="shared" si="14"/>
        <v>100</v>
      </c>
      <c r="X35" s="1813"/>
      <c r="Y35" s="3244"/>
      <c r="Z35" s="1814" t="str">
        <f t="shared" si="15"/>
        <v>建筑结构</v>
      </c>
      <c r="AA35" s="1811">
        <f t="shared" si="3"/>
        <v>1</v>
      </c>
      <c r="AB35" s="1811">
        <f t="shared" si="4"/>
        <v>1</v>
      </c>
      <c r="AC35" s="2678">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3"/>
      <c r="Q36" s="1810" t="str">
        <f t="shared" si="11"/>
        <v>公共部分装修</v>
      </c>
      <c r="R36" s="774" t="s">
        <v>17</v>
      </c>
      <c r="S36" s="775">
        <f t="shared" si="12"/>
        <v>100</v>
      </c>
      <c r="T36" s="774" t="s">
        <v>17</v>
      </c>
      <c r="U36" s="775">
        <f t="shared" si="13"/>
        <v>100</v>
      </c>
      <c r="V36" s="774" t="s">
        <v>17</v>
      </c>
      <c r="W36" s="775">
        <f t="shared" si="14"/>
        <v>100</v>
      </c>
      <c r="X36" s="1813"/>
      <c r="Y36" s="3244"/>
      <c r="Z36" s="1814" t="str">
        <f t="shared" si="15"/>
        <v>公共部分装修</v>
      </c>
      <c r="AA36" s="1811">
        <f t="shared" si="3"/>
        <v>1</v>
      </c>
      <c r="AB36" s="1811">
        <f t="shared" si="4"/>
        <v>1</v>
      </c>
      <c r="AC36" s="2678">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3"/>
      <c r="Q37" s="1810" t="str">
        <f t="shared" si="11"/>
        <v>成新度</v>
      </c>
      <c r="R37" s="774" t="s">
        <v>17</v>
      </c>
      <c r="S37" s="775" t="e">
        <f t="shared" si="12"/>
        <v>#N/A</v>
      </c>
      <c r="T37" s="774" t="s">
        <v>17</v>
      </c>
      <c r="U37" s="775" t="e">
        <f t="shared" si="13"/>
        <v>#N/A</v>
      </c>
      <c r="V37" s="774" t="s">
        <v>17</v>
      </c>
      <c r="W37" s="775" t="e">
        <f t="shared" si="14"/>
        <v>#N/A</v>
      </c>
      <c r="X37" s="1813"/>
      <c r="Y37" s="3244"/>
      <c r="Z37" s="1814" t="str">
        <f t="shared" si="15"/>
        <v>成新度</v>
      </c>
      <c r="AA37" s="1811" t="e">
        <f t="shared" si="3"/>
        <v>#N/A</v>
      </c>
      <c r="AB37" s="1811" t="e">
        <f t="shared" si="4"/>
        <v>#N/A</v>
      </c>
      <c r="AC37" s="2678"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3"/>
      <c r="Q38" s="1795"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5">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3" t="s">
        <v>2569</v>
      </c>
      <c r="Q39" s="1810" t="str">
        <f t="shared" si="11"/>
        <v>物业管理</v>
      </c>
      <c r="R39" s="774" t="s">
        <v>17</v>
      </c>
      <c r="S39" s="775">
        <f t="shared" si="12"/>
        <v>100</v>
      </c>
      <c r="T39" s="774" t="s">
        <v>17</v>
      </c>
      <c r="U39" s="775">
        <f t="shared" si="13"/>
        <v>100</v>
      </c>
      <c r="V39" s="774" t="s">
        <v>17</v>
      </c>
      <c r="W39" s="775">
        <f t="shared" si="14"/>
        <v>100</v>
      </c>
      <c r="X39" s="1813"/>
      <c r="Y39" s="3244" t="s">
        <v>2569</v>
      </c>
      <c r="Z39" s="1814" t="str">
        <f t="shared" si="15"/>
        <v>物业管理</v>
      </c>
      <c r="AA39" s="1811">
        <f t="shared" si="3"/>
        <v>1</v>
      </c>
      <c r="AB39" s="1811">
        <f t="shared" si="4"/>
        <v>1</v>
      </c>
      <c r="AC39" s="2678">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3"/>
      <c r="Q40" s="1810" t="str">
        <f t="shared" si="11"/>
        <v>市政基础设施</v>
      </c>
      <c r="R40" s="774" t="s">
        <v>17</v>
      </c>
      <c r="S40" s="775">
        <f t="shared" si="12"/>
        <v>100</v>
      </c>
      <c r="T40" s="774" t="s">
        <v>17</v>
      </c>
      <c r="U40" s="775">
        <f t="shared" si="13"/>
        <v>100</v>
      </c>
      <c r="V40" s="774" t="s">
        <v>17</v>
      </c>
      <c r="W40" s="775">
        <f t="shared" si="14"/>
        <v>100</v>
      </c>
      <c r="X40" s="1813"/>
      <c r="Y40" s="3244"/>
      <c r="Z40" s="1814" t="str">
        <f t="shared" si="15"/>
        <v>市政基础设施</v>
      </c>
      <c r="AA40" s="1811">
        <f t="shared" si="3"/>
        <v>1</v>
      </c>
      <c r="AB40" s="1811">
        <f t="shared" si="4"/>
        <v>1</v>
      </c>
      <c r="AC40" s="2678">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3"/>
      <c r="Q41" s="1810" t="str">
        <f t="shared" si="11"/>
        <v>层高</v>
      </c>
      <c r="R41" s="774" t="s">
        <v>17</v>
      </c>
      <c r="S41" s="775">
        <f t="shared" si="12"/>
        <v>100</v>
      </c>
      <c r="T41" s="774" t="s">
        <v>17</v>
      </c>
      <c r="U41" s="775">
        <f t="shared" si="13"/>
        <v>100</v>
      </c>
      <c r="V41" s="774" t="s">
        <v>17</v>
      </c>
      <c r="W41" s="775">
        <f t="shared" si="14"/>
        <v>100</v>
      </c>
      <c r="X41" s="1813"/>
      <c r="Y41" s="3244"/>
      <c r="Z41" s="1814" t="str">
        <f t="shared" si="15"/>
        <v>层高</v>
      </c>
      <c r="AA41" s="1811">
        <f t="shared" si="3"/>
        <v>1</v>
      </c>
      <c r="AB41" s="1811">
        <f t="shared" si="4"/>
        <v>1</v>
      </c>
      <c r="AC41" s="2678">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3"/>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1">
        <f t="shared" si="3"/>
        <v>1</v>
      </c>
      <c r="AB42" s="1811">
        <f t="shared" si="4"/>
        <v>1</v>
      </c>
      <c r="AC42" s="2678">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3"/>
      <c r="Q43" s="1810" t="str">
        <f t="shared" si="11"/>
        <v>内部装修</v>
      </c>
      <c r="R43" s="774" t="s">
        <v>17</v>
      </c>
      <c r="S43" s="775">
        <f t="shared" si="12"/>
        <v>100</v>
      </c>
      <c r="T43" s="774" t="s">
        <v>17</v>
      </c>
      <c r="U43" s="775">
        <f t="shared" si="13"/>
        <v>100</v>
      </c>
      <c r="V43" s="774" t="s">
        <v>17</v>
      </c>
      <c r="W43" s="775">
        <f t="shared" si="14"/>
        <v>100</v>
      </c>
      <c r="X43" s="1813"/>
      <c r="Y43" s="3244"/>
      <c r="Z43" s="1814" t="str">
        <f t="shared" si="15"/>
        <v>内部装修</v>
      </c>
      <c r="AA43" s="1811">
        <f t="shared" si="3"/>
        <v>1</v>
      </c>
      <c r="AB43" s="1811">
        <f t="shared" si="4"/>
        <v>1</v>
      </c>
      <c r="AC43" s="2678">
        <f t="shared" si="5"/>
        <v>1</v>
      </c>
    </row>
    <row r="44" spans="1:29" ht="15">
      <c r="A44" s="472"/>
      <c r="B44" s="422" t="s">
        <v>2580</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83"/>
      <c r="Q44" s="1810" t="str">
        <f t="shared" si="11"/>
        <v>内部装修维护情况</v>
      </c>
      <c r="R44" s="774" t="s">
        <v>17</v>
      </c>
      <c r="S44" s="775">
        <f t="shared" si="12"/>
        <v>100</v>
      </c>
      <c r="T44" s="774" t="s">
        <v>17</v>
      </c>
      <c r="U44" s="775">
        <f t="shared" si="13"/>
        <v>100</v>
      </c>
      <c r="V44" s="774" t="s">
        <v>17</v>
      </c>
      <c r="W44" s="775">
        <f t="shared" si="14"/>
        <v>100</v>
      </c>
      <c r="X44" s="1813"/>
      <c r="Y44" s="3244"/>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3"/>
      <c r="Q45" s="1795">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3"/>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4"/>
      <c r="Q47" s="1810">
        <f t="shared" si="11"/>
        <v>111</v>
      </c>
      <c r="R47" s="774" t="s">
        <v>17</v>
      </c>
      <c r="S47" s="775">
        <f t="shared" si="12"/>
        <v>100</v>
      </c>
      <c r="T47" s="774" t="s">
        <v>17</v>
      </c>
      <c r="U47" s="775">
        <f t="shared" si="13"/>
        <v>100</v>
      </c>
      <c r="V47" s="774" t="s">
        <v>17</v>
      </c>
      <c r="W47" s="775">
        <f t="shared" si="14"/>
        <v>100</v>
      </c>
      <c r="X47" s="1813"/>
      <c r="Y47" s="3285"/>
      <c r="Z47" s="1814">
        <f t="shared" si="15"/>
        <v>111</v>
      </c>
      <c r="AA47" s="1811">
        <f t="shared" si="3"/>
        <v>1</v>
      </c>
      <c r="AB47" s="1811">
        <f t="shared" si="4"/>
        <v>1</v>
      </c>
      <c r="AC47" s="2678">
        <f t="shared" si="5"/>
        <v>1</v>
      </c>
    </row>
    <row r="48" spans="1:29" ht="15">
      <c r="A48" s="479" t="s">
        <v>2581</v>
      </c>
      <c r="B48" s="480"/>
      <c r="C48" s="1407" t="s">
        <v>1</v>
      </c>
      <c r="D48" s="1408"/>
      <c r="E48" s="1409"/>
      <c r="F48" s="1410"/>
      <c r="G48" s="1411"/>
      <c r="H48" s="1412"/>
      <c r="I48" s="1409"/>
      <c r="J48" s="485"/>
      <c r="K48" s="783"/>
      <c r="L48" s="1143"/>
      <c r="M48" s="1131"/>
      <c r="N48" s="1131"/>
      <c r="O48" s="1131"/>
      <c r="P48" s="3250" t="str">
        <f>A48</f>
        <v>成交单价（元/平方米）</v>
      </c>
      <c r="Q48" s="3226"/>
      <c r="R48" s="3281">
        <f>E48</f>
        <v>0</v>
      </c>
      <c r="S48" s="3281"/>
      <c r="T48" s="3281">
        <f>G48</f>
        <v>0</v>
      </c>
      <c r="U48" s="3281"/>
      <c r="V48" s="3281">
        <f>I48</f>
        <v>0</v>
      </c>
      <c r="W48" s="3281"/>
      <c r="X48" s="446"/>
      <c r="Y48" s="781"/>
      <c r="Z48" s="446"/>
      <c r="AA48" s="446"/>
      <c r="AB48" s="446"/>
      <c r="AC48" s="630"/>
    </row>
    <row r="49" spans="1:29" ht="15.75" thickBot="1">
      <c r="A49" s="486" t="s">
        <v>2673</v>
      </c>
      <c r="B49" s="487"/>
      <c r="C49" s="1413" t="e">
        <f>R50</f>
        <v>#DIV/0!</v>
      </c>
      <c r="D49" s="1414"/>
      <c r="E49" s="1415" t="e">
        <f>R49</f>
        <v>#DIV/0!</v>
      </c>
      <c r="F49" s="1415"/>
      <c r="G49" s="1413" t="e">
        <f>T49</f>
        <v>#DIV/0!</v>
      </c>
      <c r="H49" s="1414"/>
      <c r="I49" s="1415" t="e">
        <f>V49</f>
        <v>#DIV/0!</v>
      </c>
      <c r="J49" s="489"/>
      <c r="K49" s="784"/>
      <c r="L49" s="1143"/>
      <c r="M49" s="1131"/>
      <c r="N49" s="1131"/>
      <c r="O49" s="1131"/>
      <c r="P49" s="3250" t="str">
        <f>A49</f>
        <v>比较价值（元/平方米）</v>
      </c>
      <c r="Q49" s="3226"/>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2674</v>
      </c>
      <c r="B50" s="493"/>
      <c r="C50" s="1417" t="e">
        <f>R50</f>
        <v>#DIV/0!</v>
      </c>
      <c r="D50" s="1417"/>
      <c r="E50" s="1417"/>
      <c r="F50" s="1417"/>
      <c r="G50" s="1417"/>
      <c r="H50" s="1417"/>
      <c r="I50" s="1417"/>
      <c r="J50" s="494"/>
      <c r="K50" s="785"/>
      <c r="L50" s="1143"/>
      <c r="M50" s="1131"/>
      <c r="N50" s="1131"/>
      <c r="O50" s="1131"/>
      <c r="P50" s="3300" t="str">
        <f>A50</f>
        <v>估价对象XX用房的比较价值（楼面单价，元/平方米）</v>
      </c>
      <c r="Q50" s="3301"/>
      <c r="R50" s="3302" t="e">
        <f>IF(F1="售价",ROUND(AVERAGE(R49:V49),0),ROUND(AVERAGE(R49:V49),1))</f>
        <v>#DIV/0!</v>
      </c>
      <c r="S50" s="3302"/>
      <c r="T50" s="3302"/>
      <c r="U50" s="3302"/>
      <c r="V50" s="3302"/>
      <c r="W50" s="3302"/>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2678</v>
      </c>
      <c r="B58" s="759"/>
      <c r="C58" s="764"/>
      <c r="D58" s="764"/>
      <c r="E58" s="764"/>
      <c r="F58" s="765"/>
      <c r="G58" s="765"/>
      <c r="H58" s="764"/>
      <c r="I58" s="764"/>
      <c r="J58" s="764"/>
      <c r="K58" s="766"/>
      <c r="L58" s="1161"/>
      <c r="M58" s="1159"/>
      <c r="N58" s="1159"/>
      <c r="O58" s="1159"/>
      <c r="P58" s="2685"/>
      <c r="Q58" s="504"/>
    </row>
    <row r="59" spans="1:29" s="508" customFormat="1" ht="15">
      <c r="A59" s="505" t="s">
        <v>2552</v>
      </c>
      <c r="B59" s="506"/>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2592</v>
      </c>
      <c r="B64" s="528" t="s">
        <v>2558</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2703</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2567</v>
      </c>
      <c r="B101" s="528" t="s">
        <v>2616</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2618</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2620</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2704</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2621</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2622</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2705</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2688</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2624</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3" t="s">
        <v>2706</v>
      </c>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IF(C2="——",ROUND(C43*D3/10000,0),ROUND(C43*D3/10000,0)-D2)</f>
        <v>#DIV/0!</v>
      </c>
      <c r="C2" s="2590"/>
      <c r="D2" s="1124" t="e">
        <f ca="1">SUMIF(INDIRECT("'"&amp;F2&amp;"'"&amp;"!A:A"),"承租人权益价值",INDIRECT("'"&amp;F2&amp;"'"&amp;"!c:c"))</f>
        <v>#REF!</v>
      </c>
      <c r="E2" s="2591" t="s">
        <v>2335</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2648</v>
      </c>
      <c r="D3" s="399">
        <f>IF(D1="",'数据-汇总表'!E3,SUMIF('数据-汇总表'!$C19:$C33,D1,'数据-汇总表'!$E19:$E33))</f>
        <v>123122.34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10" t="s">
        <v>2652</v>
      </c>
      <c r="AC4" s="3209" t="s">
        <v>2653</v>
      </c>
    </row>
    <row r="5" spans="1:29"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2550</v>
      </c>
      <c r="D6" s="3223"/>
      <c r="E6" s="3224" t="s">
        <v>2550</v>
      </c>
      <c r="F6" s="3225"/>
      <c r="G6" s="3222" t="s">
        <v>2550</v>
      </c>
      <c r="H6" s="3223"/>
      <c r="I6" s="3222" t="s">
        <v>2550</v>
      </c>
      <c r="J6" s="3223"/>
      <c r="K6" s="610" t="s">
        <v>2551</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2552</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2553</v>
      </c>
      <c r="Q7" s="3240"/>
      <c r="R7" s="770" t="s">
        <v>17</v>
      </c>
      <c r="S7" s="771">
        <f t="shared" ref="S7:S15" si="0">F7</f>
        <v>0</v>
      </c>
      <c r="T7" s="770" t="s">
        <v>17</v>
      </c>
      <c r="U7" s="771">
        <f t="shared" ref="U7:U15" si="1">H7</f>
        <v>0</v>
      </c>
      <c r="V7" s="770" t="s">
        <v>17</v>
      </c>
      <c r="W7" s="771">
        <f t="shared" ref="W7:W15" si="2">J7</f>
        <v>0</v>
      </c>
      <c r="X7" s="772"/>
      <c r="Y7" s="3212" t="s">
        <v>2553</v>
      </c>
      <c r="Z7" s="3213"/>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2556</v>
      </c>
      <c r="Q8" s="3213"/>
      <c r="R8" s="770" t="s">
        <v>17</v>
      </c>
      <c r="S8" s="771">
        <f t="shared" si="0"/>
        <v>0</v>
      </c>
      <c r="T8" s="770" t="s">
        <v>17</v>
      </c>
      <c r="U8" s="771">
        <f t="shared" si="1"/>
        <v>0</v>
      </c>
      <c r="V8" s="770" t="s">
        <v>17</v>
      </c>
      <c r="W8" s="771">
        <f t="shared" si="2"/>
        <v>0</v>
      </c>
      <c r="X8" s="772"/>
      <c r="Y8" s="3212" t="s">
        <v>2556</v>
      </c>
      <c r="Z8" s="3213"/>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6"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6"/>
      <c r="Q11" s="1795"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2563</v>
      </c>
      <c r="B15" s="69" t="s">
        <v>2707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1" t="s">
        <v>2564</v>
      </c>
      <c r="Q15" s="1810" t="str">
        <f t="shared" si="6"/>
        <v>产业集聚程度</v>
      </c>
      <c r="R15" s="774" t="s">
        <v>17</v>
      </c>
      <c r="S15" s="775">
        <f t="shared" si="0"/>
        <v>100</v>
      </c>
      <c r="T15" s="774" t="s">
        <v>17</v>
      </c>
      <c r="U15" s="775">
        <f t="shared" si="1"/>
        <v>100</v>
      </c>
      <c r="V15" s="774" t="s">
        <v>17</v>
      </c>
      <c r="W15" s="775">
        <f t="shared" si="2"/>
        <v>100</v>
      </c>
      <c r="X15" s="1813"/>
      <c r="Y15" s="3241"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451" t="s">
        <v>2102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42"/>
      <c r="Q18" s="1810"/>
      <c r="R18" s="774"/>
      <c r="S18" s="775"/>
      <c r="T18" s="774"/>
      <c r="U18" s="775"/>
      <c r="V18" s="774"/>
      <c r="W18" s="775"/>
      <c r="X18" s="1813"/>
      <c r="Y18" s="3242"/>
      <c r="Z18" s="1814"/>
      <c r="AA18" s="1811">
        <v>1</v>
      </c>
      <c r="AB18" s="1811">
        <v>1</v>
      </c>
      <c r="AC18" s="1811">
        <v>1</v>
      </c>
    </row>
    <row r="19" spans="1:29" ht="42.75">
      <c r="A19" s="428"/>
      <c r="B19" s="451" t="s">
        <v>2692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2"/>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42"/>
      <c r="Q20" s="1810"/>
      <c r="R20" s="774"/>
      <c r="S20" s="775"/>
      <c r="T20" s="774"/>
      <c r="U20" s="775"/>
      <c r="V20" s="774"/>
      <c r="W20" s="775"/>
      <c r="X20" s="1813"/>
      <c r="Y20" s="3242"/>
      <c r="Z20" s="1814"/>
      <c r="AA20" s="1811">
        <v>1</v>
      </c>
      <c r="AB20" s="1811">
        <v>1</v>
      </c>
      <c r="AC20" s="1811">
        <v>1</v>
      </c>
    </row>
    <row r="21" spans="1:29" ht="28.5">
      <c r="A21" s="428"/>
      <c r="B21" s="1384" t="s">
        <v>2693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2"/>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42"/>
      <c r="Q22" s="1810"/>
      <c r="R22" s="774"/>
      <c r="S22" s="775"/>
      <c r="T22" s="774"/>
      <c r="U22" s="775"/>
      <c r="V22" s="774"/>
      <c r="W22" s="775"/>
      <c r="X22" s="1813"/>
      <c r="Y22" s="3242"/>
      <c r="Z22" s="1814"/>
      <c r="AA22" s="1811">
        <v>1</v>
      </c>
      <c r="AB22" s="1811">
        <v>1</v>
      </c>
      <c r="AC22" s="1811">
        <v>1</v>
      </c>
    </row>
    <row r="23" spans="1:29" ht="71.25">
      <c r="A23" s="428"/>
      <c r="B23" s="451" t="s">
        <v>2694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2"/>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42"/>
      <c r="Q24" s="1810"/>
      <c r="R24" s="774"/>
      <c r="S24" s="775"/>
      <c r="T24" s="774"/>
      <c r="U24" s="775"/>
      <c r="V24" s="774"/>
      <c r="W24" s="775"/>
      <c r="X24" s="1813"/>
      <c r="Y24" s="324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2"/>
      <c r="Q25" s="1810">
        <f>B25</f>
        <v>111</v>
      </c>
      <c r="R25" s="774" t="s">
        <v>17</v>
      </c>
      <c r="S25" s="775">
        <f>F25</f>
        <v>100</v>
      </c>
      <c r="T25" s="774" t="s">
        <v>17</v>
      </c>
      <c r="U25" s="775">
        <f>H25</f>
        <v>100</v>
      </c>
      <c r="V25" s="774" t="s">
        <v>17</v>
      </c>
      <c r="W25" s="775">
        <f>J25</f>
        <v>100</v>
      </c>
      <c r="X25" s="1813"/>
      <c r="Y25" s="324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2"/>
      <c r="Q26" s="1810">
        <f t="shared" ref="Q26:Q40" si="11">B26</f>
        <v>111</v>
      </c>
      <c r="R26" s="774" t="s">
        <v>17</v>
      </c>
      <c r="S26" s="775">
        <f>F26</f>
        <v>100</v>
      </c>
      <c r="T26" s="774" t="s">
        <v>17</v>
      </c>
      <c r="U26" s="775">
        <f>H26</f>
        <v>100</v>
      </c>
      <c r="V26" s="774" t="s">
        <v>17</v>
      </c>
      <c r="W26" s="775">
        <f>J26</f>
        <v>100</v>
      </c>
      <c r="X26" s="1813"/>
      <c r="Y26" s="324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2"/>
      <c r="Q27" s="1795">
        <f t="shared" si="11"/>
        <v>111</v>
      </c>
      <c r="R27" s="770" t="s">
        <v>17</v>
      </c>
      <c r="S27" s="771">
        <f>F27</f>
        <v>100</v>
      </c>
      <c r="T27" s="770" t="s">
        <v>17</v>
      </c>
      <c r="U27" s="771">
        <f>H27</f>
        <v>100</v>
      </c>
      <c r="V27" s="770" t="s">
        <v>17</v>
      </c>
      <c r="W27" s="771">
        <f>J27</f>
        <v>100</v>
      </c>
      <c r="X27" s="772"/>
      <c r="Y27" s="324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2"/>
      <c r="Q28" s="1810">
        <f t="shared" si="11"/>
        <v>111</v>
      </c>
      <c r="R28" s="774" t="s">
        <v>17</v>
      </c>
      <c r="S28" s="775">
        <f t="shared" ref="S28:S40" si="12">F28</f>
        <v>100</v>
      </c>
      <c r="T28" s="774" t="s">
        <v>17</v>
      </c>
      <c r="U28" s="775">
        <f t="shared" ref="U28:U40" si="13">H28</f>
        <v>100</v>
      </c>
      <c r="V28" s="774" t="s">
        <v>17</v>
      </c>
      <c r="W28" s="775">
        <f t="shared" ref="W28:W40" si="14">J28</f>
        <v>100</v>
      </c>
      <c r="X28" s="1813"/>
      <c r="Y28" s="3242"/>
      <c r="Z28" s="1814">
        <f t="shared" ref="Z28:Z40" si="15">Q28</f>
        <v>111</v>
      </c>
      <c r="AA28" s="1811">
        <f t="shared" si="3"/>
        <v>1</v>
      </c>
      <c r="AB28" s="1811">
        <f t="shared" si="4"/>
        <v>1</v>
      </c>
      <c r="AC28" s="1811">
        <f t="shared" si="5"/>
        <v>1</v>
      </c>
    </row>
    <row r="29" spans="1:29" ht="15">
      <c r="A29" s="466" t="s">
        <v>2567</v>
      </c>
      <c r="B29" s="71" t="s">
        <v>2697</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3" t="s">
        <v>2569</v>
      </c>
      <c r="Q29" s="1810" t="str">
        <f t="shared" si="11"/>
        <v>建筑类型</v>
      </c>
      <c r="R29" s="774" t="s">
        <v>17</v>
      </c>
      <c r="S29" s="775">
        <f t="shared" si="12"/>
        <v>100</v>
      </c>
      <c r="T29" s="774" t="s">
        <v>17</v>
      </c>
      <c r="U29" s="775">
        <f t="shared" si="13"/>
        <v>100</v>
      </c>
      <c r="V29" s="774" t="s">
        <v>17</v>
      </c>
      <c r="W29" s="775">
        <f t="shared" si="14"/>
        <v>100</v>
      </c>
      <c r="X29" s="1813"/>
      <c r="Y29" s="3244" t="s">
        <v>2569</v>
      </c>
      <c r="Z29" s="1814" t="str">
        <f t="shared" si="15"/>
        <v>建筑类型</v>
      </c>
      <c r="AA29" s="1811">
        <f t="shared" si="3"/>
        <v>1</v>
      </c>
      <c r="AB29" s="1811">
        <f t="shared" si="4"/>
        <v>1</v>
      </c>
      <c r="AC29" s="1811">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4"/>
      <c r="Q31" s="1810" t="str">
        <f t="shared" si="11"/>
        <v>建筑结构</v>
      </c>
      <c r="R31" s="774" t="s">
        <v>17</v>
      </c>
      <c r="S31" s="775">
        <f t="shared" si="12"/>
        <v>100</v>
      </c>
      <c r="T31" s="774" t="s">
        <v>17</v>
      </c>
      <c r="U31" s="775">
        <f t="shared" si="13"/>
        <v>100</v>
      </c>
      <c r="V31" s="774" t="s">
        <v>17</v>
      </c>
      <c r="W31" s="775">
        <f t="shared" si="14"/>
        <v>100</v>
      </c>
      <c r="X31" s="1813"/>
      <c r="Y31" s="3244"/>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4"/>
      <c r="Q32" s="1810" t="str">
        <f t="shared" si="11"/>
        <v>公共部分装修</v>
      </c>
      <c r="R32" s="774" t="s">
        <v>17</v>
      </c>
      <c r="S32" s="775">
        <f t="shared" si="12"/>
        <v>100</v>
      </c>
      <c r="T32" s="774" t="s">
        <v>17</v>
      </c>
      <c r="U32" s="775">
        <f t="shared" si="13"/>
        <v>100</v>
      </c>
      <c r="V32" s="774" t="s">
        <v>17</v>
      </c>
      <c r="W32" s="775">
        <f t="shared" si="14"/>
        <v>100</v>
      </c>
      <c r="X32" s="1813"/>
      <c r="Y32" s="3244"/>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4"/>
      <c r="Q33" s="1810" t="str">
        <f t="shared" si="11"/>
        <v>成新度</v>
      </c>
      <c r="R33" s="774" t="s">
        <v>17</v>
      </c>
      <c r="S33" s="775" t="e">
        <f t="shared" si="12"/>
        <v>#N/A</v>
      </c>
      <c r="T33" s="774" t="s">
        <v>17</v>
      </c>
      <c r="U33" s="775" t="e">
        <f t="shared" si="13"/>
        <v>#N/A</v>
      </c>
      <c r="V33" s="774" t="s">
        <v>17</v>
      </c>
      <c r="W33" s="775" t="e">
        <f t="shared" si="14"/>
        <v>#N/A</v>
      </c>
      <c r="X33" s="1813"/>
      <c r="Y33" s="3244"/>
      <c r="Z33" s="1814" t="str">
        <f t="shared" si="15"/>
        <v>成新度</v>
      </c>
      <c r="AA33" s="1811" t="e">
        <f t="shared" si="3"/>
        <v>#N/A</v>
      </c>
      <c r="AB33" s="1811" t="e">
        <f t="shared" si="4"/>
        <v>#N/A</v>
      </c>
      <c r="AC33" s="1811"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4"/>
      <c r="Q34" s="1795"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4" t="s">
        <v>2569</v>
      </c>
      <c r="Q35" s="1810" t="str">
        <f t="shared" si="11"/>
        <v>市政基础设施</v>
      </c>
      <c r="R35" s="774" t="s">
        <v>17</v>
      </c>
      <c r="S35" s="775">
        <f t="shared" si="12"/>
        <v>100</v>
      </c>
      <c r="T35" s="774" t="s">
        <v>17</v>
      </c>
      <c r="U35" s="775">
        <f t="shared" si="13"/>
        <v>100</v>
      </c>
      <c r="V35" s="774" t="s">
        <v>17</v>
      </c>
      <c r="W35" s="775">
        <f t="shared" si="14"/>
        <v>100</v>
      </c>
      <c r="X35" s="1813"/>
      <c r="Y35" s="3244"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4"/>
      <c r="Q36" s="1810" t="str">
        <f t="shared" si="11"/>
        <v>内部装修</v>
      </c>
      <c r="R36" s="774" t="s">
        <v>17</v>
      </c>
      <c r="S36" s="775">
        <f t="shared" si="12"/>
        <v>100</v>
      </c>
      <c r="T36" s="774" t="s">
        <v>17</v>
      </c>
      <c r="U36" s="775">
        <f t="shared" si="13"/>
        <v>100</v>
      </c>
      <c r="V36" s="774" t="s">
        <v>17</v>
      </c>
      <c r="W36" s="775">
        <f t="shared" si="14"/>
        <v>100</v>
      </c>
      <c r="X36" s="1813"/>
      <c r="Y36" s="3244"/>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4"/>
      <c r="Q37" s="1810" t="str">
        <f t="shared" si="11"/>
        <v>内部装修状况</v>
      </c>
      <c r="R37" s="774" t="s">
        <v>17</v>
      </c>
      <c r="S37" s="775">
        <f t="shared" si="12"/>
        <v>100</v>
      </c>
      <c r="T37" s="774" t="s">
        <v>17</v>
      </c>
      <c r="U37" s="775">
        <f t="shared" si="13"/>
        <v>100</v>
      </c>
      <c r="V37" s="774" t="s">
        <v>17</v>
      </c>
      <c r="W37" s="775">
        <f t="shared" si="14"/>
        <v>100</v>
      </c>
      <c r="X37" s="1813"/>
      <c r="Y37" s="324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4"/>
      <c r="Q39" s="1810">
        <f t="shared" si="11"/>
        <v>111</v>
      </c>
      <c r="R39" s="774" t="s">
        <v>17</v>
      </c>
      <c r="S39" s="775">
        <f t="shared" si="12"/>
        <v>100</v>
      </c>
      <c r="T39" s="774" t="s">
        <v>17</v>
      </c>
      <c r="U39" s="775">
        <f t="shared" si="13"/>
        <v>100</v>
      </c>
      <c r="V39" s="774" t="s">
        <v>17</v>
      </c>
      <c r="W39" s="775">
        <f t="shared" si="14"/>
        <v>100</v>
      </c>
      <c r="X39" s="1813"/>
      <c r="Y39" s="3244"/>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5"/>
      <c r="Q40" s="1810">
        <f t="shared" si="11"/>
        <v>111</v>
      </c>
      <c r="R40" s="774" t="s">
        <v>17</v>
      </c>
      <c r="S40" s="775">
        <f t="shared" si="12"/>
        <v>100</v>
      </c>
      <c r="T40" s="774" t="s">
        <v>17</v>
      </c>
      <c r="U40" s="775">
        <f t="shared" si="13"/>
        <v>100</v>
      </c>
      <c r="V40" s="774" t="s">
        <v>17</v>
      </c>
      <c r="W40" s="775">
        <f t="shared" si="14"/>
        <v>100</v>
      </c>
      <c r="X40" s="1813"/>
      <c r="Y40" s="3285"/>
      <c r="Z40" s="1814">
        <f t="shared" si="15"/>
        <v>111</v>
      </c>
      <c r="AA40" s="1811">
        <f t="shared" si="3"/>
        <v>1</v>
      </c>
      <c r="AB40" s="1811">
        <f t="shared" si="4"/>
        <v>1</v>
      </c>
      <c r="AC40" s="1811">
        <f t="shared" si="5"/>
        <v>1</v>
      </c>
    </row>
    <row r="41" spans="1:29" ht="15">
      <c r="A41" s="479" t="s">
        <v>2581</v>
      </c>
      <c r="B41" s="480"/>
      <c r="C41" s="1407" t="s">
        <v>1</v>
      </c>
      <c r="D41" s="1408"/>
      <c r="E41" s="1409"/>
      <c r="F41" s="1410"/>
      <c r="G41" s="1411"/>
      <c r="H41" s="1412"/>
      <c r="I41" s="1409"/>
      <c r="J41" s="1412"/>
      <c r="K41" s="783"/>
      <c r="L41" s="1143"/>
      <c r="M41" s="1144"/>
      <c r="N41" s="1131"/>
      <c r="O41" s="1144"/>
      <c r="P41" s="3226" t="str">
        <f>A41</f>
        <v>成交单价（元/平方米）</v>
      </c>
      <c r="Q41" s="3226"/>
      <c r="R41" s="3281">
        <f>E41</f>
        <v>0</v>
      </c>
      <c r="S41" s="3281"/>
      <c r="T41" s="3281">
        <f>G41</f>
        <v>0</v>
      </c>
      <c r="U41" s="3281"/>
      <c r="V41" s="3281">
        <f>I41</f>
        <v>0</v>
      </c>
      <c r="W41" s="3281"/>
      <c r="X41" s="759"/>
      <c r="Y41" s="781"/>
      <c r="Z41" s="759"/>
      <c r="AA41" s="759"/>
      <c r="AB41" s="759"/>
      <c r="AC41" s="759"/>
    </row>
    <row r="42" spans="1:29" ht="15.75" thickBot="1">
      <c r="A42" s="486" t="s">
        <v>2673</v>
      </c>
      <c r="B42" s="487"/>
      <c r="C42" s="1413" t="e">
        <f>R43</f>
        <v>#DIV/0!</v>
      </c>
      <c r="D42" s="1414"/>
      <c r="E42" s="1415" t="e">
        <f>R42</f>
        <v>#DIV/0!</v>
      </c>
      <c r="F42" s="1415"/>
      <c r="G42" s="1413" t="e">
        <f>T42</f>
        <v>#DIV/0!</v>
      </c>
      <c r="H42" s="1414"/>
      <c r="I42" s="1415" t="e">
        <f>V42</f>
        <v>#DIV/0!</v>
      </c>
      <c r="J42" s="1414"/>
      <c r="K42" s="784"/>
      <c r="L42" s="1143"/>
      <c r="M42" s="1144"/>
      <c r="N42" s="1131"/>
      <c r="O42" s="1144"/>
      <c r="P42" s="3226" t="str">
        <f>A42</f>
        <v>比较价值（元/平方米）</v>
      </c>
      <c r="Q42" s="3226"/>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2674</v>
      </c>
      <c r="B43" s="493"/>
      <c r="C43" s="1417" t="e">
        <f>R43</f>
        <v>#DIV/0!</v>
      </c>
      <c r="D43" s="1417"/>
      <c r="E43" s="1417"/>
      <c r="F43" s="1417"/>
      <c r="G43" s="1417"/>
      <c r="H43" s="1417"/>
      <c r="I43" s="1417"/>
      <c r="J43" s="1417"/>
      <c r="K43" s="785"/>
      <c r="L43" s="1143"/>
      <c r="M43" s="1144"/>
      <c r="N43" s="1144"/>
      <c r="O43" s="1144"/>
      <c r="P43" s="3246" t="str">
        <f>A43</f>
        <v>估价对象XX用房的比较价值（楼面单价，元/平方米）</v>
      </c>
      <c r="Q43" s="3247"/>
      <c r="R43" s="3280" t="e">
        <f>IF(F1="售价",ROUND(AVERAGE(R42:V42),0),ROUND(AVERAGE(R42:V42),1))</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2678</v>
      </c>
      <c r="B51" s="759"/>
      <c r="C51" s="764"/>
      <c r="D51" s="764"/>
      <c r="E51" s="764"/>
      <c r="F51" s="765"/>
      <c r="G51" s="765"/>
      <c r="H51" s="764"/>
      <c r="I51" s="764"/>
      <c r="J51" s="764"/>
      <c r="K51" s="1160"/>
      <c r="L51" s="1161"/>
      <c r="M51" s="1159"/>
      <c r="N51" s="1159"/>
      <c r="O51" s="1159"/>
      <c r="P51" s="503"/>
      <c r="Q51" s="504"/>
    </row>
    <row r="52" spans="1:17" s="508" customFormat="1" ht="15">
      <c r="A52" s="505" t="s">
        <v>2552</v>
      </c>
      <c r="B52" s="506"/>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2592</v>
      </c>
      <c r="B57" s="528" t="s">
        <v>2558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2567</v>
      </c>
      <c r="B88" s="528" t="s">
        <v>2616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2620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8"/>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2334</v>
      </c>
      <c r="B2" s="1418" t="e">
        <f ca="1">IF(C2="——",IF(B37="元/平方米",ROUND(C39*D3/10000,0),ROUND(F3*C39/10000,0)),IF(B37="元/平方米",ROUND(C39*D3/10000,0),ROUND(F3*C39/10000,0))-D2)</f>
        <v>#DIV/0!</v>
      </c>
      <c r="C2" s="2590"/>
      <c r="D2" s="1124" t="e">
        <f ca="1">SUMIF(INDIRECT("'"&amp;F2&amp;"'"&amp;"!A:A"),"承租人权益价值",INDIRECT("'"&amp;F2&amp;"'"&amp;"!c:c"))</f>
        <v>#REF!</v>
      </c>
      <c r="E2" s="2591" t="s">
        <v>2335</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2648</v>
      </c>
      <c r="D3" s="399">
        <f>SUMIF('数据-汇总表'!$C19:$C33,D1,'数据-汇总表'!$E19:$E33)</f>
        <v>0</v>
      </c>
      <c r="E3" s="400" t="s">
        <v>2712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10" t="s">
        <v>2652</v>
      </c>
      <c r="AC4" s="3209" t="s">
        <v>2653</v>
      </c>
    </row>
    <row r="5" spans="1:29"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2550</v>
      </c>
      <c r="D6" s="3223"/>
      <c r="E6" s="3224" t="s">
        <v>2550</v>
      </c>
      <c r="F6" s="3225"/>
      <c r="G6" s="3222" t="s">
        <v>2550</v>
      </c>
      <c r="H6" s="3223"/>
      <c r="I6" s="3222" t="s">
        <v>2550</v>
      </c>
      <c r="J6" s="3223"/>
      <c r="K6" s="610" t="s">
        <v>2551</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2552</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2553</v>
      </c>
      <c r="Q7" s="3240"/>
      <c r="R7" s="770" t="s">
        <v>17</v>
      </c>
      <c r="S7" s="771">
        <f t="shared" ref="S7:S14" si="0">F7</f>
        <v>0</v>
      </c>
      <c r="T7" s="770" t="s">
        <v>17</v>
      </c>
      <c r="U7" s="771">
        <f t="shared" ref="U7:U14" si="1">H7</f>
        <v>0</v>
      </c>
      <c r="V7" s="770" t="s">
        <v>17</v>
      </c>
      <c r="W7" s="771">
        <f t="shared" ref="W7:W14" si="2">J7</f>
        <v>0</v>
      </c>
      <c r="X7" s="772"/>
      <c r="Y7" s="3212" t="s">
        <v>2553</v>
      </c>
      <c r="Z7" s="3213"/>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2556</v>
      </c>
      <c r="Q8" s="3213"/>
      <c r="R8" s="770" t="s">
        <v>17</v>
      </c>
      <c r="S8" s="771">
        <f t="shared" si="0"/>
        <v>0</v>
      </c>
      <c r="T8" s="770" t="s">
        <v>17</v>
      </c>
      <c r="U8" s="771">
        <f t="shared" si="1"/>
        <v>0</v>
      </c>
      <c r="V8" s="770" t="s">
        <v>17</v>
      </c>
      <c r="W8" s="771">
        <f t="shared" si="2"/>
        <v>0</v>
      </c>
      <c r="X8" s="772"/>
      <c r="Y8" s="3212" t="s">
        <v>2556</v>
      </c>
      <c r="Z8" s="3213"/>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6" t="s">
        <v>2559</v>
      </c>
      <c r="Q9" s="1795" t="str">
        <f t="shared" ref="Q9:Q14" si="6">B9</f>
        <v>用途</v>
      </c>
      <c r="R9" s="770" t="s">
        <v>17</v>
      </c>
      <c r="S9" s="771">
        <f t="shared" si="0"/>
        <v>100</v>
      </c>
      <c r="T9" s="770" t="s">
        <v>17</v>
      </c>
      <c r="U9" s="771">
        <f t="shared" si="1"/>
        <v>100</v>
      </c>
      <c r="V9" s="770" t="s">
        <v>17</v>
      </c>
      <c r="W9" s="771">
        <f t="shared" si="2"/>
        <v>100</v>
      </c>
      <c r="X9" s="772"/>
      <c r="Y9" s="3086"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6"/>
      <c r="Q11" s="1795">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01" t="s">
        <v>2563</v>
      </c>
      <c r="B14" s="629" t="s">
        <v>2713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1" t="s">
        <v>2564</v>
      </c>
      <c r="Q14" s="1810" t="str">
        <f t="shared" si="6"/>
        <v>交通便捷度</v>
      </c>
      <c r="R14" s="774" t="s">
        <v>17</v>
      </c>
      <c r="S14" s="775">
        <f t="shared" si="0"/>
        <v>100</v>
      </c>
      <c r="T14" s="774" t="s">
        <v>17</v>
      </c>
      <c r="U14" s="775">
        <f t="shared" si="1"/>
        <v>100</v>
      </c>
      <c r="V14" s="774" t="s">
        <v>17</v>
      </c>
      <c r="W14" s="775">
        <f t="shared" si="2"/>
        <v>100</v>
      </c>
      <c r="X14" s="1813"/>
      <c r="Y14" s="3241"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2"/>
      <c r="Q15" s="1810"/>
      <c r="R15" s="774"/>
      <c r="S15" s="775"/>
      <c r="T15" s="774"/>
      <c r="U15" s="775"/>
      <c r="V15" s="774"/>
      <c r="W15" s="775"/>
      <c r="X15" s="1813"/>
      <c r="Y15" s="3242"/>
      <c r="Z15" s="1814"/>
      <c r="AA15" s="1811">
        <v>1</v>
      </c>
      <c r="AB15" s="1811">
        <v>1</v>
      </c>
      <c r="AC15" s="1811">
        <v>1</v>
      </c>
    </row>
    <row r="16" spans="1:29" ht="42.75">
      <c r="A16" s="404"/>
      <c r="B16" s="631" t="s">
        <v>2692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42"/>
      <c r="Q17" s="1810"/>
      <c r="R17" s="774"/>
      <c r="S17" s="775"/>
      <c r="T17" s="774"/>
      <c r="U17" s="775"/>
      <c r="V17" s="774"/>
      <c r="W17" s="775"/>
      <c r="X17" s="1813"/>
      <c r="Y17" s="3242"/>
      <c r="Z17" s="1814"/>
      <c r="AA17" s="1811">
        <v>1</v>
      </c>
      <c r="AB17" s="1811">
        <v>1</v>
      </c>
      <c r="AC17" s="1811">
        <v>1</v>
      </c>
    </row>
    <row r="18" spans="1:29" ht="28.5">
      <c r="A18" s="404"/>
      <c r="B18" s="633" t="s">
        <v>2693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42"/>
      <c r="Q19" s="1810"/>
      <c r="R19" s="774"/>
      <c r="S19" s="775"/>
      <c r="T19" s="774"/>
      <c r="U19" s="775"/>
      <c r="V19" s="774"/>
      <c r="W19" s="775"/>
      <c r="X19" s="1813"/>
      <c r="Y19" s="3242"/>
      <c r="Z19" s="1814"/>
      <c r="AA19" s="1811">
        <v>1</v>
      </c>
      <c r="AB19" s="1811">
        <v>1</v>
      </c>
      <c r="AC19" s="1811">
        <v>1</v>
      </c>
    </row>
    <row r="20" spans="1:29" ht="57">
      <c r="A20" s="404"/>
      <c r="B20" s="631" t="s">
        <v>2714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2"/>
      <c r="Q21" s="1810"/>
      <c r="R21" s="774"/>
      <c r="S21" s="775"/>
      <c r="T21" s="774"/>
      <c r="U21" s="775"/>
      <c r="V21" s="774"/>
      <c r="W21" s="775"/>
      <c r="X21" s="1813"/>
      <c r="Y21" s="3242"/>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2"/>
      <c r="Q24" s="1810">
        <f t="shared" ref="Q24:Q36"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15">
      <c r="A26" s="652" t="s">
        <v>2567</v>
      </c>
      <c r="B26" s="70" t="s">
        <v>2716</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4"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4"/>
      <c r="Q28" s="1810" t="str">
        <f t="shared" si="11"/>
        <v>公共部分装修</v>
      </c>
      <c r="R28" s="774" t="s">
        <v>17</v>
      </c>
      <c r="S28" s="775">
        <f t="shared" si="12"/>
        <v>100</v>
      </c>
      <c r="T28" s="774" t="s">
        <v>17</v>
      </c>
      <c r="U28" s="775">
        <f t="shared" si="13"/>
        <v>100</v>
      </c>
      <c r="V28" s="774" t="s">
        <v>17</v>
      </c>
      <c r="W28" s="775">
        <f t="shared" si="14"/>
        <v>100</v>
      </c>
      <c r="X28" s="1813"/>
      <c r="Y28" s="3244"/>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4"/>
      <c r="Q29" s="1810" t="str">
        <f t="shared" si="11"/>
        <v>成新率</v>
      </c>
      <c r="R29" s="774" t="s">
        <v>17</v>
      </c>
      <c r="S29" s="775" t="e">
        <f t="shared" si="12"/>
        <v>#N/A</v>
      </c>
      <c r="T29" s="774" t="s">
        <v>17</v>
      </c>
      <c r="U29" s="775" t="e">
        <f t="shared" si="13"/>
        <v>#N/A</v>
      </c>
      <c r="V29" s="774" t="s">
        <v>17</v>
      </c>
      <c r="W29" s="775" t="e">
        <f t="shared" si="14"/>
        <v>#N/A</v>
      </c>
      <c r="X29" s="1813"/>
      <c r="Y29" s="3244"/>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4"/>
      <c r="Q30" s="1810" t="str">
        <f t="shared" si="11"/>
        <v>物业等级</v>
      </c>
      <c r="R30" s="774" t="s">
        <v>17</v>
      </c>
      <c r="S30" s="775">
        <f t="shared" si="12"/>
        <v>100</v>
      </c>
      <c r="T30" s="774" t="s">
        <v>17</v>
      </c>
      <c r="U30" s="775">
        <f t="shared" si="13"/>
        <v>100</v>
      </c>
      <c r="V30" s="774" t="s">
        <v>17</v>
      </c>
      <c r="W30" s="775">
        <f t="shared" si="14"/>
        <v>100</v>
      </c>
      <c r="X30" s="1813"/>
      <c r="Y30" s="3244"/>
      <c r="Z30" s="1814" t="str">
        <f t="shared" si="15"/>
        <v>物业等级</v>
      </c>
      <c r="AA30" s="1811">
        <f t="shared" si="3"/>
        <v>1</v>
      </c>
      <c r="AB30" s="1811">
        <f t="shared" si="4"/>
        <v>1</v>
      </c>
      <c r="AC30" s="1811">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4"/>
      <c r="Q31" s="1795"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4" t="s">
        <v>2569</v>
      </c>
      <c r="Q32" s="1810" t="str">
        <f t="shared" si="11"/>
        <v>车位类型</v>
      </c>
      <c r="R32" s="774" t="s">
        <v>17</v>
      </c>
      <c r="S32" s="775">
        <f t="shared" si="12"/>
        <v>100</v>
      </c>
      <c r="T32" s="774" t="s">
        <v>17</v>
      </c>
      <c r="U32" s="775">
        <f t="shared" si="13"/>
        <v>100</v>
      </c>
      <c r="V32" s="774" t="s">
        <v>17</v>
      </c>
      <c r="W32" s="775">
        <f t="shared" si="14"/>
        <v>100</v>
      </c>
      <c r="X32" s="1813"/>
      <c r="Y32" s="3244"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4"/>
      <c r="Q33" s="1810" t="str">
        <f t="shared" si="11"/>
        <v>是否直接入户</v>
      </c>
      <c r="R33" s="774" t="s">
        <v>17</v>
      </c>
      <c r="S33" s="775">
        <f t="shared" si="12"/>
        <v>100</v>
      </c>
      <c r="T33" s="774" t="s">
        <v>17</v>
      </c>
      <c r="U33" s="775">
        <f t="shared" si="13"/>
        <v>100</v>
      </c>
      <c r="V33" s="774" t="s">
        <v>17</v>
      </c>
      <c r="W33" s="775">
        <f t="shared" si="14"/>
        <v>100</v>
      </c>
      <c r="X33" s="1813"/>
      <c r="Y33" s="324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4"/>
      <c r="Q34" s="1810">
        <f t="shared" si="11"/>
        <v>111</v>
      </c>
      <c r="R34" s="774" t="s">
        <v>17</v>
      </c>
      <c r="S34" s="775">
        <f t="shared" si="12"/>
        <v>100</v>
      </c>
      <c r="T34" s="774" t="s">
        <v>17</v>
      </c>
      <c r="U34" s="775">
        <f t="shared" si="13"/>
        <v>100</v>
      </c>
      <c r="V34" s="774" t="s">
        <v>17</v>
      </c>
      <c r="W34" s="775">
        <f t="shared" si="14"/>
        <v>100</v>
      </c>
      <c r="X34" s="1813"/>
      <c r="Y34" s="324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4"/>
      <c r="Q36" s="1810">
        <f t="shared" si="11"/>
        <v>111</v>
      </c>
      <c r="R36" s="774" t="s">
        <v>17</v>
      </c>
      <c r="S36" s="775">
        <f t="shared" si="12"/>
        <v>100</v>
      </c>
      <c r="T36" s="774" t="s">
        <v>17</v>
      </c>
      <c r="U36" s="775">
        <f t="shared" si="13"/>
        <v>100</v>
      </c>
      <c r="V36" s="774" t="s">
        <v>17</v>
      </c>
      <c r="W36" s="775">
        <f t="shared" si="14"/>
        <v>100</v>
      </c>
      <c r="X36" s="1813"/>
      <c r="Y36" s="3244"/>
      <c r="Z36" s="1814">
        <f t="shared" si="15"/>
        <v>111</v>
      </c>
      <c r="AA36" s="1811">
        <f t="shared" si="3"/>
        <v>1</v>
      </c>
      <c r="AB36" s="1811">
        <f t="shared" si="4"/>
        <v>1</v>
      </c>
      <c r="AC36" s="1811">
        <f t="shared" si="5"/>
        <v>1</v>
      </c>
    </row>
    <row r="37" spans="1:29" ht="15">
      <c r="A37" s="479" t="s">
        <v>2724</v>
      </c>
      <c r="B37" s="2699" t="s">
        <v>2725</v>
      </c>
      <c r="C37" s="1407" t="s">
        <v>1</v>
      </c>
      <c r="D37" s="1408"/>
      <c r="E37" s="1409"/>
      <c r="F37" s="1410"/>
      <c r="G37" s="1411"/>
      <c r="H37" s="1412"/>
      <c r="I37" s="1409"/>
      <c r="J37" s="1412"/>
      <c r="K37" s="619"/>
      <c r="L37" s="1143"/>
      <c r="M37" s="1144"/>
      <c r="N37" s="1131"/>
      <c r="O37" s="1144"/>
      <c r="P37" s="3226" t="str">
        <f>A37</f>
        <v>成交单价</v>
      </c>
      <c r="Q37" s="3226"/>
      <c r="R37" s="3281">
        <f>E37</f>
        <v>0</v>
      </c>
      <c r="S37" s="3281"/>
      <c r="T37" s="3281">
        <f>G37</f>
        <v>0</v>
      </c>
      <c r="U37" s="3281"/>
      <c r="V37" s="3281">
        <f>I37</f>
        <v>0</v>
      </c>
      <c r="W37" s="3281"/>
      <c r="X37" s="759"/>
      <c r="Y37" s="781"/>
      <c r="Z37" s="759"/>
      <c r="AA37" s="759"/>
      <c r="AB37" s="759"/>
      <c r="AC37" s="759"/>
    </row>
    <row r="38" spans="1:29" ht="15.75" thickBot="1">
      <c r="A38" s="486" t="s">
        <v>2726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6" t="str">
        <f>A38</f>
        <v>比较价值（元/平方米）</v>
      </c>
      <c r="Q38" s="3226"/>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2727</v>
      </c>
      <c r="B39" s="493"/>
      <c r="C39" s="1417" t="e">
        <f>R39</f>
        <v>#DIV/0!</v>
      </c>
      <c r="D39" s="1417"/>
      <c r="E39" s="1417"/>
      <c r="F39" s="1417"/>
      <c r="G39" s="1417"/>
      <c r="H39" s="1417"/>
      <c r="I39" s="1417"/>
      <c r="J39" s="1417"/>
      <c r="K39" s="621"/>
      <c r="L39" s="1143"/>
      <c r="M39" s="1144"/>
      <c r="N39" s="1144"/>
      <c r="O39" s="1144"/>
      <c r="P39" s="3246" t="str">
        <f>A39</f>
        <v>估价对象XX用房的比较价值（楼面单价，元/平方米）</v>
      </c>
      <c r="Q39" s="3247"/>
      <c r="R39" s="3280" t="e">
        <f>IF(F1="售价",ROUND(AVERAGE(R38:V38),0),ROUND(AVERAGE(R38:V38),1))</f>
        <v>#DIV/0!</v>
      </c>
      <c r="S39" s="3280"/>
      <c r="T39" s="3280"/>
      <c r="U39" s="3280"/>
      <c r="V39" s="3280"/>
      <c r="W39" s="328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2732</v>
      </c>
      <c r="B48" s="506"/>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2554</v>
      </c>
      <c r="B51" s="510"/>
      <c r="C51" s="522" t="s">
        <v>2656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2592</v>
      </c>
      <c r="B53" s="528" t="s">
        <v>2558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2607</v>
      </c>
      <c r="C65" s="578" t="s">
        <v>2601</v>
      </c>
      <c r="D65" s="578" t="s">
        <v>2602</v>
      </c>
      <c r="E65" s="578" t="s">
        <v>2603</v>
      </c>
      <c r="F65" s="578" t="s">
        <v>2604</v>
      </c>
      <c r="G65" s="578" t="s">
        <v>2605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2693</v>
      </c>
      <c r="C67" s="660" t="s">
        <v>2679</v>
      </c>
      <c r="D67" s="660" t="s">
        <v>2680</v>
      </c>
      <c r="E67" s="660" t="s">
        <v>2681</v>
      </c>
      <c r="F67" s="660" t="s">
        <v>2682</v>
      </c>
      <c r="G67" s="660" t="s">
        <v>2683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2613</v>
      </c>
      <c r="C69" s="578" t="s">
        <v>2601</v>
      </c>
      <c r="D69" s="578" t="s">
        <v>2602</v>
      </c>
      <c r="E69" s="578" t="s">
        <v>2603</v>
      </c>
      <c r="F69" s="578" t="s">
        <v>2604</v>
      </c>
      <c r="G69" s="578" t="s">
        <v>2605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2567</v>
      </c>
      <c r="B79" s="528" t="s">
        <v>2734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2620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2740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IF(C2="——",ROUND(C37*D3/10000,0),ROUND(C37*D3/10000,0)-D2)</f>
        <v>#DIV/0!</v>
      </c>
      <c r="C2" s="2590"/>
      <c r="D2" s="1124" t="e">
        <f ca="1">SUMIF(INDIRECT("'"&amp;F2&amp;"'"&amp;"!A:A"),"承租人权益价值",INDIRECT("'"&amp;F2&amp;"'"&amp;"!c:c"))</f>
        <v>#REF!</v>
      </c>
      <c r="E2" s="2591" t="s">
        <v>2335</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10" t="s">
        <v>2652</v>
      </c>
      <c r="AC4" s="3209" t="s">
        <v>2653</v>
      </c>
    </row>
    <row r="5" spans="1:29"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2550</v>
      </c>
      <c r="D6" s="3223"/>
      <c r="E6" s="3224" t="s">
        <v>2550</v>
      </c>
      <c r="F6" s="3225"/>
      <c r="G6" s="3222" t="s">
        <v>2550</v>
      </c>
      <c r="H6" s="3223"/>
      <c r="I6" s="3222" t="s">
        <v>2550</v>
      </c>
      <c r="J6" s="3223"/>
      <c r="K6" s="610" t="s">
        <v>2551</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2552</v>
      </c>
      <c r="B7" s="409"/>
      <c r="C7" s="410">
        <f>'数据-取费表'!B2</f>
        <v>43488</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12" t="s">
        <v>2553</v>
      </c>
      <c r="Q7" s="3240"/>
      <c r="R7" s="770" t="s">
        <v>17</v>
      </c>
      <c r="S7" s="771">
        <f t="shared" ref="S7:S14" si="0">F7</f>
        <v>0</v>
      </c>
      <c r="T7" s="770" t="s">
        <v>17</v>
      </c>
      <c r="U7" s="771">
        <f t="shared" ref="U7:U14" si="1">H7</f>
        <v>0</v>
      </c>
      <c r="V7" s="770" t="s">
        <v>17</v>
      </c>
      <c r="W7" s="771">
        <f t="shared" ref="W7:W14" si="2">J7</f>
        <v>0</v>
      </c>
      <c r="X7" s="772"/>
      <c r="Y7" s="3212" t="s">
        <v>2553</v>
      </c>
      <c r="Z7" s="3213"/>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2556</v>
      </c>
      <c r="Q8" s="3213"/>
      <c r="R8" s="770" t="s">
        <v>17</v>
      </c>
      <c r="S8" s="771">
        <f t="shared" si="0"/>
        <v>0</v>
      </c>
      <c r="T8" s="770" t="s">
        <v>17</v>
      </c>
      <c r="U8" s="771">
        <f t="shared" si="1"/>
        <v>0</v>
      </c>
      <c r="V8" s="770" t="s">
        <v>17</v>
      </c>
      <c r="W8" s="771">
        <f t="shared" si="2"/>
        <v>0</v>
      </c>
      <c r="X8" s="772"/>
      <c r="Y8" s="3212" t="s">
        <v>2556</v>
      </c>
      <c r="Z8" s="3213"/>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6" t="s">
        <v>2559</v>
      </c>
      <c r="Q9" s="1795" t="str">
        <f t="shared" ref="Q9:Q14" si="6">B9</f>
        <v>用途</v>
      </c>
      <c r="R9" s="770" t="s">
        <v>17</v>
      </c>
      <c r="S9" s="771">
        <f t="shared" si="0"/>
        <v>100</v>
      </c>
      <c r="T9" s="770" t="s">
        <v>17</v>
      </c>
      <c r="U9" s="771">
        <f t="shared" si="1"/>
        <v>100</v>
      </c>
      <c r="V9" s="770" t="s">
        <v>17</v>
      </c>
      <c r="W9" s="771">
        <f t="shared" si="2"/>
        <v>100</v>
      </c>
      <c r="X9" s="772"/>
      <c r="Y9" s="3086"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6"/>
      <c r="Q11" s="1795">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40" t="s">
        <v>2563</v>
      </c>
      <c r="B14" s="69" t="s">
        <v>2713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1" t="s">
        <v>2564</v>
      </c>
      <c r="Q14" s="1810" t="str">
        <f t="shared" si="6"/>
        <v>交通便捷度</v>
      </c>
      <c r="R14" s="774" t="s">
        <v>17</v>
      </c>
      <c r="S14" s="775">
        <f t="shared" si="0"/>
        <v>100</v>
      </c>
      <c r="T14" s="774" t="s">
        <v>17</v>
      </c>
      <c r="U14" s="775">
        <f t="shared" si="1"/>
        <v>100</v>
      </c>
      <c r="V14" s="774" t="s">
        <v>17</v>
      </c>
      <c r="W14" s="775">
        <f t="shared" si="2"/>
        <v>100</v>
      </c>
      <c r="X14" s="1813"/>
      <c r="Y14" s="3241"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2"/>
      <c r="Q15" s="1810"/>
      <c r="R15" s="774"/>
      <c r="S15" s="775"/>
      <c r="T15" s="774"/>
      <c r="U15" s="775"/>
      <c r="V15" s="774"/>
      <c r="W15" s="775"/>
      <c r="X15" s="1813"/>
      <c r="Y15" s="3242"/>
      <c r="Z15" s="1814"/>
      <c r="AA15" s="1811">
        <v>1</v>
      </c>
      <c r="AB15" s="1811">
        <v>1</v>
      </c>
      <c r="AC15" s="1811">
        <v>1</v>
      </c>
    </row>
    <row r="16" spans="1:29" ht="42.75">
      <c r="A16" s="428"/>
      <c r="B16" s="451" t="s">
        <v>2692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42"/>
      <c r="Q17" s="1810"/>
      <c r="R17" s="774"/>
      <c r="S17" s="775"/>
      <c r="T17" s="774"/>
      <c r="U17" s="775"/>
      <c r="V17" s="774"/>
      <c r="W17" s="775"/>
      <c r="X17" s="1813"/>
      <c r="Y17" s="3242"/>
      <c r="Z17" s="1814"/>
      <c r="AA17" s="1811">
        <v>1</v>
      </c>
      <c r="AB17" s="1811">
        <v>1</v>
      </c>
      <c r="AC17" s="1811">
        <v>1</v>
      </c>
    </row>
    <row r="18" spans="1:29" ht="28.5">
      <c r="A18" s="428"/>
      <c r="B18" s="1384" t="s">
        <v>2693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42"/>
      <c r="Q19" s="1810"/>
      <c r="R19" s="774"/>
      <c r="S19" s="775"/>
      <c r="T19" s="774"/>
      <c r="U19" s="775"/>
      <c r="V19" s="774"/>
      <c r="W19" s="775"/>
      <c r="X19" s="1813"/>
      <c r="Y19" s="3242"/>
      <c r="Z19" s="1814"/>
      <c r="AA19" s="1811">
        <v>1</v>
      </c>
      <c r="AB19" s="1811">
        <v>1</v>
      </c>
      <c r="AC19" s="1811">
        <v>1</v>
      </c>
    </row>
    <row r="20" spans="1:29" ht="57">
      <c r="A20" s="428"/>
      <c r="B20" s="451" t="s">
        <v>2714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2"/>
      <c r="Q21" s="1810"/>
      <c r="R21" s="774"/>
      <c r="S21" s="775"/>
      <c r="T21" s="774"/>
      <c r="U21" s="775"/>
      <c r="V21" s="774"/>
      <c r="W21" s="775"/>
      <c r="X21" s="1813"/>
      <c r="Y21" s="3242"/>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2"/>
      <c r="Q24" s="1810">
        <f t="shared" ref="Q24:Q34"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15">
      <c r="A26" s="466" t="s">
        <v>2567</v>
      </c>
      <c r="B26" s="71" t="s">
        <v>2718</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3"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4"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4"/>
      <c r="Q28" s="1810" t="str">
        <f t="shared" si="11"/>
        <v>物业等级</v>
      </c>
      <c r="R28" s="774" t="s">
        <v>17</v>
      </c>
      <c r="S28" s="775">
        <f t="shared" si="12"/>
        <v>100</v>
      </c>
      <c r="T28" s="774" t="s">
        <v>17</v>
      </c>
      <c r="U28" s="775">
        <f t="shared" si="13"/>
        <v>100</v>
      </c>
      <c r="V28" s="774" t="s">
        <v>17</v>
      </c>
      <c r="W28" s="775">
        <f t="shared" si="14"/>
        <v>100</v>
      </c>
      <c r="X28" s="1813"/>
      <c r="Y28" s="3244"/>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4"/>
      <c r="Q29" s="1810" t="str">
        <f t="shared" si="11"/>
        <v>有无电梯</v>
      </c>
      <c r="R29" s="774" t="s">
        <v>17</v>
      </c>
      <c r="S29" s="775">
        <f t="shared" si="12"/>
        <v>100</v>
      </c>
      <c r="T29" s="774" t="s">
        <v>17</v>
      </c>
      <c r="U29" s="775">
        <f t="shared" si="13"/>
        <v>100</v>
      </c>
      <c r="V29" s="774" t="s">
        <v>17</v>
      </c>
      <c r="W29" s="775">
        <f t="shared" si="14"/>
        <v>100</v>
      </c>
      <c r="X29" s="1813"/>
      <c r="Y29" s="3244"/>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4"/>
      <c r="Q30" s="1810" t="str">
        <f t="shared" si="11"/>
        <v>建筑面积</v>
      </c>
      <c r="R30" s="774" t="s">
        <v>17</v>
      </c>
      <c r="S30" s="775" t="e">
        <f t="shared" si="12"/>
        <v>#N/A</v>
      </c>
      <c r="T30" s="774" t="s">
        <v>17</v>
      </c>
      <c r="U30" s="775" t="e">
        <f t="shared" si="13"/>
        <v>#N/A</v>
      </c>
      <c r="V30" s="774" t="s">
        <v>17</v>
      </c>
      <c r="W30" s="775" t="e">
        <f t="shared" si="14"/>
        <v>#N/A</v>
      </c>
      <c r="X30" s="1813"/>
      <c r="Y30" s="3244"/>
      <c r="Z30" s="1814" t="str">
        <f t="shared" si="15"/>
        <v>建筑面积</v>
      </c>
      <c r="AA30" s="1811" t="e">
        <f t="shared" si="3"/>
        <v>#N/A</v>
      </c>
      <c r="AB30" s="1811" t="e">
        <f t="shared" si="4"/>
        <v>#N/A</v>
      </c>
      <c r="AC30" s="1811"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4"/>
      <c r="Q31" s="1795"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4" t="s">
        <v>2569</v>
      </c>
      <c r="Q32" s="1810">
        <f t="shared" si="11"/>
        <v>111</v>
      </c>
      <c r="R32" s="774" t="s">
        <v>17</v>
      </c>
      <c r="S32" s="775">
        <f t="shared" si="12"/>
        <v>100</v>
      </c>
      <c r="T32" s="774" t="s">
        <v>17</v>
      </c>
      <c r="U32" s="775">
        <f t="shared" si="13"/>
        <v>100</v>
      </c>
      <c r="V32" s="774" t="s">
        <v>17</v>
      </c>
      <c r="W32" s="775">
        <f t="shared" si="14"/>
        <v>100</v>
      </c>
      <c r="X32" s="1813"/>
      <c r="Y32" s="3244" t="s">
        <v>2569</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4"/>
      <c r="Q33" s="1810">
        <f t="shared" si="11"/>
        <v>111</v>
      </c>
      <c r="R33" s="774" t="s">
        <v>17</v>
      </c>
      <c r="S33" s="775">
        <f t="shared" si="12"/>
        <v>100</v>
      </c>
      <c r="T33" s="774" t="s">
        <v>17</v>
      </c>
      <c r="U33" s="775">
        <f t="shared" si="13"/>
        <v>100</v>
      </c>
      <c r="V33" s="774" t="s">
        <v>17</v>
      </c>
      <c r="W33" s="775">
        <f t="shared" si="14"/>
        <v>100</v>
      </c>
      <c r="X33" s="1813"/>
      <c r="Y33" s="3244"/>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44"/>
      <c r="Q34" s="1810">
        <f t="shared" si="11"/>
        <v>111</v>
      </c>
      <c r="R34" s="774" t="s">
        <v>17</v>
      </c>
      <c r="S34" s="775">
        <f t="shared" si="12"/>
        <v>100</v>
      </c>
      <c r="T34" s="774" t="s">
        <v>17</v>
      </c>
      <c r="U34" s="775">
        <f t="shared" si="13"/>
        <v>100</v>
      </c>
      <c r="V34" s="774" t="s">
        <v>17</v>
      </c>
      <c r="W34" s="775">
        <f t="shared" si="14"/>
        <v>100</v>
      </c>
      <c r="X34" s="1813"/>
      <c r="Y34" s="3244"/>
      <c r="Z34" s="1814">
        <f t="shared" si="15"/>
        <v>111</v>
      </c>
      <c r="AA34" s="1811">
        <f t="shared" si="3"/>
        <v>1</v>
      </c>
      <c r="AB34" s="1811">
        <f t="shared" si="4"/>
        <v>1</v>
      </c>
      <c r="AC34" s="1811">
        <f t="shared" si="5"/>
        <v>1</v>
      </c>
    </row>
    <row r="35" spans="1:29" ht="15">
      <c r="A35" s="479" t="s">
        <v>2581</v>
      </c>
      <c r="B35" s="480"/>
      <c r="C35" s="1407" t="s">
        <v>1</v>
      </c>
      <c r="D35" s="1408"/>
      <c r="E35" s="1409"/>
      <c r="F35" s="1410"/>
      <c r="G35" s="1411"/>
      <c r="H35" s="1412"/>
      <c r="I35" s="1409"/>
      <c r="J35" s="1412"/>
      <c r="K35" s="783"/>
      <c r="L35" s="1143"/>
      <c r="M35" s="1144"/>
      <c r="N35" s="1131"/>
      <c r="O35" s="1144"/>
      <c r="P35" s="3226" t="str">
        <f>A35</f>
        <v>成交单价（元/平方米）</v>
      </c>
      <c r="Q35" s="3226"/>
      <c r="R35" s="3281">
        <f>E35</f>
        <v>0</v>
      </c>
      <c r="S35" s="3281"/>
      <c r="T35" s="3281">
        <f>G35</f>
        <v>0</v>
      </c>
      <c r="U35" s="3281"/>
      <c r="V35" s="3281">
        <f>I35</f>
        <v>0</v>
      </c>
      <c r="W35" s="3281"/>
      <c r="X35" s="759"/>
      <c r="Y35" s="781"/>
      <c r="Z35" s="759"/>
      <c r="AA35" s="759"/>
      <c r="AB35" s="759"/>
      <c r="AC35" s="759"/>
    </row>
    <row r="36" spans="1:29" ht="15.75" thickBot="1">
      <c r="A36" s="486" t="s">
        <v>2673</v>
      </c>
      <c r="B36" s="487"/>
      <c r="C36" s="1413" t="e">
        <f>R37</f>
        <v>#DIV/0!</v>
      </c>
      <c r="D36" s="1414"/>
      <c r="E36" s="1415" t="e">
        <f>R36</f>
        <v>#DIV/0!</v>
      </c>
      <c r="F36" s="1415"/>
      <c r="G36" s="1413" t="e">
        <f>T36</f>
        <v>#DIV/0!</v>
      </c>
      <c r="H36" s="1414"/>
      <c r="I36" s="1415" t="e">
        <f>V36</f>
        <v>#DIV/0!</v>
      </c>
      <c r="J36" s="1414"/>
      <c r="K36" s="784"/>
      <c r="L36" s="1143"/>
      <c r="M36" s="1144"/>
      <c r="N36" s="1131"/>
      <c r="O36" s="1144"/>
      <c r="P36" s="3226" t="str">
        <f>A36</f>
        <v>比较价值（元/平方米）</v>
      </c>
      <c r="Q36" s="3226"/>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2674</v>
      </c>
      <c r="B37" s="493"/>
      <c r="C37" s="1417" t="e">
        <f>R37</f>
        <v>#DIV/0!</v>
      </c>
      <c r="D37" s="1417"/>
      <c r="E37" s="1417"/>
      <c r="F37" s="1417"/>
      <c r="G37" s="1417"/>
      <c r="H37" s="1417"/>
      <c r="I37" s="1417"/>
      <c r="J37" s="1417"/>
      <c r="K37" s="785"/>
      <c r="L37" s="1143"/>
      <c r="M37" s="1144"/>
      <c r="N37" s="1144"/>
      <c r="O37" s="1144"/>
      <c r="P37" s="3246" t="str">
        <f>A37</f>
        <v>估价对象XX用房的比较价值（楼面单价，元/平方米）</v>
      </c>
      <c r="Q37" s="3247"/>
      <c r="R37" s="3280" t="e">
        <f>IF(F1="售价",ROUND(AVERAGE(R36:V36),0),ROUND(AVERAGE(R36:V36),1))</f>
        <v>#DIV/0!</v>
      </c>
      <c r="S37" s="3280"/>
      <c r="T37" s="3280"/>
      <c r="U37" s="3280"/>
      <c r="V37" s="3280"/>
      <c r="W37" s="328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2592</v>
      </c>
      <c r="B51" s="528" t="s">
        <v>2558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2567</v>
      </c>
      <c r="B77" s="528" t="s">
        <v>2620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227" t="s">
        <v>2650</v>
      </c>
      <c r="D4" s="3228"/>
      <c r="E4" s="3229" t="s">
        <v>2651</v>
      </c>
      <c r="F4" s="3230"/>
      <c r="G4" s="3227" t="s">
        <v>2652</v>
      </c>
      <c r="H4" s="3228"/>
      <c r="I4" s="3227" t="s">
        <v>2653</v>
      </c>
      <c r="J4" s="3228"/>
      <c r="K4" s="610" t="s">
        <v>2654</v>
      </c>
      <c r="L4" s="1130"/>
      <c r="M4" s="1131"/>
      <c r="N4" s="1131"/>
      <c r="O4" s="1131"/>
      <c r="P4" s="3231" t="s">
        <v>2655</v>
      </c>
      <c r="Q4" s="3232"/>
      <c r="R4" s="3214" t="s">
        <v>2651</v>
      </c>
      <c r="S4" s="3215"/>
      <c r="T4" s="3214" t="s">
        <v>2652</v>
      </c>
      <c r="U4" s="3215"/>
      <c r="V4" s="3239" t="s">
        <v>2653</v>
      </c>
      <c r="W4" s="3239"/>
      <c r="X4" s="1813"/>
      <c r="Y4" s="3214" t="s">
        <v>2655</v>
      </c>
      <c r="Z4" s="3215"/>
      <c r="AA4" s="3209" t="s">
        <v>2651</v>
      </c>
      <c r="AB4" s="3210" t="s">
        <v>2652</v>
      </c>
      <c r="AC4" s="3209" t="s">
        <v>2653</v>
      </c>
    </row>
    <row r="5" spans="1:29" ht="15">
      <c r="A5" s="404"/>
      <c r="B5" s="405"/>
      <c r="C5" s="3220" t="s">
        <v>2546</v>
      </c>
      <c r="D5" s="3221"/>
      <c r="E5" s="3218" t="s">
        <v>2547</v>
      </c>
      <c r="F5" s="3219"/>
      <c r="G5" s="3220" t="s">
        <v>2548</v>
      </c>
      <c r="H5" s="3221"/>
      <c r="I5" s="3220" t="s">
        <v>2549</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303" t="s">
        <v>2801</v>
      </c>
      <c r="D6" s="3304"/>
      <c r="E6" s="3305" t="s">
        <v>2801</v>
      </c>
      <c r="F6" s="3306"/>
      <c r="G6" s="3303" t="s">
        <v>2801</v>
      </c>
      <c r="H6" s="3304"/>
      <c r="I6" s="3303" t="s">
        <v>2801</v>
      </c>
      <c r="J6" s="3304"/>
      <c r="K6" s="610" t="s">
        <v>2551</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2552</v>
      </c>
      <c r="B7" s="409"/>
      <c r="C7" s="410">
        <f>'数据-取费表'!B2</f>
        <v>43488</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12" t="s">
        <v>2553</v>
      </c>
      <c r="Q7" s="3240"/>
      <c r="R7" s="770" t="s">
        <v>17</v>
      </c>
      <c r="S7" s="771">
        <f t="shared" ref="S7:S15" si="0">F7</f>
        <v>0</v>
      </c>
      <c r="T7" s="770" t="s">
        <v>17</v>
      </c>
      <c r="U7" s="771">
        <f t="shared" ref="U7:U15" si="1">H7</f>
        <v>0</v>
      </c>
      <c r="V7" s="770" t="s">
        <v>17</v>
      </c>
      <c r="W7" s="771">
        <f t="shared" ref="W7:W15" si="2">J7</f>
        <v>0</v>
      </c>
      <c r="X7" s="772"/>
      <c r="Y7" s="3212" t="s">
        <v>2553</v>
      </c>
      <c r="Z7" s="3213"/>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2556</v>
      </c>
      <c r="Q8" s="3213"/>
      <c r="R8" s="770" t="s">
        <v>17</v>
      </c>
      <c r="S8" s="771">
        <f t="shared" si="0"/>
        <v>0</v>
      </c>
      <c r="T8" s="770" t="s">
        <v>17</v>
      </c>
      <c r="U8" s="771">
        <f t="shared" si="1"/>
        <v>0</v>
      </c>
      <c r="V8" s="770" t="s">
        <v>17</v>
      </c>
      <c r="W8" s="771">
        <f t="shared" si="2"/>
        <v>0</v>
      </c>
      <c r="X8" s="772"/>
      <c r="Y8" s="3212" t="s">
        <v>2556</v>
      </c>
      <c r="Z8" s="3213"/>
      <c r="AA8" s="773" t="e">
        <f t="shared" ref="AA8:AA40" si="3">D8/F8</f>
        <v>#DIV/0!</v>
      </c>
      <c r="AB8" s="773" t="e">
        <f t="shared" ref="AB8:AB40" si="4">D8/H8</f>
        <v>#DIV/0!</v>
      </c>
      <c r="AC8" s="773" t="e">
        <f t="shared" ref="AC8:AC40" si="5">D8/J8</f>
        <v>#DIV/0!</v>
      </c>
    </row>
    <row r="9" spans="1:29" s="117" customFormat="1">
      <c r="A9" s="415" t="s">
        <v>2557</v>
      </c>
      <c r="B9" s="71" t="s">
        <v>2558</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6" t="s">
        <v>2559</v>
      </c>
      <c r="Q9" s="1795" t="str">
        <f t="shared" ref="Q9:Q15" si="6">B9</f>
        <v>用途</v>
      </c>
      <c r="R9" s="770" t="s">
        <v>17</v>
      </c>
      <c r="S9" s="771">
        <f t="shared" si="0"/>
        <v>100</v>
      </c>
      <c r="T9" s="770" t="s">
        <v>17</v>
      </c>
      <c r="U9" s="771">
        <f t="shared" si="1"/>
        <v>100</v>
      </c>
      <c r="V9" s="770" t="s">
        <v>17</v>
      </c>
      <c r="W9" s="771">
        <f t="shared" si="2"/>
        <v>100</v>
      </c>
      <c r="X9" s="772"/>
      <c r="Y9" s="3086"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6"/>
      <c r="Q11" s="1795"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2563</v>
      </c>
      <c r="B15" s="629" t="s">
        <v>2802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1" t="s">
        <v>2564</v>
      </c>
      <c r="Q15" s="1810" t="str">
        <f t="shared" si="6"/>
        <v>产业集聚程度</v>
      </c>
      <c r="R15" s="774" t="s">
        <v>17</v>
      </c>
      <c r="S15" s="775">
        <f t="shared" si="0"/>
        <v>100</v>
      </c>
      <c r="T15" s="774" t="s">
        <v>17</v>
      </c>
      <c r="U15" s="775">
        <f t="shared" si="1"/>
        <v>100</v>
      </c>
      <c r="V15" s="774" t="s">
        <v>17</v>
      </c>
      <c r="W15" s="775">
        <f t="shared" si="2"/>
        <v>100</v>
      </c>
      <c r="X15" s="1813"/>
      <c r="Y15" s="3241" t="s">
        <v>2564</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631" t="s">
        <v>2713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15">
      <c r="A19" s="428"/>
      <c r="B19" s="631" t="s">
        <v>2752</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2"/>
      <c r="Q19" s="1810" t="str">
        <f t="shared" ref="Q19:Q33" si="8">B19</f>
        <v>区域土地利用方向</v>
      </c>
      <c r="R19" s="774" t="s">
        <v>17</v>
      </c>
      <c r="S19" s="775">
        <f>F19</f>
        <v>100</v>
      </c>
      <c r="T19" s="774" t="s">
        <v>17</v>
      </c>
      <c r="U19" s="775">
        <f>H19</f>
        <v>100</v>
      </c>
      <c r="V19" s="774" t="s">
        <v>17</v>
      </c>
      <c r="W19" s="775">
        <f>J19</f>
        <v>100</v>
      </c>
      <c r="X19" s="1813"/>
      <c r="Y19" s="3242"/>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09"/>
      <c r="L20" s="1140"/>
      <c r="M20" s="1131"/>
      <c r="N20" s="1131"/>
      <c r="O20" s="1139"/>
      <c r="P20" s="3242"/>
      <c r="Q20" s="1810"/>
      <c r="R20" s="774"/>
      <c r="S20" s="775"/>
      <c r="T20" s="774"/>
      <c r="U20" s="775"/>
      <c r="V20" s="774"/>
      <c r="W20" s="775"/>
      <c r="X20" s="1813"/>
      <c r="Y20" s="3242"/>
      <c r="Z20" s="1814"/>
      <c r="AA20" s="1811"/>
      <c r="AB20" s="1811"/>
      <c r="AC20" s="1811"/>
    </row>
    <row r="21" spans="1:29" ht="71.25">
      <c r="A21" s="404"/>
      <c r="B21" s="631" t="s">
        <v>2803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2"/>
      <c r="Q21" s="1810" t="str">
        <f t="shared" si="8"/>
        <v>环境状况</v>
      </c>
      <c r="R21" s="774" t="s">
        <v>17</v>
      </c>
      <c r="S21" s="775">
        <f>F21</f>
        <v>100</v>
      </c>
      <c r="T21" s="774" t="s">
        <v>17</v>
      </c>
      <c r="U21" s="775">
        <f>H21</f>
        <v>100</v>
      </c>
      <c r="V21" s="774" t="s">
        <v>17</v>
      </c>
      <c r="W21" s="775">
        <f>J21</f>
        <v>100</v>
      </c>
      <c r="X21" s="1813"/>
      <c r="Y21" s="3242"/>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s="117" customFormat="1" ht="42.75">
      <c r="A23" s="649"/>
      <c r="B23" s="633" t="s">
        <v>2658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2"/>
      <c r="Q23" s="1795" t="str">
        <f t="shared" si="8"/>
        <v>公共配套设施</v>
      </c>
      <c r="R23" s="770" t="s">
        <v>17</v>
      </c>
      <c r="S23" s="771">
        <f>F23</f>
        <v>100</v>
      </c>
      <c r="T23" s="770" t="s">
        <v>17</v>
      </c>
      <c r="U23" s="771">
        <f>H23</f>
        <v>100</v>
      </c>
      <c r="V23" s="770" t="s">
        <v>17</v>
      </c>
      <c r="W23" s="771">
        <f>J23</f>
        <v>100</v>
      </c>
      <c r="X23" s="772"/>
      <c r="Y23" s="3242"/>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42"/>
      <c r="Q24" s="1795"/>
      <c r="R24" s="770"/>
      <c r="S24" s="771"/>
      <c r="T24" s="770"/>
      <c r="U24" s="771"/>
      <c r="V24" s="770"/>
      <c r="W24" s="771"/>
      <c r="X24" s="772"/>
      <c r="Y24" s="3242"/>
      <c r="Z24" s="55"/>
      <c r="AA24" s="773">
        <v>1</v>
      </c>
      <c r="AB24" s="773">
        <v>1</v>
      </c>
      <c r="AC24" s="773">
        <v>1</v>
      </c>
    </row>
    <row r="25" spans="1:29" s="117" customFormat="1" ht="28.5">
      <c r="A25" s="649"/>
      <c r="B25" s="633" t="s">
        <v>2659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2"/>
      <c r="Q25" s="1795"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42"/>
      <c r="Q26" s="1795"/>
      <c r="R26" s="770"/>
      <c r="S26" s="771"/>
      <c r="T26" s="770"/>
      <c r="U26" s="771"/>
      <c r="V26" s="770"/>
      <c r="W26" s="771"/>
      <c r="X26" s="772"/>
      <c r="Y26" s="324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2"/>
      <c r="Z27" s="1814" t="str">
        <f t="shared" ref="Z27:Z40" si="13">Q27</f>
        <v>临街状况</v>
      </c>
      <c r="AA27" s="1811">
        <f t="shared" si="3"/>
        <v>1</v>
      </c>
      <c r="AB27" s="1811">
        <f t="shared" si="4"/>
        <v>1</v>
      </c>
      <c r="AC27" s="1811">
        <f t="shared" si="5"/>
        <v>1</v>
      </c>
    </row>
    <row r="28" spans="1:29" ht="27">
      <c r="A28" s="428"/>
      <c r="B28" s="633" t="s">
        <v>2695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2"/>
      <c r="Q28" s="1810" t="str">
        <f t="shared" si="8"/>
        <v>毗邻道路的类型与等级</v>
      </c>
      <c r="R28" s="774" t="s">
        <v>17</v>
      </c>
      <c r="S28" s="775">
        <f t="shared" si="10"/>
        <v>100</v>
      </c>
      <c r="T28" s="774" t="s">
        <v>17</v>
      </c>
      <c r="U28" s="775">
        <f t="shared" si="11"/>
        <v>100</v>
      </c>
      <c r="V28" s="774" t="s">
        <v>17</v>
      </c>
      <c r="W28" s="775">
        <f t="shared" si="12"/>
        <v>100</v>
      </c>
      <c r="X28" s="1813"/>
      <c r="Y28" s="3242"/>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42"/>
      <c r="Q29" s="1810"/>
      <c r="R29" s="774"/>
      <c r="S29" s="775"/>
      <c r="T29" s="774"/>
      <c r="U29" s="775"/>
      <c r="V29" s="774"/>
      <c r="W29" s="775"/>
      <c r="X29" s="1813"/>
      <c r="Y29" s="3242"/>
      <c r="Z29" s="1814"/>
      <c r="AA29" s="1811">
        <v>1</v>
      </c>
      <c r="AB29" s="1811">
        <v>1</v>
      </c>
      <c r="AC29" s="1811">
        <v>1</v>
      </c>
    </row>
    <row r="30" spans="1:29" ht="15">
      <c r="A30" s="428"/>
      <c r="B30" s="654" t="s">
        <v>2754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2"/>
      <c r="Q30" s="1810" t="str">
        <f t="shared" si="8"/>
        <v>土地级别</v>
      </c>
      <c r="R30" s="774" t="s">
        <v>17</v>
      </c>
      <c r="S30" s="775">
        <f t="shared" si="10"/>
        <v>100</v>
      </c>
      <c r="T30" s="774" t="s">
        <v>17</v>
      </c>
      <c r="U30" s="775">
        <f t="shared" si="11"/>
        <v>100</v>
      </c>
      <c r="V30" s="774" t="s">
        <v>17</v>
      </c>
      <c r="W30" s="775">
        <f t="shared" si="12"/>
        <v>100</v>
      </c>
      <c r="X30" s="1813"/>
      <c r="Y30" s="3242"/>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2"/>
      <c r="Q31" s="1810">
        <f t="shared" si="8"/>
        <v>111</v>
      </c>
      <c r="R31" s="774" t="s">
        <v>17</v>
      </c>
      <c r="S31" s="775">
        <f t="shared" si="10"/>
        <v>100</v>
      </c>
      <c r="T31" s="774" t="s">
        <v>17</v>
      </c>
      <c r="U31" s="775">
        <f t="shared" si="11"/>
        <v>100</v>
      </c>
      <c r="V31" s="774" t="s">
        <v>17</v>
      </c>
      <c r="W31" s="775">
        <f t="shared" si="12"/>
        <v>100</v>
      </c>
      <c r="X31" s="1813"/>
      <c r="Y31" s="3242"/>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2569</v>
      </c>
      <c r="Q32" s="1810">
        <f t="shared" si="8"/>
        <v>111</v>
      </c>
      <c r="R32" s="774" t="s">
        <v>17</v>
      </c>
      <c r="S32" s="775">
        <f t="shared" si="10"/>
        <v>100</v>
      </c>
      <c r="T32" s="774" t="s">
        <v>17</v>
      </c>
      <c r="U32" s="775">
        <f t="shared" si="11"/>
        <v>100</v>
      </c>
      <c r="V32" s="774" t="s">
        <v>17</v>
      </c>
      <c r="W32" s="775">
        <f t="shared" si="12"/>
        <v>100</v>
      </c>
      <c r="X32" s="1813"/>
      <c r="Y32" s="3244" t="s">
        <v>2569</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4"/>
      <c r="Q33" s="1810">
        <f t="shared" si="8"/>
        <v>111</v>
      </c>
      <c r="R33" s="777" t="s">
        <v>17</v>
      </c>
      <c r="S33" s="778">
        <f t="shared" si="10"/>
        <v>100</v>
      </c>
      <c r="T33" s="777" t="s">
        <v>17</v>
      </c>
      <c r="U33" s="778">
        <f t="shared" si="11"/>
        <v>100</v>
      </c>
      <c r="V33" s="777" t="s">
        <v>17</v>
      </c>
      <c r="W33" s="778">
        <f t="shared" si="12"/>
        <v>100</v>
      </c>
      <c r="X33" s="779"/>
      <c r="Y33" s="3244"/>
      <c r="Z33" s="780">
        <f t="shared" si="13"/>
        <v>111</v>
      </c>
      <c r="AA33" s="1811">
        <f t="shared" si="3"/>
        <v>1</v>
      </c>
      <c r="AB33" s="1811">
        <f t="shared" si="4"/>
        <v>1</v>
      </c>
      <c r="AC33" s="1811">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4"/>
      <c r="Q34" s="1810" t="str">
        <f>B34</f>
        <v>宗地面积</v>
      </c>
      <c r="R34" s="774" t="s">
        <v>17</v>
      </c>
      <c r="S34" s="775" t="e">
        <f t="shared" si="10"/>
        <v>#N/A</v>
      </c>
      <c r="T34" s="774" t="s">
        <v>17</v>
      </c>
      <c r="U34" s="775" t="e">
        <f t="shared" si="11"/>
        <v>#N/A</v>
      </c>
      <c r="V34" s="774" t="s">
        <v>17</v>
      </c>
      <c r="W34" s="775" t="e">
        <f t="shared" si="12"/>
        <v>#N/A</v>
      </c>
      <c r="X34" s="1813"/>
      <c r="Y34" s="3244"/>
      <c r="Z34" s="1814" t="str">
        <f t="shared" si="13"/>
        <v>宗地面积</v>
      </c>
      <c r="AA34" s="1811" t="e">
        <f t="shared" si="3"/>
        <v>#N/A</v>
      </c>
      <c r="AB34" s="1811" t="e">
        <f t="shared" si="4"/>
        <v>#N/A</v>
      </c>
      <c r="AC34" s="1811" t="e">
        <f t="shared" si="5"/>
        <v>#N/A</v>
      </c>
    </row>
    <row r="35" spans="1:29" ht="15">
      <c r="A35" s="472"/>
      <c r="B35" s="422" t="s">
        <v>2756</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44"/>
      <c r="Q35" s="1810" t="str">
        <f t="shared" ref="Q35:Q40" si="14">B35</f>
        <v>宗地形状</v>
      </c>
      <c r="R35" s="774" t="s">
        <v>17</v>
      </c>
      <c r="S35" s="775">
        <f t="shared" si="10"/>
        <v>100</v>
      </c>
      <c r="T35" s="774" t="s">
        <v>17</v>
      </c>
      <c r="U35" s="775">
        <f t="shared" si="11"/>
        <v>100</v>
      </c>
      <c r="V35" s="774" t="s">
        <v>17</v>
      </c>
      <c r="W35" s="775">
        <f t="shared" si="12"/>
        <v>100</v>
      </c>
      <c r="X35" s="1813"/>
      <c r="Y35" s="3244"/>
      <c r="Z35" s="1814" t="str">
        <f t="shared" si="13"/>
        <v>宗地形状</v>
      </c>
      <c r="AA35" s="1811">
        <f t="shared" si="3"/>
        <v>1</v>
      </c>
      <c r="AB35" s="1811">
        <f t="shared" si="4"/>
        <v>1</v>
      </c>
      <c r="AC35" s="1811">
        <f t="shared" si="5"/>
        <v>1</v>
      </c>
    </row>
    <row r="36" spans="1:29" s="117" customFormat="1" ht="15">
      <c r="A36" s="473"/>
      <c r="B36" s="422" t="s">
        <v>2758</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44"/>
      <c r="Q36" s="1810"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2759</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44" t="s">
        <v>2569</v>
      </c>
      <c r="Q37" s="1810" t="str">
        <f t="shared" si="14"/>
        <v>工程地质条件</v>
      </c>
      <c r="R37" s="774" t="s">
        <v>17</v>
      </c>
      <c r="S37" s="775">
        <f t="shared" si="10"/>
        <v>100</v>
      </c>
      <c r="T37" s="774" t="s">
        <v>17</v>
      </c>
      <c r="U37" s="775">
        <f t="shared" si="11"/>
        <v>100</v>
      </c>
      <c r="V37" s="774" t="s">
        <v>17</v>
      </c>
      <c r="W37" s="775">
        <f t="shared" si="12"/>
        <v>100</v>
      </c>
      <c r="X37" s="1813"/>
      <c r="Y37" s="3244" t="s">
        <v>2569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4"/>
      <c r="Q38" s="1810">
        <f t="shared" si="14"/>
        <v>111</v>
      </c>
      <c r="R38" s="774" t="s">
        <v>17</v>
      </c>
      <c r="S38" s="775">
        <f t="shared" si="10"/>
        <v>100</v>
      </c>
      <c r="T38" s="774" t="s">
        <v>17</v>
      </c>
      <c r="U38" s="775">
        <f t="shared" si="11"/>
        <v>100</v>
      </c>
      <c r="V38" s="774" t="s">
        <v>17</v>
      </c>
      <c r="W38" s="775">
        <f t="shared" si="12"/>
        <v>100</v>
      </c>
      <c r="X38" s="1813"/>
      <c r="Y38" s="324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4"/>
      <c r="Q39" s="1810">
        <f t="shared" si="14"/>
        <v>111</v>
      </c>
      <c r="R39" s="774" t="s">
        <v>17</v>
      </c>
      <c r="S39" s="775">
        <f t="shared" si="10"/>
        <v>100</v>
      </c>
      <c r="T39" s="774" t="s">
        <v>17</v>
      </c>
      <c r="U39" s="775">
        <f t="shared" si="11"/>
        <v>100</v>
      </c>
      <c r="V39" s="774" t="s">
        <v>17</v>
      </c>
      <c r="W39" s="775">
        <f t="shared" si="12"/>
        <v>100</v>
      </c>
      <c r="X39" s="1813"/>
      <c r="Y39" s="3244"/>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4"/>
      <c r="Q40" s="1810">
        <f t="shared" si="14"/>
        <v>111</v>
      </c>
      <c r="R40" s="777" t="s">
        <v>17</v>
      </c>
      <c r="S40" s="778">
        <f t="shared" si="10"/>
        <v>100</v>
      </c>
      <c r="T40" s="777" t="s">
        <v>17</v>
      </c>
      <c r="U40" s="778">
        <f t="shared" si="11"/>
        <v>100</v>
      </c>
      <c r="V40" s="777" t="s">
        <v>17</v>
      </c>
      <c r="W40" s="778">
        <f t="shared" si="12"/>
        <v>100</v>
      </c>
      <c r="X40" s="779"/>
      <c r="Y40" s="3244"/>
      <c r="Z40" s="780">
        <f t="shared" si="13"/>
        <v>111</v>
      </c>
      <c r="AA40" s="1811">
        <f t="shared" si="3"/>
        <v>1</v>
      </c>
      <c r="AB40" s="1811">
        <f t="shared" si="4"/>
        <v>1</v>
      </c>
      <c r="AC40" s="1811">
        <f t="shared" si="5"/>
        <v>1</v>
      </c>
    </row>
    <row r="41" spans="1:29" ht="15">
      <c r="A41" s="479" t="s">
        <v>2724</v>
      </c>
      <c r="B41" s="2708" t="s">
        <v>2804</v>
      </c>
      <c r="C41" s="682" t="s">
        <v>1</v>
      </c>
      <c r="D41" s="481"/>
      <c r="E41" s="482"/>
      <c r="F41" s="483"/>
      <c r="G41" s="484"/>
      <c r="H41" s="485"/>
      <c r="I41" s="482"/>
      <c r="J41" s="485"/>
      <c r="K41" s="783"/>
      <c r="L41" s="1143"/>
      <c r="M41" s="1131"/>
      <c r="N41" s="1131"/>
      <c r="O41" s="1144"/>
      <c r="P41" s="3226" t="str">
        <f>A41</f>
        <v>成交单价</v>
      </c>
      <c r="Q41" s="3226"/>
      <c r="R41" s="3239">
        <f>E41</f>
        <v>0</v>
      </c>
      <c r="S41" s="3239"/>
      <c r="T41" s="3239">
        <f>G41</f>
        <v>0</v>
      </c>
      <c r="U41" s="3239"/>
      <c r="V41" s="3239">
        <f>I41</f>
        <v>0</v>
      </c>
      <c r="W41" s="3239"/>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3"/>
      <c r="M42" s="1131"/>
      <c r="N42" s="1131"/>
      <c r="O42" s="1144"/>
      <c r="P42" s="3226" t="str">
        <f>A42</f>
        <v>比较价值（元/平方米）</v>
      </c>
      <c r="Q42" s="3226"/>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3"/>
      <c r="M43" s="1131"/>
      <c r="N43" s="1131"/>
      <c r="O43" s="1144"/>
      <c r="P43" s="3246" t="str">
        <f>A43</f>
        <v>估价对象XX用房的比较价值（楼面单价，元/平方米）</v>
      </c>
      <c r="Q43" s="3247"/>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2762</v>
      </c>
      <c r="B50" s="685" t="s">
        <v>2763</v>
      </c>
      <c r="C50" s="2709" t="s">
        <v>2764</v>
      </c>
      <c r="D50" s="2710" t="s">
        <v>2765</v>
      </c>
      <c r="E50" s="686" t="s">
        <v>2766</v>
      </c>
      <c r="F50" s="687" t="s">
        <v>2767</v>
      </c>
      <c r="G50" s="3227" t="s">
        <v>2768</v>
      </c>
      <c r="H50" s="3249"/>
      <c r="I50" s="1814" t="s">
        <v>2805</v>
      </c>
      <c r="J50" s="1814">
        <f>项目基本情况!F35</f>
        <v>0</v>
      </c>
      <c r="K50" s="2712" t="s">
        <v>2770</v>
      </c>
      <c r="L50" s="1106"/>
      <c r="M50" s="1144"/>
      <c r="N50" s="1144"/>
      <c r="O50" s="1144"/>
    </row>
    <row r="51" spans="1:17" s="692" customFormat="1">
      <c r="A51" s="688" t="s">
        <v>2771</v>
      </c>
      <c r="B51" s="689" t="e">
        <f>C43</f>
        <v>#DIV/0!</v>
      </c>
      <c r="C51" s="690">
        <v>1</v>
      </c>
      <c r="D51" s="1163">
        <v>1</v>
      </c>
      <c r="E51" s="690">
        <f>'数据-汇总表'!E8+'数据-汇总表'!E9</f>
        <v>91820.61</v>
      </c>
      <c r="F51" s="691" t="e">
        <f t="shared" ref="F51:F60" si="15">ROUND(B51*E51/10000,0)</f>
        <v>#DIV/0!</v>
      </c>
      <c r="G51" s="3250"/>
      <c r="H51" s="3226"/>
      <c r="I51" s="942">
        <v>1</v>
      </c>
      <c r="J51" s="942">
        <v>1</v>
      </c>
      <c r="K51" s="1145"/>
      <c r="L51" s="941"/>
      <c r="M51" s="941"/>
      <c r="N51" s="941"/>
      <c r="O51" s="941"/>
    </row>
    <row r="52" spans="1:17" s="692" customFormat="1">
      <c r="A52" s="693" t="s">
        <v>2772</v>
      </c>
      <c r="B52" s="262" t="e">
        <f>ROUND($C$43*C52*D52,0)</f>
        <v>#DIV/0!</v>
      </c>
      <c r="C52" s="200">
        <f t="shared" ref="C52:C60" si="16">IF($C$50="北京市系数",I52,J52)</f>
        <v>0</v>
      </c>
      <c r="D52" s="1164">
        <v>0.25</v>
      </c>
      <c r="E52" s="694"/>
      <c r="F52" s="691" t="e">
        <f t="shared" si="15"/>
        <v>#DIV/0!</v>
      </c>
      <c r="G52" s="3251" t="s">
        <v>2773</v>
      </c>
      <c r="H52" s="1104">
        <f>项目基本情况!B37</f>
        <v>0</v>
      </c>
      <c r="I52" s="942">
        <f>SUMIF(修正!A45:A56,H52,修正!B45:B56)</f>
        <v>0</v>
      </c>
      <c r="J52" s="943"/>
      <c r="K52" s="1144"/>
      <c r="L52" s="941"/>
      <c r="M52" s="941"/>
      <c r="N52" s="941"/>
      <c r="O52" s="941"/>
    </row>
    <row r="53" spans="1:17" s="692" customFormat="1">
      <c r="A53" s="693" t="s">
        <v>2774</v>
      </c>
      <c r="B53" s="262" t="e">
        <f t="shared" ref="B53:B60" si="17">ROUND($C$43*C53*D53,0)</f>
        <v>#DIV/0!</v>
      </c>
      <c r="C53" s="200">
        <f t="shared" si="16"/>
        <v>0</v>
      </c>
      <c r="D53" s="1164">
        <v>0.25</v>
      </c>
      <c r="E53" s="694"/>
      <c r="F53" s="691" t="e">
        <f t="shared" si="15"/>
        <v>#DIV/0!</v>
      </c>
      <c r="G53" s="3251"/>
      <c r="H53" s="1104">
        <f>项目基本情况!B37</f>
        <v>0</v>
      </c>
      <c r="I53" s="942">
        <f>SUMIF(修正!A45:A56,H53,修正!C45:C56)</f>
        <v>0</v>
      </c>
      <c r="J53" s="943"/>
      <c r="K53" s="1145"/>
      <c r="L53" s="941"/>
      <c r="M53" s="941"/>
      <c r="N53" s="941"/>
      <c r="O53" s="941"/>
    </row>
    <row r="54" spans="1:17" s="692" customFormat="1">
      <c r="A54" s="693" t="s">
        <v>2775</v>
      </c>
      <c r="B54" s="262" t="e">
        <f t="shared" si="17"/>
        <v>#DIV/0!</v>
      </c>
      <c r="C54" s="200">
        <f t="shared" si="16"/>
        <v>0</v>
      </c>
      <c r="D54" s="1164">
        <v>0.25</v>
      </c>
      <c r="E54" s="694"/>
      <c r="F54" s="691" t="e">
        <f t="shared" si="15"/>
        <v>#DIV/0!</v>
      </c>
      <c r="G54" s="3251"/>
      <c r="H54" s="1104">
        <f>项目基本情况!B37</f>
        <v>0</v>
      </c>
      <c r="I54" s="942">
        <f>SUMIF(修正!A45:A56,H54,修正!D45:D56)</f>
        <v>0</v>
      </c>
      <c r="J54" s="943"/>
      <c r="K54" s="1144"/>
      <c r="L54" s="941"/>
      <c r="M54" s="941"/>
      <c r="N54" s="941"/>
      <c r="O54" s="941"/>
    </row>
    <row r="55" spans="1:17" s="692" customFormat="1">
      <c r="A55" s="693" t="s">
        <v>2776</v>
      </c>
      <c r="B55" s="262" t="e">
        <f t="shared" si="17"/>
        <v>#DIV/0!</v>
      </c>
      <c r="C55" s="200">
        <f t="shared" si="16"/>
        <v>0</v>
      </c>
      <c r="D55" s="1164">
        <v>0.25</v>
      </c>
      <c r="E55" s="694"/>
      <c r="F55" s="691" t="e">
        <f t="shared" si="15"/>
        <v>#DIV/0!</v>
      </c>
      <c r="G55" s="3251"/>
      <c r="H55" s="1104">
        <f>项目基本情况!B37</f>
        <v>0</v>
      </c>
      <c r="I55" s="942">
        <f>SUMIF(修正!A45:A56,H55,修正!E45:E56)</f>
        <v>0</v>
      </c>
      <c r="J55" s="943"/>
      <c r="K55" s="1145"/>
      <c r="L55" s="941"/>
      <c r="M55" s="941"/>
      <c r="N55" s="941"/>
      <c r="O55" s="941"/>
    </row>
    <row r="56" spans="1:17" s="692" customFormat="1">
      <c r="A56" s="693" t="s">
        <v>2777</v>
      </c>
      <c r="B56" s="262" t="e">
        <f t="shared" si="17"/>
        <v>#DIV/0!</v>
      </c>
      <c r="C56" s="200">
        <f t="shared" si="16"/>
        <v>0</v>
      </c>
      <c r="D56" s="1164">
        <v>0.25</v>
      </c>
      <c r="E56" s="261">
        <f>'数据-汇总表'!E11</f>
        <v>0</v>
      </c>
      <c r="F56" s="691" t="e">
        <f t="shared" si="15"/>
        <v>#DIV/0!</v>
      </c>
      <c r="G56" s="2713" t="s">
        <v>2778</v>
      </c>
      <c r="H56" s="1104">
        <f>项目基本情况!C37</f>
        <v>0</v>
      </c>
      <c r="I56" s="942">
        <f>SUMIF(修正!A45:A56,H56,修正!F45:F56)</f>
        <v>0</v>
      </c>
      <c r="J56" s="943"/>
      <c r="K56" s="1144"/>
      <c r="L56" s="941"/>
      <c r="M56" s="941"/>
      <c r="N56" s="941"/>
      <c r="O56" s="941"/>
    </row>
    <row r="57" spans="1:17" s="692" customFormat="1">
      <c r="A57" s="693" t="s">
        <v>2779</v>
      </c>
      <c r="B57" s="262" t="e">
        <f t="shared" si="17"/>
        <v>#DIV/0!</v>
      </c>
      <c r="C57" s="200">
        <f t="shared" si="16"/>
        <v>0</v>
      </c>
      <c r="D57" s="1164">
        <v>0.25</v>
      </c>
      <c r="E57" s="261">
        <f>'数据-汇总表'!E12</f>
        <v>0</v>
      </c>
      <c r="F57" s="691" t="e">
        <f t="shared" si="15"/>
        <v>#DIV/0!</v>
      </c>
      <c r="G57" s="1109" t="s">
        <v>2780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2781</v>
      </c>
      <c r="B58" s="262" t="e">
        <f t="shared" si="17"/>
        <v>#DIV/0!</v>
      </c>
      <c r="C58" s="200">
        <f t="shared" si="16"/>
        <v>0</v>
      </c>
      <c r="D58" s="1164">
        <v>0.25</v>
      </c>
      <c r="E58" s="261">
        <f>'数据-汇总表'!E13</f>
        <v>27683.46</v>
      </c>
      <c r="F58" s="691" t="e">
        <f t="shared" si="15"/>
        <v>#DIV/0!</v>
      </c>
      <c r="G58" s="1109" t="s">
        <v>2782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2783</v>
      </c>
      <c r="B59" s="262" t="e">
        <f t="shared" si="17"/>
        <v>#DIV/0!</v>
      </c>
      <c r="C59" s="200">
        <f t="shared" si="16"/>
        <v>0</v>
      </c>
      <c r="D59" s="1164">
        <v>0.25</v>
      </c>
      <c r="E59" s="261">
        <f>'数据-汇总表'!E14</f>
        <v>0</v>
      </c>
      <c r="F59" s="691" t="e">
        <f t="shared" si="15"/>
        <v>#DIV/0!</v>
      </c>
      <c r="G59" s="2713" t="s">
        <v>2773</v>
      </c>
      <c r="H59" s="1104">
        <f>项目基本情况!B37</f>
        <v>0</v>
      </c>
      <c r="I59" s="942">
        <f>SUMIF(修正!A45:A56,H59,修正!H45:H56)</f>
        <v>0</v>
      </c>
      <c r="J59" s="943"/>
      <c r="K59" s="1145"/>
      <c r="L59" s="941"/>
      <c r="M59" s="941"/>
      <c r="N59" s="941"/>
      <c r="O59" s="941"/>
    </row>
    <row r="60" spans="1:17" s="692" customFormat="1" ht="15" thickBot="1">
      <c r="A60" s="693" t="s">
        <v>2784</v>
      </c>
      <c r="B60" s="262" t="e">
        <f t="shared" si="17"/>
        <v>#DIV/0!</v>
      </c>
      <c r="C60" s="200">
        <f t="shared" si="16"/>
        <v>0</v>
      </c>
      <c r="D60" s="1164">
        <v>0.25</v>
      </c>
      <c r="E60" s="261">
        <f>'数据-汇总表'!E15</f>
        <v>0</v>
      </c>
      <c r="F60" s="691" t="e">
        <f t="shared" si="15"/>
        <v>#DIV/0!</v>
      </c>
      <c r="G60" s="2714" t="s">
        <v>2778</v>
      </c>
      <c r="H60" s="1114">
        <f>项目基本情况!C37</f>
        <v>0</v>
      </c>
      <c r="I60" s="942">
        <f>SUMIF(修正!A45:A56,H60,修正!H45:H56)</f>
        <v>0</v>
      </c>
      <c r="J60" s="943"/>
      <c r="K60" s="1144"/>
      <c r="L60" s="941"/>
      <c r="M60" s="941"/>
      <c r="N60" s="941"/>
      <c r="O60" s="941"/>
    </row>
    <row r="61" spans="1:17" s="692" customFormat="1" ht="15" thickBot="1">
      <c r="A61" s="695" t="s">
        <v>2785</v>
      </c>
      <c r="B61" s="696" t="s">
        <v>28</v>
      </c>
      <c r="C61" s="696" t="s">
        <v>29</v>
      </c>
      <c r="D61" s="696" t="s">
        <v>1029</v>
      </c>
      <c r="E61" s="696">
        <f>IF(B41="楼面地价",SUM(E51:E60),'数据-汇总表'!D3)</f>
        <v>42459.8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2678</v>
      </c>
      <c r="B64" s="759"/>
      <c r="C64" s="764"/>
      <c r="D64" s="764"/>
      <c r="E64" s="764"/>
      <c r="F64" s="765"/>
      <c r="G64" s="765"/>
      <c r="H64" s="764"/>
      <c r="I64" s="764"/>
      <c r="J64" s="764"/>
      <c r="K64" s="766"/>
      <c r="L64" s="767"/>
      <c r="M64" s="764"/>
      <c r="N64" s="764"/>
      <c r="O64" s="1159"/>
      <c r="P64" s="503"/>
      <c r="Q64" s="504"/>
    </row>
    <row r="65" spans="1:17" s="508" customFormat="1" ht="15">
      <c r="A65" s="2715" t="s">
        <v>2786</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20" t="s">
        <v>2806</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2592</v>
      </c>
      <c r="B70" s="528" t="s">
        <v>2558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2" customWidth="1"/>
    <col min="33" max="36" width="9.375" style="2800" customWidth="1"/>
    <col min="37" max="38" width="9.375" style="2724" customWidth="1"/>
    <col min="39" max="16384" width="12" style="2724"/>
  </cols>
  <sheetData>
    <row r="1" spans="1:36" ht="28.5">
      <c r="A1" s="240" t="s">
        <v>2808</v>
      </c>
      <c r="B1" s="241"/>
      <c r="C1" s="245" t="s">
        <v>2809</v>
      </c>
      <c r="D1" s="388">
        <f>SUM(D29:D30,D33:D39)</f>
        <v>0</v>
      </c>
      <c r="E1" s="2721"/>
      <c r="F1" s="2721"/>
      <c r="G1" s="2721"/>
      <c r="H1" s="2721"/>
      <c r="I1" s="2721"/>
      <c r="J1" s="2721"/>
      <c r="K1" s="1370"/>
      <c r="L1" s="2722" t="s">
        <v>2810</v>
      </c>
      <c r="M1" s="1080">
        <f>SUMPRODUCT((区片价!B5:B9=I2)*(区片价!C3:F3=E2)*(区片价!C5:F9))</f>
        <v>0</v>
      </c>
      <c r="N1" s="1083">
        <f>SUMPRODUCT((因素修正幅度!B5:B9=I2)*(因素修正幅度!C3:F3=E2)*(因素修正幅度!C5:F9))</f>
        <v>0</v>
      </c>
      <c r="O1" s="2723"/>
      <c r="P1" s="2723"/>
      <c r="Q1" s="1370"/>
      <c r="R1" s="1602" t="s">
        <v>2811</v>
      </c>
      <c r="S1" s="1602" t="s">
        <v>2812</v>
      </c>
      <c r="T1" s="1602" t="s">
        <v>2813</v>
      </c>
      <c r="U1" s="1602" t="s">
        <v>2814</v>
      </c>
      <c r="V1" s="1602" t="s">
        <v>2815</v>
      </c>
      <c r="W1" s="1606"/>
      <c r="X1" s="1606"/>
      <c r="Y1" s="1606"/>
      <c r="Z1" s="1606"/>
      <c r="AA1" s="1606"/>
      <c r="AB1" s="1606"/>
      <c r="AC1" s="1607"/>
      <c r="AD1" s="1608"/>
      <c r="AE1" s="1608"/>
      <c r="AF1" s="1608"/>
      <c r="AG1" s="1608"/>
      <c r="AH1" s="1608"/>
      <c r="AI1" s="1608"/>
      <c r="AJ1" s="1609"/>
    </row>
    <row r="2" spans="1:36" ht="15.75">
      <c r="A2" s="245" t="s">
        <v>2816</v>
      </c>
      <c r="B2" s="248" t="e">
        <f>C26</f>
        <v>#DIV/0!</v>
      </c>
      <c r="C2" s="2725" t="s">
        <v>2817</v>
      </c>
      <c r="D2" s="2726" t="s">
        <v>2818</v>
      </c>
      <c r="E2" s="2727"/>
      <c r="F2" s="2726" t="s">
        <v>2819</v>
      </c>
      <c r="G2" s="2728">
        <f>IF(E2="商业",项目基本情况!B37,IF(E2="办公",项目基本情况!C37,IF(E2="住宅",项目基本情况!D37,项目基本情况!E37)))</f>
        <v>0</v>
      </c>
      <c r="H2" s="2726" t="s">
        <v>2820</v>
      </c>
      <c r="I2" s="2728">
        <f>IF(E2="商业",项目基本情况!B38,IF(E2="办公",项目基本情况!C38,IF(E2="住宅",项目基本情况!D38,项目基本情况!E38)))</f>
        <v>0</v>
      </c>
      <c r="J2" s="2729"/>
      <c r="K2" s="1370"/>
      <c r="L2" s="2730" t="s">
        <v>2821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2822</v>
      </c>
      <c r="B3" s="248" t="e">
        <f>ROUND(B2*10000/D1,0)</f>
        <v>#DIV/0!</v>
      </c>
      <c r="C3" s="2725" t="s">
        <v>2823</v>
      </c>
      <c r="D3" s="2726" t="s">
        <v>2824</v>
      </c>
      <c r="E3" s="2731"/>
      <c r="F3" s="2732" t="s">
        <v>2825</v>
      </c>
      <c r="G3" s="913">
        <f>IF(F3="宗地容积率",'数据-汇总表'!I4,IF(F3="估价对象容积率",'数据-汇总表'!I6,'数据-汇总表'!I7))</f>
        <v>2.25</v>
      </c>
      <c r="H3" s="198" t="s">
        <v>2826</v>
      </c>
      <c r="I3" s="944"/>
      <c r="J3" s="2729" t="s">
        <v>2827</v>
      </c>
      <c r="K3" s="1370"/>
      <c r="L3" s="2730"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21"/>
      <c r="B4" s="3322"/>
      <c r="C4" s="3322"/>
      <c r="D4" s="3323"/>
      <c r="E4" s="3323"/>
      <c r="F4" s="3323"/>
      <c r="G4" s="3323"/>
      <c r="H4" s="3323"/>
      <c r="I4" s="3323"/>
      <c r="J4" s="3324"/>
      <c r="K4" s="1370"/>
      <c r="L4" s="2730"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2830</v>
      </c>
      <c r="C5" s="914" t="e">
        <f>ROUND(IF(E2="商业",IF(F16="增加",C6*C7+C16,C6*C7-C16),IF(E2="住宅",IF(F16="增加",C6*C12+C16,C6*C12-C16),IF(F16="增加",C6+C16,C6-C16))),0)</f>
        <v>#DIV/0!</v>
      </c>
      <c r="D5" s="1787">
        <f>ROUND(IF(E2="商业",IF(F16="增加",C6+C16,C6-C16)),0)</f>
        <v>0</v>
      </c>
      <c r="E5" s="2735"/>
      <c r="F5" s="2735"/>
      <c r="G5" s="2736"/>
      <c r="H5" s="2736"/>
      <c r="I5" s="2736"/>
      <c r="J5" s="2737"/>
      <c r="K5" s="2738"/>
      <c r="L5" s="2730"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2832</v>
      </c>
      <c r="B6" s="2744" t="s">
        <v>2833</v>
      </c>
      <c r="C6" s="915">
        <f>SUMIF(L1:L12,G2,M1:M12)</f>
        <v>0</v>
      </c>
      <c r="D6" s="2745" t="s">
        <v>2834</v>
      </c>
      <c r="E6" s="2746"/>
      <c r="F6" s="2746"/>
      <c r="G6" s="2747"/>
      <c r="H6" s="2747"/>
      <c r="I6" s="2747"/>
      <c r="J6" s="2748"/>
      <c r="K6" s="1842"/>
      <c r="L6" s="2730" t="s">
        <v>2835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307" t="str">
        <f>IF(E2="商业",IF(C8="不临58条商业街","",2),"")</f>
        <v/>
      </c>
      <c r="B7" s="2749" t="s">
        <v>2836</v>
      </c>
      <c r="C7" s="916" t="e">
        <f>IF(C8="不临58条商业街",1,ROUND(1+(1.6*E8+1.2*E9+0.8*E10+0.4*E11)*C9,4))</f>
        <v>#DIV/0!</v>
      </c>
      <c r="D7" s="2750" t="s">
        <v>2837</v>
      </c>
      <c r="E7" s="945"/>
      <c r="F7" s="2751"/>
      <c r="G7" s="2752"/>
      <c r="H7" s="2752"/>
      <c r="I7" s="2752"/>
      <c r="J7" s="2753"/>
      <c r="K7" s="1842"/>
      <c r="L7" s="2730" t="s">
        <v>2838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2839</v>
      </c>
      <c r="X7" s="1604">
        <f>G2</f>
        <v>0</v>
      </c>
      <c r="Y7" s="1604" t="s">
        <v>2840</v>
      </c>
      <c r="Z7" s="1605">
        <f>G3</f>
        <v>2.25</v>
      </c>
      <c r="AA7" s="1606"/>
      <c r="AB7" s="1606"/>
      <c r="AC7" s="1607"/>
      <c r="AD7" s="1608"/>
      <c r="AE7" s="1608"/>
      <c r="AF7" s="1608"/>
      <c r="AG7" s="1608"/>
      <c r="AH7" s="1608"/>
      <c r="AI7" s="1608"/>
      <c r="AJ7" s="1609"/>
    </row>
    <row r="8" spans="1:36" ht="15">
      <c r="A8" s="3308"/>
      <c r="B8" s="198" t="s">
        <v>2841</v>
      </c>
      <c r="C8" s="2754"/>
      <c r="D8" s="917" t="s">
        <v>139</v>
      </c>
      <c r="E8" s="918" t="e">
        <f>ROUND(C11/E7,4)</f>
        <v>#DIV/0!</v>
      </c>
      <c r="F8" s="2755" t="s">
        <v>2842</v>
      </c>
      <c r="G8" s="2756"/>
      <c r="H8" s="2756"/>
      <c r="I8" s="2756"/>
      <c r="J8" s="2757"/>
      <c r="K8" s="1370"/>
      <c r="L8" s="2730"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8" t="s">
        <v>2844</v>
      </c>
      <c r="X8" s="3319"/>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c r="A9" s="3308"/>
      <c r="B9" s="198" t="s">
        <v>2857</v>
      </c>
      <c r="C9" s="919">
        <f>SUMIF(修正!C59:C119,C8,修正!E59:E119)</f>
        <v>0</v>
      </c>
      <c r="D9" s="200" t="s">
        <v>140</v>
      </c>
      <c r="E9" s="200" t="e">
        <f>ROUND(C11/E7,4)</f>
        <v>#DIV/0!</v>
      </c>
      <c r="F9" s="2755" t="s">
        <v>2858</v>
      </c>
      <c r="G9" s="2756"/>
      <c r="H9" s="2756"/>
      <c r="I9" s="2756"/>
      <c r="J9" s="2757"/>
      <c r="K9" s="1370"/>
      <c r="L9" s="2730"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20"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8"/>
      <c r="B10" s="198" t="s">
        <v>2862</v>
      </c>
      <c r="C10" s="200">
        <f>SUMIF(修正!C59:C119,C8,修正!F59:F119)</f>
        <v>0</v>
      </c>
      <c r="D10" s="200" t="s">
        <v>141</v>
      </c>
      <c r="E10" s="200" t="e">
        <f>ROUND(C11/E7,4)</f>
        <v>#DIV/0!</v>
      </c>
      <c r="F10" s="2755" t="s">
        <v>2863</v>
      </c>
      <c r="G10" s="2756"/>
      <c r="H10" s="2756"/>
      <c r="I10" s="2756"/>
      <c r="J10" s="2757"/>
      <c r="K10" s="1370"/>
      <c r="L10" s="2730"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2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8"/>
      <c r="B11" s="2758" t="s">
        <v>2865</v>
      </c>
      <c r="C11" s="920">
        <f>C10/4</f>
        <v>0</v>
      </c>
      <c r="D11" s="920" t="s">
        <v>142</v>
      </c>
      <c r="E11" s="920" t="e">
        <f>ROUND(C11/E7,4)</f>
        <v>#DIV/0!</v>
      </c>
      <c r="F11" s="2759" t="s">
        <v>2866</v>
      </c>
      <c r="G11" s="2760"/>
      <c r="H11" s="2760"/>
      <c r="I11" s="2760"/>
      <c r="J11" s="2761"/>
      <c r="K11" s="1370"/>
      <c r="L11" s="2730"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20" t="s">
        <v>2868</v>
      </c>
      <c r="X11" s="1614" t="s">
        <v>2869</v>
      </c>
      <c r="Y11" s="1615">
        <f>$G$3</f>
        <v>2.25</v>
      </c>
      <c r="Z11" s="1615">
        <f t="shared" ref="Z11:AJ11" si="3">$G$3</f>
        <v>2.25</v>
      </c>
      <c r="AA11" s="1615">
        <f t="shared" si="3"/>
        <v>2.25</v>
      </c>
      <c r="AB11" s="1615">
        <f t="shared" si="3"/>
        <v>2.25</v>
      </c>
      <c r="AC11" s="1615">
        <f t="shared" si="3"/>
        <v>2.25</v>
      </c>
      <c r="AD11" s="1615">
        <f t="shared" si="3"/>
        <v>2.25</v>
      </c>
      <c r="AE11" s="1615">
        <f t="shared" si="3"/>
        <v>2.25</v>
      </c>
      <c r="AF11" s="1615">
        <f t="shared" si="3"/>
        <v>2.25</v>
      </c>
      <c r="AG11" s="1615">
        <f t="shared" si="3"/>
        <v>2.25</v>
      </c>
      <c r="AH11" s="1615">
        <f t="shared" si="3"/>
        <v>2.25</v>
      </c>
      <c r="AI11" s="1615">
        <f t="shared" si="3"/>
        <v>2.25</v>
      </c>
      <c r="AJ11" s="1615">
        <f t="shared" si="3"/>
        <v>2.25</v>
      </c>
    </row>
    <row r="12" spans="1:36" ht="25.5" thickBot="1">
      <c r="A12" s="3307" t="s">
        <v>2870</v>
      </c>
      <c r="B12" s="2762" t="s">
        <v>2871</v>
      </c>
      <c r="C12" s="916">
        <f>ROUND(C15*D15*E15*F15*G15*H15*I15*J15,4)</f>
        <v>1</v>
      </c>
      <c r="D12" s="2763" t="s">
        <v>2872</v>
      </c>
      <c r="E12" s="2764"/>
      <c r="F12" s="2764"/>
      <c r="G12" s="2765"/>
      <c r="H12" s="2765"/>
      <c r="I12" s="2765"/>
      <c r="J12" s="2766"/>
      <c r="K12" s="1370"/>
      <c r="L12" s="2767"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20"/>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5"/>
      <c r="B13" s="2768" t="s">
        <v>2875</v>
      </c>
      <c r="C13" s="2769" t="s">
        <v>2876</v>
      </c>
      <c r="D13" s="1808" t="s">
        <v>2877</v>
      </c>
      <c r="E13" s="1808" t="s">
        <v>2878</v>
      </c>
      <c r="F13" s="30" t="s">
        <v>2879</v>
      </c>
      <c r="G13" s="2770" t="s">
        <v>2880</v>
      </c>
      <c r="H13" s="2770" t="s">
        <v>2880</v>
      </c>
      <c r="I13" s="2770" t="s">
        <v>2880</v>
      </c>
      <c r="J13" s="2771" t="s">
        <v>2880</v>
      </c>
      <c r="K13" s="1370"/>
      <c r="L13" s="1370"/>
      <c r="M13" s="1370"/>
      <c r="N13" s="1370"/>
      <c r="O13" s="1370"/>
      <c r="P13" s="1370"/>
      <c r="Q13" s="1370"/>
      <c r="R13" s="1602">
        <v>12</v>
      </c>
      <c r="S13" s="1603"/>
      <c r="T13" s="1602" t="e">
        <f t="shared" si="0"/>
        <v>#DIV/0!</v>
      </c>
      <c r="U13" s="1603"/>
      <c r="V13" s="1602" t="e">
        <f t="shared" si="1"/>
        <v>#DIV/0!</v>
      </c>
      <c r="W13" s="3320"/>
      <c r="X13" s="1616"/>
      <c r="Y13" s="1613">
        <f>(-0.163*(Y12^2)-0.59*Y12+7617)*(10^(-4))/Y11</f>
        <v>0.33853333333333335</v>
      </c>
      <c r="Z13" s="1613">
        <f t="shared" ref="Z13:AJ13" si="5">(-0.163*(Z12^2)-0.59*Z12+7617)*(10^(-4))/Z11</f>
        <v>0.33853333333333335</v>
      </c>
      <c r="AA13" s="1613">
        <f t="shared" si="5"/>
        <v>0.33853333333333335</v>
      </c>
      <c r="AB13" s="1613">
        <f t="shared" si="5"/>
        <v>0.33853333333333335</v>
      </c>
      <c r="AC13" s="1613">
        <f t="shared" si="5"/>
        <v>0.33853333333333335</v>
      </c>
      <c r="AD13" s="1613">
        <f t="shared" si="5"/>
        <v>0.33853333333333335</v>
      </c>
      <c r="AE13" s="1613">
        <f t="shared" si="5"/>
        <v>0.33853333333333335</v>
      </c>
      <c r="AF13" s="1613">
        <f t="shared" si="5"/>
        <v>0.33853333333333335</v>
      </c>
      <c r="AG13" s="1613">
        <f t="shared" si="5"/>
        <v>0.33853333333333335</v>
      </c>
      <c r="AH13" s="1613">
        <f t="shared" si="5"/>
        <v>0.33853333333333335</v>
      </c>
      <c r="AI13" s="1613">
        <f t="shared" si="5"/>
        <v>0.33853333333333335</v>
      </c>
      <c r="AJ13" s="1613">
        <f t="shared" si="5"/>
        <v>0.33853333333333335</v>
      </c>
    </row>
    <row r="14" spans="1:36" ht="15">
      <c r="A14" s="3325"/>
      <c r="B14" s="2772"/>
      <c r="C14" s="2773"/>
      <c r="D14" s="2774"/>
      <c r="E14" s="2774"/>
      <c r="F14" s="2775"/>
      <c r="G14" s="2776" t="s">
        <v>2881</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6"/>
      <c r="B15" s="2780" t="s">
        <v>2882</v>
      </c>
      <c r="C15" s="229">
        <f>IF(C14="有",1.1,1)</f>
        <v>1</v>
      </c>
      <c r="D15" s="229">
        <f>IF(D14="有",1.1,1)</f>
        <v>1</v>
      </c>
      <c r="E15" s="229">
        <f>IF(E14="有",1.1,1)</f>
        <v>1</v>
      </c>
      <c r="F15" s="229">
        <f>IF(F14="500米范围内",1.2,IF(F14="500-1000米",1.1,1))</f>
        <v>1</v>
      </c>
      <c r="G15" s="946">
        <v>1</v>
      </c>
      <c r="H15" s="946">
        <v>1</v>
      </c>
      <c r="I15" s="946">
        <v>1</v>
      </c>
      <c r="J15" s="947">
        <v>1</v>
      </c>
      <c r="K15" s="1370"/>
      <c r="L15" s="2781" t="s">
        <v>2818</v>
      </c>
      <c r="M15" s="917" t="s">
        <v>2883</v>
      </c>
      <c r="N15" s="917" t="s">
        <v>2884</v>
      </c>
      <c r="O15" s="917" t="s">
        <v>2885</v>
      </c>
      <c r="P15" s="2782" t="s">
        <v>2886</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7" t="s">
        <v>2887</v>
      </c>
      <c r="B16" s="2749" t="s">
        <v>2888</v>
      </c>
      <c r="C16" s="1801" t="e">
        <f>ROUND(SUM(G17:J17)/C17,0)</f>
        <v>#DIV/0!</v>
      </c>
      <c r="D16" s="2783" t="s">
        <v>2889</v>
      </c>
      <c r="E16" s="2784"/>
      <c r="F16" s="2785"/>
      <c r="G16" s="2786"/>
      <c r="H16" s="2786"/>
      <c r="I16" s="2786"/>
      <c r="J16" s="2787"/>
      <c r="K16" s="1370"/>
      <c r="L16" s="2788" t="s">
        <v>2890</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8"/>
      <c r="B17" s="2789" t="s">
        <v>2891</v>
      </c>
      <c r="C17" s="921">
        <f>SUMPRODUCT((修正!A2:A5=E2)*(修正!B1:M1=G2)*(修正!B2:M5))</f>
        <v>0</v>
      </c>
      <c r="D17" s="2790"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1" t="s">
        <v>2894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2"/>
      <c r="AF17" s="2792"/>
      <c r="AG17" s="2724"/>
      <c r="AH17" s="2724"/>
      <c r="AI17" s="2724"/>
      <c r="AJ17" s="2724"/>
    </row>
    <row r="18" spans="1:37" s="2742" customFormat="1" ht="15.75" thickBot="1">
      <c r="A18" s="2793" t="s">
        <v>808</v>
      </c>
      <c r="B18" s="2794" t="s">
        <v>2895</v>
      </c>
      <c r="C18" s="923">
        <f>SUMIF(修正!C18:C39,E3,修正!E18:E39)</f>
        <v>0</v>
      </c>
      <c r="D18" s="2795"/>
      <c r="E18" s="2796"/>
      <c r="F18" s="2797"/>
      <c r="G18" s="2798"/>
      <c r="H18" s="2798"/>
      <c r="I18" s="2798"/>
      <c r="J18" s="2799"/>
      <c r="K18" s="1377"/>
      <c r="O18" s="1375"/>
      <c r="P18" s="1375"/>
      <c r="Q18" s="1376"/>
      <c r="R18" s="1376"/>
      <c r="S18" s="1376"/>
      <c r="T18" s="1371"/>
      <c r="U18" s="1371"/>
      <c r="V18" s="1371"/>
      <c r="W18" s="1370"/>
      <c r="X18" s="1370"/>
      <c r="Y18" s="1370"/>
      <c r="Z18" s="1377"/>
      <c r="AA18" s="1378"/>
      <c r="AB18" s="1378"/>
      <c r="AC18" s="1378"/>
      <c r="AD18" s="1378"/>
      <c r="AE18" s="1372"/>
      <c r="AF18" s="1372"/>
      <c r="AG18" s="2800"/>
      <c r="AH18" s="2800"/>
      <c r="AI18" s="2800"/>
    </row>
    <row r="19" spans="1:37" s="2742" customFormat="1" ht="27.75" thickBot="1">
      <c r="A19" s="2793" t="s">
        <v>809</v>
      </c>
      <c r="B19" s="2794" t="s">
        <v>2896</v>
      </c>
      <c r="C19" s="924" t="e">
        <f>ROUND(IF(H19="按公示增长率计算",SUMPRODUCT((地价!A3:A22=YEAR(G19)&amp;"-"&amp;ROUNDUP(MONTH(G19)/3,0))*(地价!X2:AB2=E2)*(地价!X3:AB22)),IF(H19="地价指数",M20/M19,(1+I19)^O19)),4)</f>
        <v>#DIV/0!</v>
      </c>
      <c r="D19" s="2801" t="s">
        <v>2897</v>
      </c>
      <c r="E19" s="925">
        <v>41640</v>
      </c>
      <c r="F19" s="2801" t="s">
        <v>2898</v>
      </c>
      <c r="G19" s="926">
        <f>'数据-取费表'!B2</f>
        <v>43488</v>
      </c>
      <c r="H19" s="2802" t="s">
        <v>2899</v>
      </c>
      <c r="I19" s="927" t="str">
        <f>IF(H19="季度增幅（自定义）",SUMIF(N21:N24,E2,O21:O24),"")</f>
        <v/>
      </c>
      <c r="J19" s="2799"/>
      <c r="K19" s="1377"/>
      <c r="L19" s="2803" t="s">
        <v>2900</v>
      </c>
      <c r="M19" s="1734">
        <f>ROUND(SUMIF(地价!B2:F2,E2,地价!B22:F22),0)</f>
        <v>0</v>
      </c>
      <c r="N19" s="2804" t="s">
        <v>2901</v>
      </c>
      <c r="O19" s="928">
        <f>ROUNDDOWN(DATEDIF(E19,G19,"M")/3,0)</f>
        <v>20</v>
      </c>
      <c r="P19" s="1374"/>
      <c r="Q19" s="1376"/>
      <c r="R19" s="1376"/>
      <c r="S19" s="1376"/>
      <c r="T19" s="1371"/>
      <c r="U19" s="1371"/>
      <c r="V19" s="1371"/>
      <c r="W19" s="1370"/>
      <c r="X19" s="1370"/>
      <c r="Y19" s="1370"/>
      <c r="Z19" s="1377"/>
      <c r="AA19" s="1378"/>
      <c r="AB19" s="1378"/>
      <c r="AC19" s="1378"/>
      <c r="AD19" s="1378"/>
      <c r="AE19" s="1378"/>
      <c r="AF19" s="2805"/>
      <c r="AG19" s="2806"/>
      <c r="AH19" s="2800"/>
      <c r="AI19" s="2807"/>
      <c r="AJ19" s="2807"/>
      <c r="AK19" s="2807"/>
    </row>
    <row r="20" spans="1:37" s="2742" customFormat="1" ht="27.75" thickBot="1">
      <c r="A20" s="2808" t="s">
        <v>810</v>
      </c>
      <c r="B20" s="2809" t="s">
        <v>2902</v>
      </c>
      <c r="C20" s="929" t="e">
        <f>ROUND(POWER(1+G20,J20-I20)*(POWER(1+G20,I20)-1)/(POWER(1+G20,J20)-1),4)</f>
        <v>#DIV/0!</v>
      </c>
      <c r="D20" s="2810" t="s">
        <v>2903</v>
      </c>
      <c r="E20" s="1768">
        <f ca="1">存贷款利率!D4/100</f>
        <v>4.3499999999999997E-2</v>
      </c>
      <c r="F20" s="2810" t="s">
        <v>2894</v>
      </c>
      <c r="G20" s="934">
        <f>SUMIF(M15:P15,E2,M17:P17)</f>
        <v>0</v>
      </c>
      <c r="H20" s="2810" t="s">
        <v>2904</v>
      </c>
      <c r="I20" s="935" t="e">
        <f>SUMIF('数据-取费表'!C6:C15,E2,'数据-取费表'!F6:F15)/COUNTIF('数据-取费表'!C6:C15,E2)</f>
        <v>#DIV/0!</v>
      </c>
      <c r="J20" s="936">
        <f>IF(E2="住宅",70,IF(E2="商业",40,50))</f>
        <v>50</v>
      </c>
      <c r="K20" s="1377"/>
      <c r="L20" s="2811" t="s">
        <v>2905</v>
      </c>
      <c r="M20" s="1735">
        <f>ROUND(SUMPRODUCT((地价!A4:A22=YEAR(G19)&amp;"-"&amp;ROUNDUP(MONTH(G19)/3,0))*(地价!B2:F2=E2)*(地价!B4:F22)),0)</f>
        <v>0</v>
      </c>
      <c r="N20" s="2812" t="s">
        <v>2906</v>
      </c>
      <c r="O20" s="2813" t="s">
        <v>2907</v>
      </c>
      <c r="P20" s="2814" t="s">
        <v>2908</v>
      </c>
      <c r="R20" s="1376"/>
      <c r="S20" s="1376"/>
      <c r="T20" s="1371"/>
      <c r="U20" s="1371"/>
      <c r="V20" s="1371"/>
      <c r="W20" s="1370"/>
      <c r="X20" s="1370"/>
      <c r="Y20" s="1370"/>
      <c r="Z20" s="1377"/>
      <c r="AA20" s="1378"/>
      <c r="AB20" s="1378"/>
      <c r="AC20" s="1378"/>
      <c r="AD20" s="1378"/>
      <c r="AE20" s="1378"/>
      <c r="AF20" s="1378"/>
    </row>
    <row r="21" spans="1:37" s="2742" customFormat="1" ht="15">
      <c r="A21" s="2815" t="s">
        <v>811</v>
      </c>
      <c r="B21" s="2816" t="s">
        <v>2909</v>
      </c>
      <c r="C21" s="937">
        <f>IF(B21="容积率修正",IF(G3&lt;=10,D22,J22),C23)</f>
        <v>0</v>
      </c>
      <c r="D21" s="2817"/>
      <c r="E21" s="2817"/>
      <c r="F21" s="2817"/>
      <c r="G21" s="2817"/>
      <c r="H21" s="2817"/>
      <c r="I21" s="2817"/>
      <c r="J21" s="2818"/>
      <c r="K21" s="1377"/>
      <c r="N21" s="2819" t="s">
        <v>2910</v>
      </c>
      <c r="O21" s="1561"/>
      <c r="P21" s="1562">
        <f>SUMPRODUCT((地价!A3:A22=YEAR(G19)&amp;"-"&amp;ROUNDUP(MONTH(G19)/3,0))*(地价!AD2:AH2=N21)*(地价!AD3:AH22))</f>
        <v>0</v>
      </c>
      <c r="R21" s="1376"/>
      <c r="S21" s="1376"/>
      <c r="T21" s="1371"/>
      <c r="U21" s="1371"/>
      <c r="V21" s="1371"/>
      <c r="W21" s="1370"/>
      <c r="X21" s="1370"/>
      <c r="Y21" s="1370"/>
      <c r="Z21" s="1377"/>
      <c r="AA21" s="1378"/>
      <c r="AB21" s="1378"/>
      <c r="AC21" s="1378"/>
      <c r="AD21" s="1378"/>
      <c r="AE21" s="1378"/>
      <c r="AF21" s="1378"/>
    </row>
    <row r="22" spans="1:37" s="2742" customFormat="1" ht="14.25">
      <c r="A22" s="2668" t="s">
        <v>2911</v>
      </c>
      <c r="B22" s="2820" t="s">
        <v>2912</v>
      </c>
      <c r="C22" s="1810" t="s">
        <v>2913</v>
      </c>
      <c r="D22" s="1810">
        <f>IF(E22=G22,F22,IF(G3&lt;=10,ROUND(F22+(H22-F22)*(G3-E22)/(G22-E22),4),"——"))</f>
        <v>0</v>
      </c>
      <c r="E22" s="913">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9" t="s">
        <v>2914</v>
      </c>
      <c r="O22" s="1561"/>
      <c r="P22" s="1562">
        <f>SUMPRODUCT((地价!A3:A22=YEAR(G19)&amp;"-"&amp;ROUNDUP(MONTH(G19)/3,0))*(地价!AD2:AH2=N22)*(地价!AD3:AH22))</f>
        <v>0</v>
      </c>
      <c r="R22" s="1376"/>
      <c r="S22" s="1376"/>
      <c r="T22" s="1371"/>
      <c r="U22" s="1371"/>
      <c r="V22" s="1371"/>
      <c r="W22" s="1370"/>
      <c r="X22" s="1370"/>
      <c r="Y22" s="1370"/>
      <c r="Z22" s="1377"/>
      <c r="AA22" s="1378"/>
      <c r="AB22" s="1378"/>
      <c r="AC22" s="1378"/>
      <c r="AD22" s="1378"/>
      <c r="AE22" s="1378"/>
      <c r="AF22" s="1378"/>
    </row>
    <row r="23" spans="1:37" ht="27.75" thickBot="1">
      <c r="A23" s="2668" t="s">
        <v>2915</v>
      </c>
      <c r="B23" s="2821" t="s">
        <v>2916</v>
      </c>
      <c r="C23" s="1013">
        <f>ROUND(IF(G3&gt;1,IF(I3&lt;7,SUMPRODUCT((B93:B98=I3)*(C92:N92=G2)*(C93:N98)),SUMIF(C92:N92,G2,C100:N100)),IF(I3&lt;7,SUMPRODUCT((B102:B107=I3)*(C92:N92=G2)*(C102:N107)),SUMIF(C92:N92,G2,C109:N109))),4)</f>
        <v>0</v>
      </c>
      <c r="D23" s="2777"/>
      <c r="E23" s="2777"/>
      <c r="F23" s="2822"/>
      <c r="G23" s="2823"/>
      <c r="H23" s="2824"/>
      <c r="I23" s="2825"/>
      <c r="J23" s="2826"/>
      <c r="K23" s="1370"/>
      <c r="N23" s="2819" t="s">
        <v>2917</v>
      </c>
      <c r="O23" s="1561"/>
      <c r="P23" s="1562">
        <f>SUMPRODUCT((地价!A3:A22=YEAR(G19)&amp;"-"&amp;ROUNDUP(MONTH(G19)/3,0))*(地价!AD2:AH2=N23)*(地价!AD3:AH22))</f>
        <v>0</v>
      </c>
      <c r="R23" s="1376"/>
      <c r="S23" s="1376"/>
      <c r="T23" s="1371"/>
      <c r="U23" s="1371"/>
      <c r="V23" s="1371"/>
      <c r="W23" s="1370"/>
      <c r="X23" s="1370"/>
      <c r="Y23" s="1370"/>
      <c r="Z23" s="1377"/>
      <c r="AA23" s="1378"/>
      <c r="AB23" s="1378"/>
      <c r="AC23" s="1378"/>
      <c r="AD23" s="1378"/>
      <c r="AK23" s="2800"/>
    </row>
    <row r="24" spans="1:37" s="2742" customFormat="1" ht="15.75" thickBot="1">
      <c r="A24" s="2808" t="s">
        <v>812</v>
      </c>
      <c r="B24" s="2794" t="s">
        <v>2918</v>
      </c>
      <c r="C24" s="924">
        <f>SUMIF(A45:A88,E2,B45:B88)</f>
        <v>0</v>
      </c>
      <c r="D24" s="2797"/>
      <c r="E24" s="2827"/>
      <c r="F24" s="2827"/>
      <c r="G24" s="2827"/>
      <c r="H24" s="2827"/>
      <c r="I24" s="2827"/>
      <c r="J24" s="2828"/>
      <c r="K24" s="1377"/>
      <c r="N24" s="2829" t="s">
        <v>2919</v>
      </c>
      <c r="O24" s="1563"/>
      <c r="P24" s="1564">
        <f>SUMPRODUCT((地价!A3:A22=YEAR(G19)&amp;"-"&amp;ROUNDUP(MONTH(G19)/3,0))*(地价!AD2:AH2=N24)*(地价!AD3:AH22))</f>
        <v>0</v>
      </c>
      <c r="R24" s="1376"/>
      <c r="S24" s="1376"/>
      <c r="T24" s="1371"/>
      <c r="U24" s="1371"/>
      <c r="V24" s="1371"/>
      <c r="W24" s="1370"/>
      <c r="X24" s="1370"/>
      <c r="Y24" s="1370"/>
      <c r="Z24" s="1377"/>
      <c r="AA24" s="1378"/>
      <c r="AB24" s="1378"/>
      <c r="AC24" s="1378"/>
      <c r="AD24" s="1378"/>
      <c r="AE24" s="1378"/>
      <c r="AF24" s="1378"/>
    </row>
    <row r="25" spans="1:37" ht="15.75" thickBot="1">
      <c r="A25" s="2808" t="s">
        <v>813</v>
      </c>
      <c r="B25" s="2830" t="s">
        <v>2920</v>
      </c>
      <c r="C25" s="930"/>
      <c r="D25" s="2752"/>
      <c r="E25" s="2752"/>
      <c r="F25" s="2831"/>
      <c r="G25" s="2752"/>
      <c r="H25" s="2752"/>
      <c r="I25" s="2752"/>
      <c r="J25" s="2753"/>
      <c r="K25" s="1370"/>
      <c r="N25" s="2832" t="s">
        <v>2921</v>
      </c>
      <c r="O25" s="1565"/>
      <c r="P25" s="1564">
        <f>SUMPRODUCT((地价!A3:A22=YEAR(G19)&amp;"-"&amp;ROUNDUP(MONTH(G19)/3,0))*(地价!AD2:AH2=N25)*(地价!AD3:AH22))</f>
        <v>0</v>
      </c>
      <c r="R25" s="1376"/>
      <c r="S25" s="1376"/>
      <c r="T25" s="1371"/>
      <c r="U25" s="1371"/>
      <c r="V25" s="1371"/>
      <c r="W25" s="1370"/>
      <c r="X25" s="1370"/>
      <c r="Y25" s="1370"/>
      <c r="Z25" s="1377"/>
      <c r="AA25" s="1378"/>
      <c r="AB25" s="1378"/>
      <c r="AC25" s="1378"/>
      <c r="AD25" s="1378"/>
    </row>
    <row r="26" spans="1:37" ht="15">
      <c r="A26" s="2833"/>
      <c r="B26" s="2820" t="s">
        <v>2922</v>
      </c>
      <c r="C26" s="206" t="e">
        <f>E29+SUM(E33:E39)</f>
        <v>#DIV/0!</v>
      </c>
      <c r="D26" s="2834"/>
      <c r="E26" s="2777"/>
      <c r="F26" s="2835"/>
      <c r="G26" s="2777"/>
      <c r="H26" s="2777"/>
      <c r="I26" s="2777"/>
      <c r="J26" s="2836"/>
      <c r="K26" s="1370"/>
      <c r="R26" s="1376"/>
      <c r="S26" s="1376"/>
      <c r="T26" s="1371"/>
      <c r="U26" s="1371"/>
      <c r="V26" s="1371"/>
      <c r="W26" s="1370"/>
      <c r="X26" s="1370"/>
      <c r="Y26" s="1370"/>
      <c r="Z26" s="1377"/>
      <c r="AA26" s="1378"/>
      <c r="AB26" s="1378"/>
      <c r="AC26" s="1378"/>
      <c r="AD26" s="1378"/>
    </row>
    <row r="27" spans="1:37" ht="15.75" thickBot="1">
      <c r="A27" s="2833"/>
      <c r="B27" s="2837" t="s">
        <v>2923</v>
      </c>
      <c r="C27" s="931" t="e">
        <f>E30+SUM(I33:I39)</f>
        <v>#DIV/0!</v>
      </c>
      <c r="D27" s="2838"/>
      <c r="E27" s="2839"/>
      <c r="F27" s="2840"/>
      <c r="G27" s="2839"/>
      <c r="H27" s="2839"/>
      <c r="I27" s="2839"/>
      <c r="J27" s="284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2"/>
      <c r="B28" s="2843" t="s">
        <v>2924</v>
      </c>
      <c r="C28" s="2844" t="s">
        <v>2925</v>
      </c>
      <c r="D28" s="2844" t="s">
        <v>2926</v>
      </c>
      <c r="E28" s="2845" t="s">
        <v>2927</v>
      </c>
      <c r="F28" s="2846"/>
      <c r="G28" s="2765"/>
      <c r="H28" s="2765"/>
      <c r="I28" s="2765"/>
      <c r="J28" s="276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7"/>
      <c r="B29" s="2848" t="s">
        <v>2928</v>
      </c>
      <c r="C29" s="206" t="e">
        <f>ROUND(C5*C18*C19*C20*C21*C24,0)</f>
        <v>#DIV/0!</v>
      </c>
      <c r="D29" s="2849"/>
      <c r="E29" s="942" t="e">
        <f>ROUND(C29*D29/10000,0)</f>
        <v>#DIV/0!</v>
      </c>
      <c r="F29" s="2850" t="s">
        <v>2929</v>
      </c>
      <c r="G29" s="2851"/>
      <c r="H29" s="2851"/>
      <c r="I29" s="2851"/>
      <c r="J29" s="2852"/>
      <c r="K29" s="1370"/>
      <c r="L29" s="1370"/>
      <c r="M29" s="1370"/>
      <c r="N29" s="1370"/>
      <c r="O29" s="1375"/>
      <c r="P29" s="1375"/>
      <c r="Q29" s="1376"/>
      <c r="R29" s="1376"/>
      <c r="S29" s="1376"/>
      <c r="T29" s="1371"/>
      <c r="U29" s="1371"/>
      <c r="V29" s="1371"/>
      <c r="W29" s="1370"/>
      <c r="X29" s="1370"/>
      <c r="Y29" s="1370"/>
      <c r="Z29" s="1377"/>
      <c r="AA29" s="1378"/>
      <c r="AB29" s="1378"/>
      <c r="AC29" s="1378"/>
      <c r="AD29" s="1378"/>
      <c r="AE29" s="2792"/>
      <c r="AF29" s="2792"/>
      <c r="AG29" s="2724"/>
      <c r="AH29" s="2724"/>
      <c r="AI29" s="2724"/>
      <c r="AJ29" s="2724"/>
    </row>
    <row r="30" spans="1:37" ht="25.5" thickBot="1">
      <c r="A30" s="2853"/>
      <c r="B30" s="2854" t="s">
        <v>2930</v>
      </c>
      <c r="C30" s="229" t="e">
        <f>ROUND(IF(E2="工业",C29*M39,C29*M38),0)</f>
        <v>#DIV/0!</v>
      </c>
      <c r="D30" s="2855"/>
      <c r="E30" s="942" t="e">
        <f>ROUND(C30*D30/10000,0)</f>
        <v>#DIV/0!</v>
      </c>
      <c r="F30" s="2856" t="s">
        <v>2931</v>
      </c>
      <c r="G30" s="2857"/>
      <c r="H30" s="2857"/>
      <c r="I30" s="2857"/>
      <c r="J30" s="2858"/>
      <c r="K30" s="1370"/>
      <c r="L30" s="1370"/>
      <c r="M30" s="1370"/>
      <c r="N30" s="1370"/>
      <c r="O30" s="1375"/>
      <c r="P30" s="1375"/>
      <c r="Q30" s="1376"/>
      <c r="R30" s="1376"/>
      <c r="S30" s="1376"/>
      <c r="T30" s="1371"/>
      <c r="U30" s="1371"/>
      <c r="V30" s="1371"/>
      <c r="W30" s="1370"/>
      <c r="X30" s="1370"/>
      <c r="Y30" s="1370"/>
      <c r="Z30" s="1377"/>
      <c r="AA30" s="1378"/>
      <c r="AB30" s="1378"/>
      <c r="AC30" s="1378"/>
      <c r="AD30" s="1378"/>
      <c r="AE30" s="2792"/>
      <c r="AF30" s="2792"/>
      <c r="AG30" s="2724"/>
      <c r="AH30" s="2724"/>
      <c r="AI30" s="2724"/>
      <c r="AJ30" s="2724"/>
    </row>
    <row r="31" spans="1:37" ht="14.25">
      <c r="A31" s="2859"/>
      <c r="B31" s="2860" t="s">
        <v>2932</v>
      </c>
      <c r="C31" s="2861" t="s">
        <v>2933</v>
      </c>
      <c r="D31" s="2765"/>
      <c r="E31" s="2861"/>
      <c r="F31" s="2861"/>
      <c r="G31" s="2763" t="s">
        <v>2934</v>
      </c>
      <c r="H31" s="2765"/>
      <c r="I31" s="2862"/>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92"/>
      <c r="AF31" s="2792"/>
      <c r="AG31" s="2724"/>
      <c r="AH31" s="2724"/>
      <c r="AI31" s="2724"/>
      <c r="AJ31" s="2724"/>
    </row>
    <row r="32" spans="1:37" ht="24">
      <c r="A32" s="2847"/>
      <c r="B32" s="2863"/>
      <c r="C32" s="501" t="s">
        <v>2925</v>
      </c>
      <c r="D32" s="498" t="s">
        <v>2926</v>
      </c>
      <c r="E32" s="498" t="s">
        <v>2927</v>
      </c>
      <c r="F32" s="388" t="s">
        <v>2935</v>
      </c>
      <c r="G32" s="2864" t="s">
        <v>2925</v>
      </c>
      <c r="H32" s="2864" t="s">
        <v>2926</v>
      </c>
      <c r="I32" s="2864" t="s">
        <v>2927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2"/>
      <c r="AF32" s="2792"/>
      <c r="AG32" s="2724"/>
      <c r="AH32" s="2724"/>
      <c r="AI32" s="2724"/>
      <c r="AJ32" s="2724"/>
    </row>
    <row r="33" spans="1:37" ht="36" customHeight="1">
      <c r="A33" s="3315" t="s">
        <v>2936</v>
      </c>
      <c r="B33" s="2865" t="s">
        <v>2937</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6"/>
      <c r="B34" s="2769" t="s">
        <v>2938</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6"/>
      <c r="B35" s="2769" t="s">
        <v>2939</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0"/>
      <c r="L35" s="1370"/>
      <c r="M35" s="1370"/>
      <c r="N35" s="1370"/>
      <c r="O35" s="1370"/>
      <c r="P35" s="1370"/>
      <c r="Q35" s="1370"/>
      <c r="R35" s="1370"/>
      <c r="S35" s="1370"/>
      <c r="T35" s="1370"/>
      <c r="U35" s="1370"/>
      <c r="V35" s="1370"/>
      <c r="W35" s="1370"/>
      <c r="X35" s="1370"/>
      <c r="Y35" s="1370"/>
      <c r="Z35" s="1371"/>
    </row>
    <row r="36" spans="1:37" ht="13.5" thickBot="1">
      <c r="A36" s="3317"/>
      <c r="B36" s="2769" t="s">
        <v>2940</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0"/>
      <c r="L36" s="2723"/>
      <c r="M36" s="2723"/>
      <c r="N36" s="1370"/>
      <c r="O36" s="1370"/>
      <c r="P36" s="1370"/>
      <c r="Q36" s="1370"/>
      <c r="R36" s="1370"/>
      <c r="S36" s="1370"/>
      <c r="T36" s="1370"/>
      <c r="U36" s="1370"/>
      <c r="V36" s="1370"/>
      <c r="W36" s="1370"/>
      <c r="X36" s="1370"/>
      <c r="Y36" s="1370"/>
      <c r="Z36" s="1371"/>
    </row>
    <row r="37" spans="1:37">
      <c r="A37" s="2867"/>
      <c r="B37" s="2769" t="s">
        <v>2941</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0"/>
      <c r="L37" s="2868" t="s">
        <v>2942</v>
      </c>
      <c r="M37" s="2869"/>
      <c r="N37" s="1370"/>
      <c r="O37" s="1370"/>
      <c r="P37" s="1370"/>
      <c r="Q37" s="1370"/>
      <c r="R37" s="1370"/>
      <c r="S37" s="1370"/>
      <c r="T37" s="1370"/>
      <c r="U37" s="1370"/>
      <c r="V37" s="1370"/>
      <c r="W37" s="1370"/>
      <c r="X37" s="1370"/>
      <c r="Y37" s="1370"/>
      <c r="Z37" s="1371"/>
    </row>
    <row r="38" spans="1:37">
      <c r="A38" s="2867"/>
      <c r="B38" s="2769" t="s">
        <v>2943</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0"/>
      <c r="L38" s="1887" t="s">
        <v>2944</v>
      </c>
      <c r="M38" s="2870">
        <v>0.25</v>
      </c>
      <c r="N38" s="1370"/>
      <c r="O38" s="1370"/>
      <c r="P38" s="1370"/>
      <c r="Q38" s="1370"/>
      <c r="R38" s="1370"/>
      <c r="S38" s="1370"/>
      <c r="T38" s="1370"/>
      <c r="U38" s="1370"/>
      <c r="V38" s="1370"/>
      <c r="W38" s="1370"/>
      <c r="X38" s="1370"/>
      <c r="Y38" s="1370"/>
      <c r="Z38" s="1371"/>
    </row>
    <row r="39" spans="1:37" ht="13.5" thickBot="1">
      <c r="A39" s="2853"/>
      <c r="B39" s="2871" t="s">
        <v>2945</v>
      </c>
      <c r="C39" s="229" t="e">
        <f>ROUND(C5*C19*C20*C24*F39,0)</f>
        <v>#DIV/0!</v>
      </c>
      <c r="D39" s="2855"/>
      <c r="E39" s="229" t="e">
        <f t="shared" si="7"/>
        <v>#DIV/0!</v>
      </c>
      <c r="F39" s="932">
        <f>SUMIF(修正!A45:A56,G2,修正!H45:H56)</f>
        <v>0</v>
      </c>
      <c r="G39" s="229" t="e">
        <f t="shared" si="6"/>
        <v>#DIV/0!</v>
      </c>
      <c r="H39" s="229">
        <f t="shared" si="8"/>
        <v>0</v>
      </c>
      <c r="I39" s="229" t="e">
        <f t="shared" si="9"/>
        <v>#DIV/0!</v>
      </c>
      <c r="J39" s="2872"/>
      <c r="K39" s="1370"/>
      <c r="L39" s="2873" t="s">
        <v>2886</v>
      </c>
      <c r="M39" s="287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5"/>
      <c r="Z41" s="1371"/>
      <c r="AA41" s="1371"/>
      <c r="AB41" s="1371"/>
      <c r="AC41" s="1371"/>
      <c r="AD41" s="1371"/>
      <c r="AE41" s="1371"/>
      <c r="AF41" s="1371"/>
      <c r="AG41" s="1371"/>
      <c r="AH41" s="1371"/>
      <c r="AI41" s="1371"/>
      <c r="AJ41" s="1371"/>
    </row>
    <row r="42" spans="1:37" s="1370" customFormat="1">
      <c r="A42" s="1371"/>
      <c r="B42" s="2875"/>
      <c r="Z42" s="1371"/>
      <c r="AA42" s="1371"/>
      <c r="AB42" s="1371"/>
      <c r="AC42" s="1371"/>
      <c r="AD42" s="1371"/>
      <c r="AE42" s="1371"/>
      <c r="AF42" s="1371"/>
      <c r="AG42" s="1371"/>
      <c r="AH42" s="1371"/>
      <c r="AI42" s="1371"/>
      <c r="AJ42" s="1371"/>
    </row>
    <row r="43" spans="1:37" s="1370" customFormat="1">
      <c r="A43" s="1371"/>
      <c r="B43" s="2875"/>
      <c r="Z43" s="1371"/>
      <c r="AA43" s="1371"/>
      <c r="AB43" s="1371"/>
      <c r="AC43" s="1371"/>
      <c r="AD43" s="1371"/>
      <c r="AE43" s="1371"/>
      <c r="AF43" s="1371"/>
      <c r="AG43" s="1371"/>
      <c r="AH43" s="1371"/>
      <c r="AI43" s="1371"/>
      <c r="AJ43" s="1371"/>
    </row>
    <row r="44" spans="1:37" s="1370" customFormat="1">
      <c r="A44" s="1371"/>
      <c r="B44" s="2875"/>
      <c r="Z44" s="1371"/>
      <c r="AA44" s="1371"/>
      <c r="AB44" s="1371"/>
      <c r="AC44" s="1371"/>
      <c r="AD44" s="1371"/>
      <c r="AE44" s="1371"/>
      <c r="AF44" s="1371"/>
      <c r="AG44" s="1371"/>
      <c r="AH44" s="1371"/>
      <c r="AI44" s="1371"/>
      <c r="AJ44" s="1371"/>
    </row>
    <row r="45" spans="1:37" s="1370" customFormat="1" ht="15.75" thickBot="1">
      <c r="A45" s="2876" t="s">
        <v>2946</v>
      </c>
      <c r="B45" s="2877"/>
      <c r="C45" s="7"/>
      <c r="D45" s="7"/>
      <c r="E45" s="7"/>
      <c r="F45" s="6"/>
      <c r="G45" s="6"/>
      <c r="H45" s="6"/>
      <c r="I45" s="7"/>
      <c r="J45" s="7"/>
      <c r="K45" s="7"/>
      <c r="L45" s="7"/>
      <c r="M45" s="7"/>
      <c r="N45" s="2792"/>
      <c r="Z45" s="1371"/>
      <c r="AA45" s="1371"/>
      <c r="AB45" s="1371"/>
      <c r="AC45" s="1371"/>
      <c r="AD45" s="1371"/>
      <c r="AE45" s="1371"/>
      <c r="AF45" s="1371"/>
      <c r="AG45" s="1371"/>
      <c r="AH45" s="1371"/>
      <c r="AI45" s="1371"/>
      <c r="AJ45" s="1371"/>
    </row>
    <row r="46" spans="1:37" s="1370" customFormat="1" ht="15">
      <c r="A46" s="2878" t="s">
        <v>2947</v>
      </c>
      <c r="B46" s="2879">
        <f>1+E48</f>
        <v>1</v>
      </c>
      <c r="C46" s="2880"/>
      <c r="D46" s="811"/>
      <c r="E46" s="812"/>
      <c r="F46" s="2881"/>
      <c r="G46" s="6"/>
      <c r="H46" s="7"/>
      <c r="I46" s="7"/>
      <c r="J46" s="7"/>
      <c r="K46" s="7"/>
      <c r="L46" s="7"/>
      <c r="M46" s="7"/>
      <c r="N46" s="2792"/>
      <c r="Z46" s="1371"/>
      <c r="AA46" s="1371"/>
      <c r="AB46" s="1371"/>
      <c r="AC46" s="1371"/>
      <c r="AD46" s="1371"/>
      <c r="AE46" s="1371"/>
      <c r="AF46" s="1371"/>
      <c r="AG46" s="1371"/>
      <c r="AH46" s="1371"/>
      <c r="AI46" s="1371"/>
      <c r="AJ46" s="1371"/>
    </row>
    <row r="47" spans="1:37" s="1370" customFormat="1" ht="24.75">
      <c r="A47" s="2882" t="s">
        <v>2948</v>
      </c>
      <c r="B47" s="1809" t="s">
        <v>2949</v>
      </c>
      <c r="C47" s="1809" t="s">
        <v>2950</v>
      </c>
      <c r="D47" s="1809" t="s">
        <v>2951</v>
      </c>
      <c r="E47" s="816" t="s">
        <v>2952</v>
      </c>
      <c r="F47" s="2883" t="s">
        <v>2953</v>
      </c>
      <c r="G47" s="1809" t="s">
        <v>754</v>
      </c>
      <c r="H47" s="2884" t="s">
        <v>2954</v>
      </c>
      <c r="I47" s="1809" t="s">
        <v>2955</v>
      </c>
      <c r="J47" s="603" t="s">
        <v>2601</v>
      </c>
      <c r="K47" s="603" t="s">
        <v>2602</v>
      </c>
      <c r="L47" s="603" t="s">
        <v>2603</v>
      </c>
      <c r="M47" s="603" t="s">
        <v>2604</v>
      </c>
      <c r="N47" s="603" t="s">
        <v>2605</v>
      </c>
      <c r="AA47" s="1371"/>
      <c r="AB47" s="1371"/>
      <c r="AC47" s="1371"/>
      <c r="AD47" s="1371"/>
      <c r="AE47" s="1371"/>
      <c r="AF47" s="1371"/>
      <c r="AG47" s="1371"/>
      <c r="AH47" s="1371"/>
      <c r="AI47" s="1371"/>
      <c r="AJ47" s="1371"/>
      <c r="AK47" s="1371"/>
    </row>
    <row r="48" spans="1:37" s="1370" customFormat="1" ht="38.25">
      <c r="A48" s="2882" t="s">
        <v>2956</v>
      </c>
      <c r="B48" s="2885" t="str">
        <f>估价对象房地状况!C4</f>
        <v>估价对象位于XX商圈，周边商业氛围成熟，人流量大，商业繁华度好</v>
      </c>
      <c r="C48" s="2774"/>
      <c r="D48" s="1286">
        <f t="shared" ref="D48:D56" si="10">SUMIF($J$47:$N$47,C48,J48:N48)</f>
        <v>0</v>
      </c>
      <c r="E48" s="818">
        <f>ROUND(SUM(D48:D56),4)</f>
        <v>0</v>
      </c>
      <c r="F48" s="2505"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2" t="s">
        <v>2957</v>
      </c>
      <c r="B49" s="2886" t="str">
        <f>估价对象房地状况!C18</f>
        <v>估价对象周边道路状况、公共交通通达情况、停车便捷程度，综合评价交通便捷度较好</v>
      </c>
      <c r="C49" s="2774"/>
      <c r="D49" s="1286">
        <f t="shared" si="10"/>
        <v>0</v>
      </c>
      <c r="E49" s="819"/>
      <c r="F49" s="2505"/>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2" t="s">
        <v>2958</v>
      </c>
      <c r="B50" s="2886">
        <f>估价对象房地状况!C19</f>
        <v>0</v>
      </c>
      <c r="C50" s="2774"/>
      <c r="D50" s="1286">
        <f t="shared" si="10"/>
        <v>0</v>
      </c>
      <c r="E50" s="819"/>
      <c r="F50" s="2505"/>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2" t="s">
        <v>2959</v>
      </c>
      <c r="B51" s="2887" t="s">
        <v>2960</v>
      </c>
      <c r="C51" s="2774"/>
      <c r="D51" s="1286">
        <f t="shared" si="10"/>
        <v>0</v>
      </c>
      <c r="E51" s="819"/>
      <c r="F51" s="2505"/>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2" t="s">
        <v>2961</v>
      </c>
      <c r="B52" s="2886">
        <f>估价对象房地状况!C24</f>
        <v>0</v>
      </c>
      <c r="C52" s="2774"/>
      <c r="D52" s="1286">
        <f t="shared" si="10"/>
        <v>0</v>
      </c>
      <c r="E52" s="819"/>
      <c r="F52" s="2505"/>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2" t="s">
        <v>2962</v>
      </c>
      <c r="B53" s="2888" t="s">
        <v>2963</v>
      </c>
      <c r="C53" s="2774"/>
      <c r="D53" s="1286">
        <f t="shared" si="10"/>
        <v>0</v>
      </c>
      <c r="E53" s="819"/>
      <c r="F53" s="2505"/>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9" t="s">
        <v>2964</v>
      </c>
      <c r="B54" s="1725" t="str">
        <f>估价对象房地状况!C21</f>
        <v>估价对象所在区域公共配套设施齐备情况</v>
      </c>
      <c r="C54" s="2774"/>
      <c r="D54" s="1286">
        <f t="shared" si="10"/>
        <v>0</v>
      </c>
      <c r="E54" s="819"/>
      <c r="F54" s="2505"/>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9" t="s">
        <v>2965</v>
      </c>
      <c r="B55" s="2886" t="str">
        <f>估价对象房地状况!C22</f>
        <v>估价对象所在区域基础设施水平</v>
      </c>
      <c r="C55" s="2774"/>
      <c r="D55" s="1286">
        <f t="shared" si="10"/>
        <v>0</v>
      </c>
      <c r="E55" s="819"/>
      <c r="F55" s="2505"/>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90" t="s">
        <v>2966</v>
      </c>
      <c r="B56" s="2891" t="str">
        <f>估价对象房地状况!C20</f>
        <v>区域自然环境：；人文环境；综合评价环境状况一般</v>
      </c>
      <c r="C56" s="2774"/>
      <c r="D56" s="1286">
        <f t="shared" si="10"/>
        <v>0</v>
      </c>
      <c r="E56" s="822"/>
      <c r="F56" s="2505"/>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8" t="s">
        <v>2967</v>
      </c>
      <c r="B57" s="2879">
        <f>1+E59</f>
        <v>1</v>
      </c>
      <c r="C57" s="811"/>
      <c r="D57" s="811"/>
      <c r="E57" s="812"/>
      <c r="F57" s="288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2" t="s">
        <v>2948</v>
      </c>
      <c r="B58" s="1809"/>
      <c r="C58" s="1809" t="s">
        <v>2950</v>
      </c>
      <c r="D58" s="1809" t="s">
        <v>2951</v>
      </c>
      <c r="E58" s="816" t="s">
        <v>2952</v>
      </c>
      <c r="F58" s="2883" t="s">
        <v>2968</v>
      </c>
      <c r="G58" s="1809" t="s">
        <v>754</v>
      </c>
      <c r="H58" s="2884" t="s">
        <v>2954</v>
      </c>
      <c r="I58" s="1809" t="s">
        <v>2955</v>
      </c>
      <c r="J58" s="603" t="s">
        <v>2601</v>
      </c>
      <c r="K58" s="603" t="s">
        <v>2602</v>
      </c>
      <c r="L58" s="603" t="s">
        <v>2603</v>
      </c>
      <c r="M58" s="603" t="s">
        <v>2604</v>
      </c>
      <c r="N58" s="603" t="s">
        <v>2605</v>
      </c>
      <c r="AA58" s="1371"/>
      <c r="AB58" s="1371"/>
      <c r="AC58" s="1371"/>
      <c r="AD58" s="1371"/>
      <c r="AE58" s="1371"/>
      <c r="AF58" s="1371"/>
      <c r="AG58" s="1371"/>
      <c r="AH58" s="1371"/>
      <c r="AI58" s="1371"/>
      <c r="AJ58" s="1371"/>
      <c r="AK58" s="1371"/>
    </row>
    <row r="59" spans="1:37" s="1370" customFormat="1" ht="38.25">
      <c r="A59" s="2882" t="s">
        <v>2969</v>
      </c>
      <c r="B59" s="2885" t="str">
        <f>估价对象房地状况!C17</f>
        <v>估价对象位于XX商圈，周边办公楼项目较多，入驻率高，办公集聚程度较好</v>
      </c>
      <c r="C59" s="2774"/>
      <c r="D59" s="1286">
        <f t="shared" ref="D59:D67" si="15">SUMIF($J$58:$N$58,C59,J59:N59)</f>
        <v>0</v>
      </c>
      <c r="E59" s="818">
        <f>ROUND(SUM(D59:D67),4)</f>
        <v>0</v>
      </c>
      <c r="F59" s="2505"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2" t="s">
        <v>2957</v>
      </c>
      <c r="B60" s="2886" t="str">
        <f>估价对象房地状况!C18</f>
        <v>估价对象周边道路状况、公共交通通达情况、停车便捷程度，综合评价交通便捷度较好</v>
      </c>
      <c r="C60" s="2774"/>
      <c r="D60" s="1286">
        <f t="shared" si="15"/>
        <v>0</v>
      </c>
      <c r="E60" s="819"/>
      <c r="F60" s="2505"/>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2" t="s">
        <v>2958</v>
      </c>
      <c r="B61" s="2886">
        <f>估价对象房地状况!C19</f>
        <v>0</v>
      </c>
      <c r="C61" s="2774"/>
      <c r="D61" s="1286">
        <f t="shared" si="15"/>
        <v>0</v>
      </c>
      <c r="E61" s="819"/>
      <c r="F61" s="2505"/>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2" t="s">
        <v>2959</v>
      </c>
      <c r="B62" s="2887" t="s">
        <v>2960</v>
      </c>
      <c r="C62" s="2774"/>
      <c r="D62" s="1286">
        <f t="shared" si="15"/>
        <v>0</v>
      </c>
      <c r="E62" s="819"/>
      <c r="F62" s="2505"/>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2" t="s">
        <v>2961</v>
      </c>
      <c r="B63" s="2886">
        <f>估价对象房地状况!C24</f>
        <v>0</v>
      </c>
      <c r="C63" s="2774"/>
      <c r="D63" s="1286">
        <f t="shared" si="15"/>
        <v>0</v>
      </c>
      <c r="E63" s="819"/>
      <c r="F63" s="2505"/>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2" t="s">
        <v>2962</v>
      </c>
      <c r="B64" s="2888" t="s">
        <v>2963</v>
      </c>
      <c r="C64" s="2774"/>
      <c r="D64" s="1286">
        <f t="shared" si="15"/>
        <v>0</v>
      </c>
      <c r="E64" s="819"/>
      <c r="F64" s="2505"/>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2" t="s">
        <v>2964</v>
      </c>
      <c r="B65" s="1725" t="str">
        <f>估价对象房地状况!C21</f>
        <v>估价对象所在区域公共配套设施齐备情况</v>
      </c>
      <c r="C65" s="2774"/>
      <c r="D65" s="1286">
        <f t="shared" si="15"/>
        <v>0</v>
      </c>
      <c r="E65" s="819"/>
      <c r="F65" s="2505"/>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2" t="s">
        <v>2965</v>
      </c>
      <c r="B66" s="1725" t="str">
        <f>估价对象房地状况!C22</f>
        <v>估价对象所在区域基础设施水平</v>
      </c>
      <c r="C66" s="2774"/>
      <c r="D66" s="1286">
        <f t="shared" si="15"/>
        <v>0</v>
      </c>
      <c r="E66" s="819"/>
      <c r="F66" s="2505"/>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90" t="s">
        <v>2966</v>
      </c>
      <c r="B67" s="2892" t="str">
        <f>估价对象房地状况!C20</f>
        <v>区域自然环境：；人文环境；综合评价环境状况一般</v>
      </c>
      <c r="C67" s="2774"/>
      <c r="D67" s="1286">
        <f t="shared" si="15"/>
        <v>0</v>
      </c>
      <c r="E67" s="822"/>
      <c r="F67" s="2505"/>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8" t="s">
        <v>2970</v>
      </c>
      <c r="B68" s="2879">
        <f>1+E70</f>
        <v>1</v>
      </c>
      <c r="C68" s="811"/>
      <c r="D68" s="811"/>
      <c r="E68" s="812"/>
      <c r="F68" s="288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2" t="s">
        <v>2948</v>
      </c>
      <c r="B69" s="1809"/>
      <c r="C69" s="1809" t="s">
        <v>2950</v>
      </c>
      <c r="D69" s="1809" t="s">
        <v>2951</v>
      </c>
      <c r="E69" s="816" t="s">
        <v>2952</v>
      </c>
      <c r="F69" s="2883" t="s">
        <v>2968</v>
      </c>
      <c r="G69" s="1809" t="s">
        <v>754</v>
      </c>
      <c r="H69" s="2884" t="s">
        <v>2954</v>
      </c>
      <c r="I69" s="1809" t="s">
        <v>2955</v>
      </c>
      <c r="J69" s="603" t="s">
        <v>2601</v>
      </c>
      <c r="K69" s="603" t="s">
        <v>2602</v>
      </c>
      <c r="L69" s="603" t="s">
        <v>2603</v>
      </c>
      <c r="M69" s="603" t="s">
        <v>2604</v>
      </c>
      <c r="N69" s="603" t="s">
        <v>2605</v>
      </c>
      <c r="AA69" s="1371"/>
      <c r="AB69" s="1371"/>
      <c r="AC69" s="1371"/>
      <c r="AD69" s="1371"/>
      <c r="AE69" s="1371"/>
      <c r="AF69" s="1371"/>
      <c r="AG69" s="1371"/>
      <c r="AH69" s="1371"/>
      <c r="AI69" s="1371"/>
      <c r="AJ69" s="1371"/>
      <c r="AK69" s="1371"/>
    </row>
    <row r="70" spans="1:37" s="1370" customFormat="1" ht="51">
      <c r="A70" s="2882" t="s">
        <v>2971</v>
      </c>
      <c r="B70" s="2885" t="str">
        <f>估价对象房地状况!C15</f>
        <v>估价对象周边居住用地比例、居住小区规模和社区发展完善程度，综合评价居住社区成熟度一般</v>
      </c>
      <c r="C70" s="2774"/>
      <c r="D70" s="1286">
        <f t="shared" ref="D70:D78" si="20">SUMIF($J$69:$N$69,C70,J70:N70)</f>
        <v>0</v>
      </c>
      <c r="E70" s="818">
        <f>ROUND(SUM(D70:D78),4)</f>
        <v>0</v>
      </c>
      <c r="F70" s="2505"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2" t="s">
        <v>2957</v>
      </c>
      <c r="B71" s="2886" t="str">
        <f>估价对象房地状况!C18</f>
        <v>估价对象周边道路状况、公共交通通达情况、停车便捷程度，综合评价交通便捷度较好</v>
      </c>
      <c r="C71" s="2774"/>
      <c r="D71" s="1286">
        <f t="shared" si="20"/>
        <v>0</v>
      </c>
      <c r="E71" s="823"/>
      <c r="F71" s="2505"/>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2" t="s">
        <v>2958</v>
      </c>
      <c r="B72" s="2886">
        <f>估价对象房地状况!C19</f>
        <v>0</v>
      </c>
      <c r="C72" s="2774"/>
      <c r="D72" s="1286">
        <f t="shared" si="20"/>
        <v>0</v>
      </c>
      <c r="E72" s="823"/>
      <c r="F72" s="2505"/>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2" t="s">
        <v>2972</v>
      </c>
      <c r="B73" s="2886">
        <f>估价对象房地状况!C24</f>
        <v>0</v>
      </c>
      <c r="C73" s="2774"/>
      <c r="D73" s="1286">
        <f t="shared" si="20"/>
        <v>0</v>
      </c>
      <c r="E73" s="823"/>
      <c r="F73" s="2505"/>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2" t="s">
        <v>2964</v>
      </c>
      <c r="B74" s="1725" t="str">
        <f>估价对象房地状况!C21</f>
        <v>估价对象所在区域公共配套设施齐备情况</v>
      </c>
      <c r="C74" s="2774"/>
      <c r="D74" s="1286">
        <f t="shared" si="20"/>
        <v>0</v>
      </c>
      <c r="E74" s="823"/>
      <c r="F74" s="2505"/>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2" t="s">
        <v>2965</v>
      </c>
      <c r="B75" s="1725" t="str">
        <f>估价对象房地状况!C22</f>
        <v>估价对象所在区域基础设施水平</v>
      </c>
      <c r="C75" s="2774"/>
      <c r="D75" s="1286">
        <f t="shared" si="20"/>
        <v>0</v>
      </c>
      <c r="E75" s="823"/>
      <c r="F75" s="2505"/>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82" t="s">
        <v>2962</v>
      </c>
      <c r="B76" s="2888" t="s">
        <v>2963</v>
      </c>
      <c r="C76" s="2774"/>
      <c r="D76" s="1286">
        <f t="shared" si="20"/>
        <v>0</v>
      </c>
      <c r="E76" s="823"/>
      <c r="F76" s="2505"/>
      <c r="G76" s="1284"/>
      <c r="H76" s="1288" t="str">
        <f t="shared" si="21"/>
        <v>——</v>
      </c>
      <c r="I76" s="817">
        <v>0.05</v>
      </c>
      <c r="J76" s="1285">
        <f t="shared" si="22"/>
        <v>0</v>
      </c>
      <c r="K76" s="1285">
        <f t="shared" si="23"/>
        <v>0</v>
      </c>
      <c r="L76" s="1285">
        <v>0</v>
      </c>
      <c r="M76" s="1285">
        <f t="shared" si="24"/>
        <v>0</v>
      </c>
      <c r="N76" s="1285">
        <f t="shared" si="24"/>
        <v>0</v>
      </c>
      <c r="AA76" s="2893"/>
      <c r="AB76" s="1371"/>
      <c r="AC76" s="1371"/>
      <c r="AD76" s="1371"/>
      <c r="AE76" s="1371"/>
      <c r="AF76" s="1371"/>
      <c r="AG76" s="1371"/>
      <c r="AH76" s="2893"/>
      <c r="AI76" s="2893"/>
      <c r="AJ76" s="2893"/>
      <c r="AK76" s="2893"/>
    </row>
    <row r="77" spans="1:37" ht="38.25">
      <c r="A77" s="2882" t="s">
        <v>2966</v>
      </c>
      <c r="B77" s="2885" t="str">
        <f>估价对象房地状况!C20</f>
        <v>区域自然环境：；人文环境；综合评价环境状况一般</v>
      </c>
      <c r="C77" s="2774"/>
      <c r="D77" s="1286">
        <f t="shared" si="20"/>
        <v>0</v>
      </c>
      <c r="E77" s="823"/>
      <c r="F77" s="2505"/>
      <c r="G77" s="1284"/>
      <c r="H77" s="1288" t="str">
        <f t="shared" si="21"/>
        <v>——</v>
      </c>
      <c r="I77" s="817">
        <v>0.15</v>
      </c>
      <c r="J77" s="1285">
        <f t="shared" si="22"/>
        <v>0</v>
      </c>
      <c r="K77" s="1285">
        <f t="shared" si="23"/>
        <v>0</v>
      </c>
      <c r="L77" s="1285">
        <v>0</v>
      </c>
      <c r="M77" s="1285">
        <f t="shared" si="24"/>
        <v>0</v>
      </c>
      <c r="N77" s="1285">
        <f t="shared" si="24"/>
        <v>0</v>
      </c>
      <c r="Z77" s="2724"/>
      <c r="AA77" s="2800"/>
      <c r="AG77" s="1372"/>
      <c r="AK77" s="2800"/>
    </row>
    <row r="78" spans="1:37" ht="24.75" thickBot="1">
      <c r="A78" s="2890" t="s">
        <v>2973</v>
      </c>
      <c r="B78" s="2894"/>
      <c r="C78" s="2774"/>
      <c r="D78" s="1286">
        <f t="shared" si="20"/>
        <v>0</v>
      </c>
      <c r="E78" s="824"/>
      <c r="F78" s="2505"/>
      <c r="G78" s="1284"/>
      <c r="H78" s="1288" t="str">
        <f t="shared" si="21"/>
        <v>——</v>
      </c>
      <c r="I78" s="821">
        <v>0.04</v>
      </c>
      <c r="J78" s="1285">
        <f t="shared" si="22"/>
        <v>0</v>
      </c>
      <c r="K78" s="1285">
        <f t="shared" si="23"/>
        <v>0</v>
      </c>
      <c r="L78" s="1285">
        <v>0</v>
      </c>
      <c r="M78" s="1285">
        <f t="shared" si="24"/>
        <v>0</v>
      </c>
      <c r="N78" s="1285">
        <f t="shared" si="24"/>
        <v>0</v>
      </c>
      <c r="Z78" s="2724"/>
      <c r="AA78" s="2800"/>
      <c r="AG78" s="1372"/>
      <c r="AK78" s="2800"/>
    </row>
    <row r="79" spans="1:37" ht="15">
      <c r="A79" s="2878" t="s">
        <v>2974</v>
      </c>
      <c r="B79" s="2879">
        <f>1+E81</f>
        <v>1</v>
      </c>
      <c r="C79" s="811"/>
      <c r="D79" s="811"/>
      <c r="E79" s="812"/>
      <c r="F79" s="2881"/>
      <c r="G79" s="6"/>
      <c r="H79" s="6"/>
      <c r="I79" s="6"/>
      <c r="J79" s="7"/>
      <c r="K79" s="7"/>
      <c r="L79" s="7"/>
      <c r="M79" s="7"/>
      <c r="N79" s="7"/>
      <c r="Z79" s="2724"/>
      <c r="AA79" s="2800"/>
      <c r="AG79" s="1372"/>
      <c r="AK79" s="2800"/>
    </row>
    <row r="80" spans="1:37" ht="24.75">
      <c r="A80" s="2882" t="s">
        <v>2948</v>
      </c>
      <c r="B80" s="1809"/>
      <c r="C80" s="1809" t="s">
        <v>2950</v>
      </c>
      <c r="D80" s="1809" t="s">
        <v>2951</v>
      </c>
      <c r="E80" s="816" t="s">
        <v>2952</v>
      </c>
      <c r="F80" s="2883" t="s">
        <v>2968</v>
      </c>
      <c r="G80" s="1809" t="s">
        <v>754</v>
      </c>
      <c r="H80" s="2884" t="s">
        <v>2954</v>
      </c>
      <c r="I80" s="1809" t="s">
        <v>2955</v>
      </c>
      <c r="J80" s="603" t="s">
        <v>2601</v>
      </c>
      <c r="K80" s="603" t="s">
        <v>2602</v>
      </c>
      <c r="L80" s="603" t="s">
        <v>2603</v>
      </c>
      <c r="M80" s="603" t="s">
        <v>2604</v>
      </c>
      <c r="N80" s="603" t="s">
        <v>2605</v>
      </c>
      <c r="Z80" s="2724"/>
      <c r="AA80" s="2800"/>
      <c r="AG80" s="1372"/>
      <c r="AK80" s="2800"/>
    </row>
    <row r="81" spans="1:37" ht="38.25">
      <c r="A81" s="2882" t="s">
        <v>2975</v>
      </c>
      <c r="B81" s="2886" t="str">
        <f>估价对象房地状况!G15</f>
        <v>估价对象位于XX开发区，园区建设成熟度XX，产业集聚程度XX</v>
      </c>
      <c r="C81" s="2774"/>
      <c r="D81" s="1286">
        <f t="shared" ref="D81:D88" si="25">SUMIF($J$80:$N$80,C81,J81:N81)</f>
        <v>0</v>
      </c>
      <c r="E81" s="818">
        <f>ROUND(SUM(D81:D88),4)</f>
        <v>0</v>
      </c>
      <c r="F81" s="2505"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4"/>
      <c r="AA81" s="2800"/>
      <c r="AG81" s="1372"/>
      <c r="AK81" s="2800"/>
    </row>
    <row r="82" spans="1:37" ht="51">
      <c r="A82" s="2882" t="s">
        <v>2957</v>
      </c>
      <c r="B82" s="2886" t="str">
        <f>估价对象房地状况!G16</f>
        <v>估价对象周边道路状况、公共交通通达情况、停车便捷程度，综合评价交通便捷度较好</v>
      </c>
      <c r="C82" s="2774"/>
      <c r="D82" s="1286">
        <f t="shared" si="25"/>
        <v>0</v>
      </c>
      <c r="E82" s="823"/>
      <c r="F82" s="2505"/>
      <c r="G82" s="1284"/>
      <c r="H82" s="1288" t="str">
        <f t="shared" si="26"/>
        <v>——</v>
      </c>
      <c r="I82" s="817">
        <v>0.33</v>
      </c>
      <c r="J82" s="1285">
        <f t="shared" si="27"/>
        <v>0</v>
      </c>
      <c r="K82" s="1285">
        <f t="shared" si="28"/>
        <v>0</v>
      </c>
      <c r="L82" s="1285">
        <v>0</v>
      </c>
      <c r="M82" s="1285">
        <f t="shared" si="29"/>
        <v>0</v>
      </c>
      <c r="N82" s="1285">
        <f t="shared" si="29"/>
        <v>0</v>
      </c>
      <c r="Z82" s="2724"/>
      <c r="AA82" s="2800"/>
      <c r="AG82" s="1372"/>
      <c r="AK82" s="2800"/>
    </row>
    <row r="83" spans="1:37" ht="24">
      <c r="A83" s="2882" t="s">
        <v>2958</v>
      </c>
      <c r="B83" s="2886">
        <f>估价对象房地状况!G17</f>
        <v>0</v>
      </c>
      <c r="C83" s="2774"/>
      <c r="D83" s="1286">
        <f t="shared" si="25"/>
        <v>0</v>
      </c>
      <c r="E83" s="823"/>
      <c r="F83" s="2505"/>
      <c r="G83" s="1284"/>
      <c r="H83" s="1288" t="str">
        <f t="shared" si="26"/>
        <v>——</v>
      </c>
      <c r="I83" s="817">
        <v>0.05</v>
      </c>
      <c r="J83" s="1285">
        <f t="shared" si="27"/>
        <v>0</v>
      </c>
      <c r="K83" s="1285">
        <f t="shared" si="28"/>
        <v>0</v>
      </c>
      <c r="L83" s="1285">
        <v>0</v>
      </c>
      <c r="M83" s="1285">
        <f t="shared" si="29"/>
        <v>0</v>
      </c>
      <c r="N83" s="1285">
        <f t="shared" si="29"/>
        <v>0</v>
      </c>
      <c r="Z83" s="2724"/>
      <c r="AA83" s="2800"/>
      <c r="AG83" s="1372"/>
      <c r="AK83" s="2800"/>
    </row>
    <row r="84" spans="1:37" ht="14.25">
      <c r="A84" s="2882" t="s">
        <v>2972</v>
      </c>
      <c r="B84" s="2886">
        <f>估价对象房地状况!G22</f>
        <v>0</v>
      </c>
      <c r="C84" s="2774"/>
      <c r="D84" s="1286">
        <f t="shared" si="25"/>
        <v>0</v>
      </c>
      <c r="E84" s="823"/>
      <c r="F84" s="2505"/>
      <c r="G84" s="1284"/>
      <c r="H84" s="1288" t="str">
        <f t="shared" si="26"/>
        <v>——</v>
      </c>
      <c r="I84" s="817">
        <v>0.04</v>
      </c>
      <c r="J84" s="1285">
        <f t="shared" si="27"/>
        <v>0</v>
      </c>
      <c r="K84" s="1285">
        <f t="shared" si="28"/>
        <v>0</v>
      </c>
      <c r="L84" s="1285">
        <v>0</v>
      </c>
      <c r="M84" s="1285">
        <f t="shared" si="29"/>
        <v>0</v>
      </c>
      <c r="N84" s="1285">
        <f t="shared" si="29"/>
        <v>0</v>
      </c>
      <c r="Z84" s="2724"/>
      <c r="AA84" s="2800"/>
      <c r="AG84" s="1372"/>
      <c r="AK84" s="2800"/>
    </row>
    <row r="85" spans="1:37" ht="25.5">
      <c r="A85" s="2882" t="s">
        <v>2964</v>
      </c>
      <c r="B85" s="1725" t="str">
        <f>估价对象房地状况!G19</f>
        <v>估价对象所在区域公共配套设施齐备情况</v>
      </c>
      <c r="C85" s="2774"/>
      <c r="D85" s="1286">
        <f t="shared" si="25"/>
        <v>0</v>
      </c>
      <c r="E85" s="823"/>
      <c r="F85" s="2505"/>
      <c r="G85" s="1284"/>
      <c r="H85" s="1288" t="str">
        <f t="shared" si="26"/>
        <v>——</v>
      </c>
      <c r="I85" s="817">
        <v>0.06</v>
      </c>
      <c r="J85" s="1285">
        <f t="shared" si="27"/>
        <v>0</v>
      </c>
      <c r="K85" s="1285">
        <f t="shared" si="28"/>
        <v>0</v>
      </c>
      <c r="L85" s="1285">
        <v>0</v>
      </c>
      <c r="M85" s="1285">
        <f t="shared" si="29"/>
        <v>0</v>
      </c>
      <c r="N85" s="1285">
        <f t="shared" si="29"/>
        <v>0</v>
      </c>
      <c r="Z85" s="2724"/>
      <c r="AA85" s="2800"/>
      <c r="AG85" s="1372"/>
      <c r="AK85" s="2800"/>
    </row>
    <row r="86" spans="1:37" ht="25.5">
      <c r="A86" s="2882" t="s">
        <v>2965</v>
      </c>
      <c r="B86" s="1725" t="str">
        <f>估价对象房地状况!G20</f>
        <v>估价对象所在区域基础设施水平</v>
      </c>
      <c r="C86" s="2774"/>
      <c r="D86" s="1286">
        <f t="shared" si="25"/>
        <v>0</v>
      </c>
      <c r="E86" s="823"/>
      <c r="F86" s="2505"/>
      <c r="G86" s="1284"/>
      <c r="H86" s="1288" t="str">
        <f t="shared" si="26"/>
        <v>——</v>
      </c>
      <c r="I86" s="817">
        <v>0.15</v>
      </c>
      <c r="J86" s="1285">
        <f t="shared" si="27"/>
        <v>0</v>
      </c>
      <c r="K86" s="1285">
        <f t="shared" si="28"/>
        <v>0</v>
      </c>
      <c r="L86" s="1285">
        <v>0</v>
      </c>
      <c r="M86" s="1285">
        <f t="shared" si="29"/>
        <v>0</v>
      </c>
      <c r="N86" s="1285">
        <f t="shared" si="29"/>
        <v>0</v>
      </c>
      <c r="Z86" s="2724"/>
      <c r="AA86" s="2800"/>
      <c r="AG86" s="1372"/>
      <c r="AK86" s="2800"/>
    </row>
    <row r="87" spans="1:37" ht="24">
      <c r="A87" s="2882" t="s">
        <v>2962</v>
      </c>
      <c r="B87" s="2888" t="s">
        <v>2976</v>
      </c>
      <c r="C87" s="2774"/>
      <c r="D87" s="1286">
        <f t="shared" si="25"/>
        <v>0</v>
      </c>
      <c r="E87" s="823"/>
      <c r="F87" s="2505"/>
      <c r="G87" s="1284"/>
      <c r="H87" s="1288" t="str">
        <f t="shared" si="26"/>
        <v>——</v>
      </c>
      <c r="I87" s="817">
        <v>0.05</v>
      </c>
      <c r="J87" s="1285">
        <f t="shared" si="27"/>
        <v>0</v>
      </c>
      <c r="K87" s="1285">
        <f t="shared" si="28"/>
        <v>0</v>
      </c>
      <c r="L87" s="1285">
        <v>0</v>
      </c>
      <c r="M87" s="1285">
        <f t="shared" si="29"/>
        <v>0</v>
      </c>
      <c r="N87" s="1285">
        <f t="shared" si="29"/>
        <v>0</v>
      </c>
      <c r="Z87" s="2724"/>
      <c r="AA87" s="2800"/>
      <c r="AG87" s="1372"/>
      <c r="AK87" s="2800"/>
    </row>
    <row r="88" spans="1:37" ht="39" thickBot="1">
      <c r="A88" s="2890" t="s">
        <v>2977</v>
      </c>
      <c r="B88" s="2895" t="str">
        <f>估价对象房地状况!G18</f>
        <v>该园区内是否有污染型企业，绿化情况，卫生条件，整体环境状况判断</v>
      </c>
      <c r="C88" s="2774"/>
      <c r="D88" s="1286">
        <f t="shared" si="25"/>
        <v>0</v>
      </c>
      <c r="E88" s="824"/>
      <c r="F88" s="2505"/>
      <c r="G88" s="1284"/>
      <c r="H88" s="1288" t="str">
        <f t="shared" si="26"/>
        <v>——</v>
      </c>
      <c r="I88" s="821">
        <v>0.06</v>
      </c>
      <c r="J88" s="1285">
        <f t="shared" si="27"/>
        <v>0</v>
      </c>
      <c r="K88" s="1285">
        <f t="shared" si="28"/>
        <v>0</v>
      </c>
      <c r="L88" s="1285">
        <v>0</v>
      </c>
      <c r="M88" s="1285">
        <f t="shared" si="29"/>
        <v>0</v>
      </c>
      <c r="N88" s="1285">
        <f t="shared" si="29"/>
        <v>0</v>
      </c>
      <c r="Z88" s="2724"/>
      <c r="AA88" s="2800"/>
      <c r="AG88" s="1372"/>
      <c r="AK88" s="2800"/>
    </row>
    <row r="90" spans="1:37">
      <c r="A90" s="3309" t="s">
        <v>2978</v>
      </c>
      <c r="B90" s="3309"/>
      <c r="C90" s="3309"/>
      <c r="D90" s="3309"/>
      <c r="E90" s="3309"/>
      <c r="F90" s="3309"/>
      <c r="G90" s="3309"/>
      <c r="H90" s="3309"/>
      <c r="I90" s="3309"/>
      <c r="J90" s="3309"/>
      <c r="K90" s="2896"/>
      <c r="L90" s="2896"/>
      <c r="M90" s="2896"/>
      <c r="N90" s="2896"/>
    </row>
    <row r="91" spans="1:37">
      <c r="A91" s="3311" t="s">
        <v>2979</v>
      </c>
      <c r="B91" s="3311" t="s">
        <v>2980</v>
      </c>
      <c r="C91" s="2850" t="s">
        <v>2981</v>
      </c>
      <c r="D91" s="2851"/>
      <c r="E91" s="2851"/>
      <c r="F91" s="2851"/>
      <c r="G91" s="2851"/>
      <c r="H91" s="2851"/>
      <c r="I91" s="2851"/>
      <c r="J91" s="2897"/>
      <c r="K91" s="2898"/>
      <c r="L91" s="2898"/>
      <c r="M91" s="2898"/>
      <c r="N91" s="2898"/>
    </row>
    <row r="92" spans="1:37">
      <c r="A92" s="3311"/>
      <c r="B92" s="3311"/>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312" t="s">
        <v>2982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3"/>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12" t="s">
        <v>2983</v>
      </c>
      <c r="B101" s="2903" t="s">
        <v>2984</v>
      </c>
      <c r="C101" s="2904">
        <f>$G$3</f>
        <v>2.25</v>
      </c>
      <c r="D101" s="2904">
        <f t="shared" ref="D101:N101" si="31">$G$3</f>
        <v>2.25</v>
      </c>
      <c r="E101" s="2904">
        <f t="shared" si="31"/>
        <v>2.25</v>
      </c>
      <c r="F101" s="2904">
        <f t="shared" si="31"/>
        <v>2.25</v>
      </c>
      <c r="G101" s="2904">
        <f t="shared" si="31"/>
        <v>2.25</v>
      </c>
      <c r="H101" s="2904">
        <f t="shared" si="31"/>
        <v>2.25</v>
      </c>
      <c r="I101" s="2904">
        <f t="shared" si="31"/>
        <v>2.25</v>
      </c>
      <c r="J101" s="2904">
        <f t="shared" si="31"/>
        <v>2.25</v>
      </c>
      <c r="K101" s="2904">
        <f t="shared" si="31"/>
        <v>2.25</v>
      </c>
      <c r="L101" s="2904">
        <f t="shared" si="31"/>
        <v>2.25</v>
      </c>
      <c r="M101" s="2904">
        <f t="shared" si="31"/>
        <v>2.25</v>
      </c>
      <c r="N101" s="2904">
        <f t="shared" si="31"/>
        <v>2.25</v>
      </c>
    </row>
    <row r="102" spans="1:14">
      <c r="A102" s="3313"/>
      <c r="B102" s="2899">
        <v>1</v>
      </c>
      <c r="C102" s="2900">
        <f>1.9362/C101</f>
        <v>0.86053333333333326</v>
      </c>
      <c r="D102" s="2900">
        <f>1.9362/D101</f>
        <v>0.86053333333333326</v>
      </c>
      <c r="E102" s="2900">
        <f>1.8629/E101</f>
        <v>0.82795555555555556</v>
      </c>
      <c r="F102" s="2900">
        <f>1.8629/F101</f>
        <v>0.82795555555555556</v>
      </c>
      <c r="G102" s="2900">
        <f>1.8629/G101</f>
        <v>0.82795555555555556</v>
      </c>
      <c r="H102" s="2900">
        <f>1.8629/H101</f>
        <v>0.82795555555555556</v>
      </c>
      <c r="I102" s="2900">
        <f>1.8629/I101</f>
        <v>0.82795555555555556</v>
      </c>
      <c r="J102" s="2900">
        <f>1.942/J101</f>
        <v>0.86311111111111105</v>
      </c>
      <c r="K102" s="2900">
        <f>1.942/K101</f>
        <v>0.86311111111111105</v>
      </c>
      <c r="L102" s="2900">
        <f>1.942/L101</f>
        <v>0.86311111111111105</v>
      </c>
      <c r="M102" s="2900">
        <f>1.942/M101</f>
        <v>0.86311111111111105</v>
      </c>
      <c r="N102" s="2900">
        <f>1.942/N101</f>
        <v>0.86311111111111105</v>
      </c>
    </row>
    <row r="103" spans="1:14">
      <c r="A103" s="3313"/>
      <c r="B103" s="2899">
        <v>2</v>
      </c>
      <c r="C103" s="2900">
        <f>1.4198/C101</f>
        <v>0.63102222222222215</v>
      </c>
      <c r="D103" s="2900">
        <f>1.4198/D101</f>
        <v>0.63102222222222215</v>
      </c>
      <c r="E103" s="2900">
        <f>1.3372/E101</f>
        <v>0.59431111111111112</v>
      </c>
      <c r="F103" s="2900">
        <f>1.3372/F101</f>
        <v>0.59431111111111112</v>
      </c>
      <c r="G103" s="2900">
        <f>1.3372/G101</f>
        <v>0.59431111111111112</v>
      </c>
      <c r="H103" s="2900">
        <f>1.3372/H101</f>
        <v>0.59431111111111112</v>
      </c>
      <c r="I103" s="2900">
        <f>1.3372/I101</f>
        <v>0.59431111111111112</v>
      </c>
      <c r="J103" s="2900">
        <f>1.2799/J101</f>
        <v>0.56884444444444449</v>
      </c>
      <c r="K103" s="2900">
        <f>1.2799/K101</f>
        <v>0.56884444444444449</v>
      </c>
      <c r="L103" s="2900">
        <f>1.2799/L101</f>
        <v>0.56884444444444449</v>
      </c>
      <c r="M103" s="2900">
        <f>1.2799/M101</f>
        <v>0.56884444444444449</v>
      </c>
      <c r="N103" s="2900">
        <f>1.2799/N101</f>
        <v>0.56884444444444449</v>
      </c>
    </row>
    <row r="104" spans="1:14">
      <c r="A104" s="3313"/>
      <c r="B104" s="2899">
        <v>3</v>
      </c>
      <c r="C104" s="2900">
        <f>1.1594/C101</f>
        <v>0.51528888888888891</v>
      </c>
      <c r="D104" s="2900">
        <f>1.1594/D101</f>
        <v>0.51528888888888891</v>
      </c>
      <c r="E104" s="2900">
        <f>1.0788/E101</f>
        <v>0.47946666666666665</v>
      </c>
      <c r="F104" s="2900">
        <f>1.0788/F101</f>
        <v>0.47946666666666665</v>
      </c>
      <c r="G104" s="2900">
        <f>1.0788/G101</f>
        <v>0.47946666666666665</v>
      </c>
      <c r="H104" s="2900">
        <f>1.0788/H101</f>
        <v>0.47946666666666665</v>
      </c>
      <c r="I104" s="2900">
        <f>1.0788/I101</f>
        <v>0.47946666666666665</v>
      </c>
      <c r="J104" s="2900">
        <f>1.0072/J101</f>
        <v>0.44764444444444451</v>
      </c>
      <c r="K104" s="2900">
        <f>1.0072/K101</f>
        <v>0.44764444444444451</v>
      </c>
      <c r="L104" s="2900">
        <f>1.0072/L101</f>
        <v>0.44764444444444451</v>
      </c>
      <c r="M104" s="2900">
        <f>1.0072/M101</f>
        <v>0.44764444444444451</v>
      </c>
      <c r="N104" s="2900">
        <f>1.0072/N101</f>
        <v>0.44764444444444451</v>
      </c>
    </row>
    <row r="105" spans="1:14">
      <c r="A105" s="3313"/>
      <c r="B105" s="2899">
        <v>4</v>
      </c>
      <c r="C105" s="2900">
        <f>0.9622/C101</f>
        <v>0.42764444444444449</v>
      </c>
      <c r="D105" s="2900">
        <f>0.9622/D101</f>
        <v>0.42764444444444449</v>
      </c>
      <c r="E105" s="2900">
        <f>0.8656/E101</f>
        <v>0.38471111111111111</v>
      </c>
      <c r="F105" s="2900">
        <f>0.8656/F101</f>
        <v>0.38471111111111111</v>
      </c>
      <c r="G105" s="2900">
        <f>0.8656/G101</f>
        <v>0.38471111111111111</v>
      </c>
      <c r="H105" s="2900">
        <f>0.8656/H101</f>
        <v>0.38471111111111111</v>
      </c>
      <c r="I105" s="2900">
        <f>0.8656/I101</f>
        <v>0.38471111111111111</v>
      </c>
      <c r="J105" s="2900">
        <f>0.7525/J101</f>
        <v>0.33444444444444443</v>
      </c>
      <c r="K105" s="2900">
        <f>0.7525/K101</f>
        <v>0.33444444444444443</v>
      </c>
      <c r="L105" s="2900">
        <f>0.7525/L101</f>
        <v>0.33444444444444443</v>
      </c>
      <c r="M105" s="2900">
        <f>0.7525/M101</f>
        <v>0.33444444444444443</v>
      </c>
      <c r="N105" s="2900">
        <f>0.7525/N101</f>
        <v>0.33444444444444443</v>
      </c>
    </row>
    <row r="106" spans="1:14">
      <c r="A106" s="3313"/>
      <c r="B106" s="2899">
        <v>5</v>
      </c>
      <c r="C106" s="2900">
        <f>0.8417/C101</f>
        <v>0.37408888888888892</v>
      </c>
      <c r="D106" s="2900">
        <f>0.8417/D101</f>
        <v>0.37408888888888892</v>
      </c>
      <c r="E106" s="2900">
        <f>0.7371/E101</f>
        <v>0.3276</v>
      </c>
      <c r="F106" s="2900">
        <f>0.7371/F101</f>
        <v>0.3276</v>
      </c>
      <c r="G106" s="2900">
        <f>0.7371/G101</f>
        <v>0.3276</v>
      </c>
      <c r="H106" s="2900">
        <f>0.7371/H101</f>
        <v>0.3276</v>
      </c>
      <c r="I106" s="2900">
        <f>0.7371/I101</f>
        <v>0.3276</v>
      </c>
      <c r="J106" s="2900">
        <f>0.5659/J101</f>
        <v>0.25151111111111107</v>
      </c>
      <c r="K106" s="2900">
        <f>0.5659/K101</f>
        <v>0.25151111111111107</v>
      </c>
      <c r="L106" s="2900">
        <f>0.5659/L101</f>
        <v>0.25151111111111107</v>
      </c>
      <c r="M106" s="2900">
        <f>0.5659/M101</f>
        <v>0.25151111111111107</v>
      </c>
      <c r="N106" s="2900">
        <f>0.5659/N101</f>
        <v>0.25151111111111107</v>
      </c>
    </row>
    <row r="107" spans="1:14">
      <c r="A107" s="3313"/>
      <c r="B107" s="2899">
        <v>6</v>
      </c>
      <c r="C107" s="2900">
        <f>0.7608/C101</f>
        <v>0.33813333333333334</v>
      </c>
      <c r="D107" s="2900">
        <f>0.7608/D101</f>
        <v>0.33813333333333334</v>
      </c>
      <c r="E107" s="2900">
        <f>0.6482/E101</f>
        <v>0.28808888888888889</v>
      </c>
      <c r="F107" s="2900">
        <f>0.6482/F101</f>
        <v>0.28808888888888889</v>
      </c>
      <c r="G107" s="2900">
        <f>0.6482/G101</f>
        <v>0.28808888888888889</v>
      </c>
      <c r="H107" s="2900">
        <f>0.6482/H101</f>
        <v>0.28808888888888889</v>
      </c>
      <c r="I107" s="2900">
        <f>0.6482/I101</f>
        <v>0.28808888888888889</v>
      </c>
      <c r="J107" s="2900">
        <f>0.4525/J101</f>
        <v>0.20111111111111113</v>
      </c>
      <c r="K107" s="2900">
        <f>0.4525/K101</f>
        <v>0.20111111111111113</v>
      </c>
      <c r="L107" s="2900">
        <f>0.4525/L101</f>
        <v>0.20111111111111113</v>
      </c>
      <c r="M107" s="2900">
        <f>0.4525/M101</f>
        <v>0.20111111111111113</v>
      </c>
      <c r="N107" s="2900">
        <f>0.4525/N101</f>
        <v>0.20111111111111113</v>
      </c>
    </row>
    <row r="108" spans="1:14">
      <c r="A108" s="3313"/>
      <c r="B108" s="3140" t="s">
        <v>2985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4"/>
      <c r="B109" s="3141"/>
      <c r="C109" s="2902">
        <f>(-0.163*(C108^2)-0.59*C108+7617)*(10^(-4))/C101</f>
        <v>0.33853333333333335</v>
      </c>
      <c r="D109" s="2902">
        <f>(-0.163*(D108^2)-0.59*D108+7617)*(10^(-4))/D101</f>
        <v>0.33853333333333335</v>
      </c>
      <c r="E109" s="2902">
        <f>(-0.161*(E108^2)-7.509*E108+6533)*(10^(-4))/E101</f>
        <v>0.29035555555555553</v>
      </c>
      <c r="F109" s="2902">
        <f>(-0.161*(F108^2)-7.509*F108+6533)*(10^(-4))/F101</f>
        <v>0.29035555555555553</v>
      </c>
      <c r="G109" s="2902">
        <f>(-0.161*(G108^2)-7.509*G108+6533)*(10^(-4))/G101</f>
        <v>0.29035555555555553</v>
      </c>
      <c r="H109" s="2902">
        <f>(-0.161*(H108^2)-7.509*H108+6533)*(10^(-4))/H101</f>
        <v>0.29035555555555553</v>
      </c>
      <c r="I109" s="2902">
        <f>(-0.161*(I108^2)-7.509*I108+6533)*(10^(-4))/I101</f>
        <v>0.29035555555555553</v>
      </c>
      <c r="J109" s="2902">
        <f>(-0.214*(J108^2)-21.991*J108+4665)*(10^(-4))/J101</f>
        <v>0.20733333333333334</v>
      </c>
      <c r="K109" s="2902">
        <f>(-0.214*(K108^2)-21.991*K108+4665)*(10^(-4))/K101</f>
        <v>0.20733333333333334</v>
      </c>
      <c r="L109" s="2902">
        <f>(-0.214*(L108^2)-21.991*L108+4665)*(10^(-4))/L101</f>
        <v>0.20733333333333334</v>
      </c>
      <c r="M109" s="2902">
        <f>(-0.214*(M108^2)-21.991*M108+4665)*(10^(-4))/M101</f>
        <v>0.20733333333333334</v>
      </c>
      <c r="N109" s="2902">
        <f>(-0.214*(N108^2)-21.991*N108+4665)*(10^(-4))/N101</f>
        <v>0.20733333333333334</v>
      </c>
    </row>
    <row r="110" spans="1:14">
      <c r="A110" s="3310" t="s">
        <v>2986</v>
      </c>
      <c r="B110" s="3310"/>
      <c r="C110" s="3310"/>
      <c r="D110" s="3310"/>
      <c r="E110" s="3310"/>
      <c r="F110" s="3310"/>
      <c r="G110" s="3310"/>
      <c r="H110" s="3310"/>
      <c r="I110" s="3310"/>
      <c r="J110" s="3310"/>
      <c r="K110" s="2905"/>
      <c r="L110" s="2905"/>
      <c r="M110" s="2905"/>
      <c r="N110" s="2905"/>
    </row>
    <row r="112" spans="1:14" ht="13.5" thickBot="1"/>
    <row r="113" spans="1:13" ht="25.5" thickBot="1">
      <c r="A113" s="900" t="s">
        <v>2987</v>
      </c>
      <c r="B113" s="1287">
        <f>G3</f>
        <v>2.25</v>
      </c>
      <c r="C113" s="901" t="s">
        <v>2988</v>
      </c>
      <c r="D113" s="902">
        <f>SUMPRODUCT((A115:A118=F113)*(B114:M114=H113)*B115:M118)</f>
        <v>0</v>
      </c>
      <c r="E113" s="2728" t="s">
        <v>2818</v>
      </c>
      <c r="F113" s="2907">
        <f>E2</f>
        <v>0</v>
      </c>
      <c r="G113" s="2728" t="s">
        <v>2819</v>
      </c>
      <c r="H113" s="2907">
        <f>G2</f>
        <v>0</v>
      </c>
      <c r="I113" s="2728"/>
      <c r="J113" s="2908"/>
      <c r="K113" s="2908"/>
      <c r="L113" s="2908"/>
      <c r="M113" s="2908"/>
    </row>
    <row r="114" spans="1:13">
      <c r="A114" s="905"/>
      <c r="B114" s="2909" t="s">
        <v>2989</v>
      </c>
      <c r="C114" s="2909" t="s">
        <v>2990</v>
      </c>
      <c r="D114" s="2909" t="s">
        <v>2991</v>
      </c>
      <c r="E114" s="2910" t="s">
        <v>2992</v>
      </c>
      <c r="F114" s="2910" t="s">
        <v>2993</v>
      </c>
      <c r="G114" s="2910" t="s">
        <v>2994</v>
      </c>
      <c r="H114" s="2911" t="s">
        <v>2995</v>
      </c>
      <c r="I114" s="2911" t="s">
        <v>2996</v>
      </c>
      <c r="J114" s="2912" t="s">
        <v>2997</v>
      </c>
      <c r="K114" s="2912" t="s">
        <v>2998</v>
      </c>
      <c r="L114" s="2912" t="s">
        <v>2999</v>
      </c>
      <c r="M114" s="2913" t="s">
        <v>3000</v>
      </c>
    </row>
    <row r="115" spans="1:13">
      <c r="A115" s="906" t="s">
        <v>2883</v>
      </c>
      <c r="B115" s="907">
        <f>ROUND(0.9335-0.0094*B113,4)</f>
        <v>0.91239999999999999</v>
      </c>
      <c r="C115" s="907">
        <f>B115</f>
        <v>0.91239999999999999</v>
      </c>
      <c r="D115" s="907">
        <f>ROUND(0.8331-0.0109*B113,4)</f>
        <v>0.80859999999999999</v>
      </c>
      <c r="E115" s="907">
        <f>D115</f>
        <v>0.80859999999999999</v>
      </c>
      <c r="F115" s="907">
        <f>E115</f>
        <v>0.80859999999999999</v>
      </c>
      <c r="G115" s="907">
        <f>F115</f>
        <v>0.80859999999999999</v>
      </c>
      <c r="H115" s="907">
        <f>G115</f>
        <v>0.80859999999999999</v>
      </c>
      <c r="I115" s="907">
        <f>ROUND(0.689-0.0155*B113,4)</f>
        <v>0.65410000000000001</v>
      </c>
      <c r="J115" s="907">
        <f t="shared" ref="J115:M118" si="33">I115</f>
        <v>0.65410000000000001</v>
      </c>
      <c r="K115" s="907">
        <f t="shared" si="33"/>
        <v>0.65410000000000001</v>
      </c>
      <c r="L115" s="907">
        <f t="shared" si="33"/>
        <v>0.65410000000000001</v>
      </c>
      <c r="M115" s="908">
        <f t="shared" si="33"/>
        <v>0.65410000000000001</v>
      </c>
    </row>
    <row r="116" spans="1:13">
      <c r="A116" s="906" t="s">
        <v>2884</v>
      </c>
      <c r="B116" s="907">
        <f>ROUND(0.949-0.012*B113,4)</f>
        <v>0.92200000000000004</v>
      </c>
      <c r="C116" s="907">
        <f>B116</f>
        <v>0.92200000000000004</v>
      </c>
      <c r="D116" s="907">
        <f>ROUND(0.8567-0.013*B113,4)</f>
        <v>0.82750000000000001</v>
      </c>
      <c r="E116" s="907">
        <f t="shared" ref="E116:H117" si="34">D116</f>
        <v>0.82750000000000001</v>
      </c>
      <c r="F116" s="907">
        <f t="shared" si="34"/>
        <v>0.82750000000000001</v>
      </c>
      <c r="G116" s="907">
        <f t="shared" si="34"/>
        <v>0.82750000000000001</v>
      </c>
      <c r="H116" s="907">
        <f t="shared" si="34"/>
        <v>0.82750000000000001</v>
      </c>
      <c r="I116" s="907">
        <f>ROUND(0.7694-0.014*B113,4)</f>
        <v>0.7379</v>
      </c>
      <c r="J116" s="907">
        <f t="shared" si="33"/>
        <v>0.7379</v>
      </c>
      <c r="K116" s="907">
        <f t="shared" si="33"/>
        <v>0.7379</v>
      </c>
      <c r="L116" s="907">
        <f t="shared" si="33"/>
        <v>0.7379</v>
      </c>
      <c r="M116" s="908">
        <f t="shared" si="33"/>
        <v>0.7379</v>
      </c>
    </row>
    <row r="117" spans="1:13">
      <c r="A117" s="906" t="s">
        <v>2885</v>
      </c>
      <c r="B117" s="907">
        <f>ROUND(0.8808-0.006*B113,4)</f>
        <v>0.86729999999999996</v>
      </c>
      <c r="C117" s="907">
        <f>B117</f>
        <v>0.86729999999999996</v>
      </c>
      <c r="D117" s="907">
        <f>ROUND(0.8748-0.008*B113,4)</f>
        <v>0.85680000000000001</v>
      </c>
      <c r="E117" s="907">
        <f t="shared" si="34"/>
        <v>0.85680000000000001</v>
      </c>
      <c r="F117" s="907">
        <f t="shared" si="34"/>
        <v>0.85680000000000001</v>
      </c>
      <c r="G117" s="907">
        <f t="shared" si="34"/>
        <v>0.85680000000000001</v>
      </c>
      <c r="H117" s="907">
        <f t="shared" si="34"/>
        <v>0.85680000000000001</v>
      </c>
      <c r="I117" s="907">
        <f>ROUND(0.7412-0.0095*B113,4)</f>
        <v>0.7198</v>
      </c>
      <c r="J117" s="907">
        <f t="shared" si="33"/>
        <v>0.7198</v>
      </c>
      <c r="K117" s="907">
        <f t="shared" si="33"/>
        <v>0.7198</v>
      </c>
      <c r="L117" s="907">
        <f t="shared" si="33"/>
        <v>0.7198</v>
      </c>
      <c r="M117" s="908">
        <f t="shared" si="33"/>
        <v>0.7198</v>
      </c>
    </row>
    <row r="118" spans="1:13" ht="13.5" thickBot="1">
      <c r="A118" s="714" t="s">
        <v>2886</v>
      </c>
      <c r="B118" s="909">
        <f>ROUND(0.7275-0.01*B113,4)</f>
        <v>0.70499999999999996</v>
      </c>
      <c r="C118" s="909">
        <f>B118</f>
        <v>0.70499999999999996</v>
      </c>
      <c r="D118" s="909">
        <f>ROUND(0.7043-0.012*B113,4)</f>
        <v>0.67730000000000001</v>
      </c>
      <c r="E118" s="909">
        <f>D118</f>
        <v>0.67730000000000001</v>
      </c>
      <c r="F118" s="909">
        <f>E118</f>
        <v>0.67730000000000001</v>
      </c>
      <c r="G118" s="909">
        <f>ROUND(0.6299-0.0122*B113,4)</f>
        <v>0.60250000000000004</v>
      </c>
      <c r="H118" s="909">
        <f>G118</f>
        <v>0.60250000000000004</v>
      </c>
      <c r="I118" s="909">
        <f>ROUND(0.5667-0.0136*B113,4)</f>
        <v>0.53610000000000002</v>
      </c>
      <c r="J118" s="909">
        <f t="shared" si="33"/>
        <v>0.53610000000000002</v>
      </c>
      <c r="K118" s="909">
        <f t="shared" si="33"/>
        <v>0.53610000000000002</v>
      </c>
      <c r="L118" s="909">
        <f t="shared" si="33"/>
        <v>0.53610000000000002</v>
      </c>
      <c r="M118" s="910">
        <f t="shared" si="33"/>
        <v>0.53610000000000002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27" t="s">
        <v>183</v>
      </c>
      <c r="B18" s="879" t="s">
        <v>560</v>
      </c>
      <c r="C18" s="880" t="s">
        <v>561</v>
      </c>
      <c r="D18" s="881"/>
      <c r="E18" s="879">
        <v>1</v>
      </c>
      <c r="F18" s="882" t="s">
        <v>562</v>
      </c>
      <c r="G18" s="883"/>
      <c r="H18" s="875"/>
      <c r="I18" s="875"/>
    </row>
    <row r="19" spans="1:9" s="884" customFormat="1" ht="19.5" customHeight="1">
      <c r="A19" s="3327"/>
      <c r="B19" s="3327" t="s">
        <v>563</v>
      </c>
      <c r="C19" s="880" t="s">
        <v>564</v>
      </c>
      <c r="D19" s="881"/>
      <c r="E19" s="879">
        <v>0.9</v>
      </c>
      <c r="F19" s="882" t="s">
        <v>565</v>
      </c>
      <c r="G19" s="883"/>
      <c r="H19" s="875"/>
      <c r="I19" s="875"/>
    </row>
    <row r="20" spans="1:9" s="884" customFormat="1" ht="19.5" customHeight="1">
      <c r="A20" s="3327"/>
      <c r="B20" s="3327"/>
      <c r="C20" s="880" t="s">
        <v>566</v>
      </c>
      <c r="D20" s="881"/>
      <c r="E20" s="879">
        <v>1.1000000000000001</v>
      </c>
      <c r="F20" s="882" t="s">
        <v>567</v>
      </c>
      <c r="G20" s="883"/>
      <c r="H20" s="875"/>
      <c r="I20" s="875"/>
    </row>
    <row r="21" spans="1:9" s="884" customFormat="1" ht="19.5" customHeight="1">
      <c r="A21" s="3327"/>
      <c r="B21" s="3327"/>
      <c r="C21" s="880" t="s">
        <v>568</v>
      </c>
      <c r="D21" s="881"/>
      <c r="E21" s="879">
        <v>0.8</v>
      </c>
      <c r="F21" s="882" t="s">
        <v>569</v>
      </c>
      <c r="G21" s="883"/>
      <c r="H21" s="875"/>
      <c r="I21" s="875"/>
    </row>
    <row r="22" spans="1:9" s="884" customFormat="1" ht="19.5" customHeight="1">
      <c r="A22" s="3327"/>
      <c r="B22" s="3327"/>
      <c r="C22" s="880" t="s">
        <v>570</v>
      </c>
      <c r="D22" s="881"/>
      <c r="E22" s="879">
        <v>0.5</v>
      </c>
      <c r="F22" s="882"/>
      <c r="G22" s="883"/>
      <c r="H22" s="875"/>
      <c r="I22" s="875"/>
    </row>
    <row r="23" spans="1:9" s="884" customFormat="1" ht="19.5" customHeight="1">
      <c r="A23" s="3327" t="s">
        <v>184</v>
      </c>
      <c r="B23" s="879" t="s">
        <v>560</v>
      </c>
      <c r="C23" s="880" t="s">
        <v>571</v>
      </c>
      <c r="D23" s="881"/>
      <c r="E23" s="879">
        <v>1</v>
      </c>
      <c r="F23" s="882" t="s">
        <v>572</v>
      </c>
      <c r="G23" s="883"/>
      <c r="H23" s="875"/>
      <c r="I23" s="875"/>
    </row>
    <row r="24" spans="1:9" s="884" customFormat="1" ht="19.5" customHeight="1">
      <c r="A24" s="3327"/>
      <c r="B24" s="3327" t="s">
        <v>563</v>
      </c>
      <c r="C24" s="880" t="s">
        <v>573</v>
      </c>
      <c r="D24" s="881"/>
      <c r="E24" s="879">
        <v>0.5</v>
      </c>
      <c r="F24" s="882"/>
      <c r="G24" s="883"/>
      <c r="H24" s="875"/>
      <c r="I24" s="875"/>
    </row>
    <row r="25" spans="1:9" s="884" customFormat="1" ht="19.5" customHeight="1">
      <c r="A25" s="3327"/>
      <c r="B25" s="3327"/>
      <c r="C25" s="880" t="s">
        <v>574</v>
      </c>
      <c r="D25" s="881"/>
      <c r="E25" s="879">
        <v>1.1000000000000001</v>
      </c>
      <c r="F25" s="882"/>
      <c r="G25" s="883"/>
      <c r="H25" s="875"/>
      <c r="I25" s="875"/>
    </row>
    <row r="26" spans="1:9" s="884" customFormat="1" ht="19.5" customHeight="1">
      <c r="A26" s="3327"/>
      <c r="B26" s="3327"/>
      <c r="C26" s="880" t="s">
        <v>575</v>
      </c>
      <c r="D26" s="881"/>
      <c r="E26" s="879">
        <v>1.1000000000000001</v>
      </c>
      <c r="F26" s="882"/>
      <c r="G26" s="883"/>
      <c r="H26" s="875"/>
      <c r="I26" s="875"/>
    </row>
    <row r="27" spans="1:9" s="884" customFormat="1" ht="19.5" customHeight="1">
      <c r="A27" s="3327"/>
      <c r="B27" s="3327"/>
      <c r="C27" s="880" t="s">
        <v>576</v>
      </c>
      <c r="D27" s="881"/>
      <c r="E27" s="879">
        <v>0.9</v>
      </c>
      <c r="F27" s="882" t="s">
        <v>577</v>
      </c>
      <c r="G27" s="883"/>
      <c r="H27" s="875"/>
      <c r="I27" s="875"/>
    </row>
    <row r="28" spans="1:9" s="884" customFormat="1" ht="19.5" customHeight="1">
      <c r="A28" s="3327"/>
      <c r="B28" s="3327"/>
      <c r="C28" s="880" t="s">
        <v>578</v>
      </c>
      <c r="D28" s="881"/>
      <c r="E28" s="879">
        <v>0.9</v>
      </c>
      <c r="F28" s="882" t="s">
        <v>579</v>
      </c>
      <c r="G28" s="883"/>
      <c r="H28" s="875"/>
      <c r="I28" s="875"/>
    </row>
    <row r="29" spans="1:9" s="884" customFormat="1" ht="19.5" customHeight="1">
      <c r="A29" s="3327"/>
      <c r="B29" s="3327"/>
      <c r="C29" s="880" t="s">
        <v>580</v>
      </c>
      <c r="D29" s="881"/>
      <c r="E29" s="879">
        <v>0.9</v>
      </c>
      <c r="F29" s="882" t="s">
        <v>581</v>
      </c>
      <c r="G29" s="883"/>
      <c r="H29" s="875"/>
      <c r="I29" s="875"/>
    </row>
    <row r="30" spans="1:9" s="884" customFormat="1" ht="19.5" customHeight="1">
      <c r="A30" s="3327"/>
      <c r="B30" s="3327"/>
      <c r="C30" s="880" t="s">
        <v>582</v>
      </c>
      <c r="D30" s="881"/>
      <c r="E30" s="879">
        <v>0.9</v>
      </c>
      <c r="F30" s="882" t="s">
        <v>583</v>
      </c>
      <c r="G30" s="883"/>
      <c r="H30" s="875"/>
      <c r="I30" s="875"/>
    </row>
    <row r="31" spans="1:9" s="884" customFormat="1" ht="19.5" customHeight="1">
      <c r="A31" s="3327"/>
      <c r="B31" s="3327"/>
      <c r="C31" s="880" t="s">
        <v>584</v>
      </c>
      <c r="D31" s="881"/>
      <c r="E31" s="879">
        <v>0.8</v>
      </c>
      <c r="F31" s="882" t="s">
        <v>585</v>
      </c>
      <c r="G31" s="883"/>
      <c r="H31" s="875"/>
      <c r="I31" s="875"/>
    </row>
    <row r="32" spans="1:9" s="884" customFormat="1" ht="19.5" customHeight="1">
      <c r="A32" s="3327"/>
      <c r="B32" s="3327"/>
      <c r="C32" s="880" t="s">
        <v>586</v>
      </c>
      <c r="D32" s="881"/>
      <c r="E32" s="879">
        <v>0.8</v>
      </c>
      <c r="F32" s="882" t="s">
        <v>587</v>
      </c>
      <c r="G32" s="883"/>
      <c r="H32" s="875"/>
      <c r="I32" s="875"/>
    </row>
    <row r="33" spans="1:9" s="884" customFormat="1" ht="19.5" customHeight="1">
      <c r="A33" s="3327" t="s">
        <v>185</v>
      </c>
      <c r="B33" s="879" t="s">
        <v>560</v>
      </c>
      <c r="C33" s="880" t="s">
        <v>588</v>
      </c>
      <c r="D33" s="881"/>
      <c r="E33" s="879">
        <v>1</v>
      </c>
      <c r="F33" s="882" t="s">
        <v>589</v>
      </c>
      <c r="G33" s="883"/>
      <c r="H33" s="875"/>
      <c r="I33" s="875"/>
    </row>
    <row r="34" spans="1:9" s="884" customFormat="1" ht="19.5" customHeight="1">
      <c r="A34" s="3327"/>
      <c r="B34" s="879" t="s">
        <v>563</v>
      </c>
      <c r="C34" s="880" t="s">
        <v>590</v>
      </c>
      <c r="D34" s="881"/>
      <c r="E34" s="879">
        <v>1.5</v>
      </c>
      <c r="F34" s="882" t="s">
        <v>591</v>
      </c>
      <c r="G34" s="883"/>
      <c r="H34" s="875"/>
      <c r="I34" s="875"/>
    </row>
    <row r="35" spans="1:9" s="884" customFormat="1" ht="19.5" customHeight="1">
      <c r="A35" s="3327" t="s">
        <v>186</v>
      </c>
      <c r="B35" s="879" t="s">
        <v>560</v>
      </c>
      <c r="C35" s="880" t="s">
        <v>592</v>
      </c>
      <c r="D35" s="881"/>
      <c r="E35" s="879">
        <v>1</v>
      </c>
      <c r="F35" s="882" t="s">
        <v>593</v>
      </c>
      <c r="G35" s="883"/>
      <c r="H35" s="875"/>
      <c r="I35" s="875"/>
    </row>
    <row r="36" spans="1:9" s="884" customFormat="1" ht="19.5" customHeight="1">
      <c r="A36" s="3327"/>
      <c r="B36" s="3327" t="s">
        <v>563</v>
      </c>
      <c r="C36" s="880" t="s">
        <v>594</v>
      </c>
      <c r="D36" s="881"/>
      <c r="E36" s="879">
        <v>1</v>
      </c>
      <c r="F36" s="882" t="s">
        <v>595</v>
      </c>
      <c r="G36" s="883"/>
      <c r="H36" s="875"/>
      <c r="I36" s="875"/>
    </row>
    <row r="37" spans="1:9" s="884" customFormat="1" ht="19.5" customHeight="1">
      <c r="A37" s="3327"/>
      <c r="B37" s="3327"/>
      <c r="C37" s="880" t="s">
        <v>596</v>
      </c>
      <c r="D37" s="881"/>
      <c r="E37" s="879">
        <v>1.5</v>
      </c>
      <c r="F37" s="882" t="s">
        <v>597</v>
      </c>
      <c r="G37" s="883"/>
      <c r="H37" s="875"/>
      <c r="I37" s="875"/>
    </row>
    <row r="38" spans="1:9" s="884" customFormat="1" ht="19.5" customHeight="1">
      <c r="A38" s="3327"/>
      <c r="B38" s="3327"/>
      <c r="C38" s="880" t="s">
        <v>598</v>
      </c>
      <c r="D38" s="881"/>
      <c r="E38" s="879">
        <v>1</v>
      </c>
      <c r="F38" s="882" t="s">
        <v>599</v>
      </c>
      <c r="G38" s="883"/>
      <c r="H38" s="875"/>
      <c r="I38" s="875"/>
    </row>
    <row r="39" spans="1:9" s="884" customFormat="1" ht="19.5" customHeight="1">
      <c r="A39" s="3327"/>
      <c r="B39" s="332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27" t="s">
        <v>614</v>
      </c>
      <c r="C61" s="815" t="s">
        <v>615</v>
      </c>
      <c r="D61" s="815" t="s">
        <v>616</v>
      </c>
      <c r="E61" s="892">
        <v>0.5</v>
      </c>
      <c r="F61" s="879">
        <v>80</v>
      </c>
    </row>
    <row r="62" spans="1:8" s="875" customFormat="1" ht="24">
      <c r="A62" s="879">
        <v>2</v>
      </c>
      <c r="B62" s="3327"/>
      <c r="C62" s="815" t="s">
        <v>617</v>
      </c>
      <c r="D62" s="815" t="s">
        <v>618</v>
      </c>
      <c r="E62" s="892">
        <v>0.5</v>
      </c>
      <c r="F62" s="879">
        <v>80</v>
      </c>
    </row>
    <row r="63" spans="1:8" s="875" customFormat="1" ht="36">
      <c r="A63" s="879">
        <v>3</v>
      </c>
      <c r="B63" s="3327"/>
      <c r="C63" s="815" t="s">
        <v>619</v>
      </c>
      <c r="D63" s="815" t="s">
        <v>620</v>
      </c>
      <c r="E63" s="892">
        <v>0.5</v>
      </c>
      <c r="F63" s="879">
        <v>80</v>
      </c>
    </row>
    <row r="64" spans="1:8" s="875" customFormat="1" ht="36">
      <c r="A64" s="879">
        <v>4</v>
      </c>
      <c r="B64" s="3327"/>
      <c r="C64" s="815" t="s">
        <v>621</v>
      </c>
      <c r="D64" s="815" t="s">
        <v>622</v>
      </c>
      <c r="E64" s="892">
        <v>0.4</v>
      </c>
      <c r="F64" s="879">
        <v>60</v>
      </c>
    </row>
    <row r="65" spans="1:6" s="875" customFormat="1" ht="36">
      <c r="A65" s="879">
        <v>5</v>
      </c>
      <c r="B65" s="3327"/>
      <c r="C65" s="815" t="s">
        <v>623</v>
      </c>
      <c r="D65" s="815" t="s">
        <v>624</v>
      </c>
      <c r="E65" s="892">
        <v>0.2</v>
      </c>
      <c r="F65" s="879">
        <v>30</v>
      </c>
    </row>
    <row r="66" spans="1:6" s="875" customFormat="1" ht="36">
      <c r="A66" s="879">
        <v>6</v>
      </c>
      <c r="B66" s="3327"/>
      <c r="C66" s="815" t="s">
        <v>625</v>
      </c>
      <c r="D66" s="815" t="s">
        <v>626</v>
      </c>
      <c r="E66" s="892">
        <v>0.3</v>
      </c>
      <c r="F66" s="879">
        <v>50</v>
      </c>
    </row>
    <row r="67" spans="1:6" s="875" customFormat="1" ht="36">
      <c r="A67" s="879">
        <v>7</v>
      </c>
      <c r="B67" s="3327"/>
      <c r="C67" s="815" t="s">
        <v>627</v>
      </c>
      <c r="D67" s="815" t="s">
        <v>628</v>
      </c>
      <c r="E67" s="892">
        <v>0.2</v>
      </c>
      <c r="F67" s="879">
        <v>30</v>
      </c>
    </row>
    <row r="68" spans="1:6" s="875" customFormat="1" ht="36">
      <c r="A68" s="879">
        <v>8</v>
      </c>
      <c r="B68" s="3327"/>
      <c r="C68" s="815" t="s">
        <v>629</v>
      </c>
      <c r="D68" s="815" t="s">
        <v>630</v>
      </c>
      <c r="E68" s="892">
        <v>0.2</v>
      </c>
      <c r="F68" s="879">
        <v>30</v>
      </c>
    </row>
    <row r="69" spans="1:6" s="875" customFormat="1" ht="36">
      <c r="A69" s="879">
        <v>9</v>
      </c>
      <c r="B69" s="3327"/>
      <c r="C69" s="815" t="s">
        <v>631</v>
      </c>
      <c r="D69" s="815" t="s">
        <v>632</v>
      </c>
      <c r="E69" s="892">
        <v>0.2</v>
      </c>
      <c r="F69" s="879">
        <v>30</v>
      </c>
    </row>
    <row r="70" spans="1:6" s="875" customFormat="1" ht="48">
      <c r="A70" s="879">
        <v>10</v>
      </c>
      <c r="B70" s="3327"/>
      <c r="C70" s="815" t="s">
        <v>633</v>
      </c>
      <c r="D70" s="815" t="s">
        <v>634</v>
      </c>
      <c r="E70" s="892">
        <v>0.2</v>
      </c>
      <c r="F70" s="879">
        <v>30</v>
      </c>
    </row>
    <row r="71" spans="1:6" s="875" customFormat="1" ht="48">
      <c r="A71" s="879">
        <v>11</v>
      </c>
      <c r="B71" s="3327"/>
      <c r="C71" s="815" t="s">
        <v>635</v>
      </c>
      <c r="D71" s="815" t="s">
        <v>636</v>
      </c>
      <c r="E71" s="892">
        <v>0.2</v>
      </c>
      <c r="F71" s="879">
        <v>30</v>
      </c>
    </row>
    <row r="72" spans="1:6" s="875" customFormat="1" ht="36">
      <c r="A72" s="879">
        <v>12</v>
      </c>
      <c r="B72" s="3327"/>
      <c r="C72" s="815" t="s">
        <v>637</v>
      </c>
      <c r="D72" s="815" t="s">
        <v>638</v>
      </c>
      <c r="E72" s="892">
        <v>0.5</v>
      </c>
      <c r="F72" s="879">
        <v>80</v>
      </c>
    </row>
    <row r="73" spans="1:6" s="875" customFormat="1" ht="24">
      <c r="A73" s="879">
        <v>13</v>
      </c>
      <c r="B73" s="3327"/>
      <c r="C73" s="815" t="s">
        <v>639</v>
      </c>
      <c r="D73" s="815" t="s">
        <v>640</v>
      </c>
      <c r="E73" s="892">
        <v>0.4</v>
      </c>
      <c r="F73" s="879">
        <v>60</v>
      </c>
    </row>
    <row r="74" spans="1:6" s="875" customFormat="1" ht="24">
      <c r="A74" s="879">
        <v>14</v>
      </c>
      <c r="B74" s="3327"/>
      <c r="C74" s="815" t="s">
        <v>641</v>
      </c>
      <c r="D74" s="815" t="s">
        <v>642</v>
      </c>
      <c r="E74" s="892">
        <v>0.2</v>
      </c>
      <c r="F74" s="879">
        <v>30</v>
      </c>
    </row>
    <row r="75" spans="1:6" s="875" customFormat="1" ht="24">
      <c r="A75" s="879">
        <v>15</v>
      </c>
      <c r="B75" s="3327"/>
      <c r="C75" s="815" t="s">
        <v>643</v>
      </c>
      <c r="D75" s="815" t="s">
        <v>644</v>
      </c>
      <c r="E75" s="892">
        <v>0.2</v>
      </c>
      <c r="F75" s="879">
        <v>30</v>
      </c>
    </row>
    <row r="76" spans="1:6" s="875" customFormat="1" ht="24">
      <c r="A76" s="879">
        <v>16</v>
      </c>
      <c r="B76" s="3327" t="s">
        <v>645</v>
      </c>
      <c r="C76" s="815" t="s">
        <v>646</v>
      </c>
      <c r="D76" s="815" t="s">
        <v>647</v>
      </c>
      <c r="E76" s="892">
        <v>0.5</v>
      </c>
      <c r="F76" s="879">
        <v>80</v>
      </c>
    </row>
    <row r="77" spans="1:6" s="875" customFormat="1" ht="24">
      <c r="A77" s="879">
        <v>17</v>
      </c>
      <c r="B77" s="3327"/>
      <c r="C77" s="815" t="s">
        <v>648</v>
      </c>
      <c r="D77" s="815" t="s">
        <v>649</v>
      </c>
      <c r="E77" s="892">
        <v>0.5</v>
      </c>
      <c r="F77" s="879">
        <v>80</v>
      </c>
    </row>
    <row r="78" spans="1:6" s="875" customFormat="1" ht="24">
      <c r="A78" s="879">
        <v>18</v>
      </c>
      <c r="B78" s="3327"/>
      <c r="C78" s="815" t="s">
        <v>650</v>
      </c>
      <c r="D78" s="815" t="s">
        <v>651</v>
      </c>
      <c r="E78" s="892">
        <v>0.2</v>
      </c>
      <c r="F78" s="879">
        <v>30</v>
      </c>
    </row>
    <row r="79" spans="1:6" s="875" customFormat="1" ht="24">
      <c r="A79" s="879">
        <v>19</v>
      </c>
      <c r="B79" s="3327"/>
      <c r="C79" s="815" t="s">
        <v>652</v>
      </c>
      <c r="D79" s="815" t="s">
        <v>653</v>
      </c>
      <c r="E79" s="892">
        <v>0.5</v>
      </c>
      <c r="F79" s="879">
        <v>80</v>
      </c>
    </row>
    <row r="80" spans="1:6" s="875" customFormat="1" ht="36">
      <c r="A80" s="879">
        <v>20</v>
      </c>
      <c r="B80" s="3327"/>
      <c r="C80" s="815" t="s">
        <v>654</v>
      </c>
      <c r="D80" s="815" t="s">
        <v>655</v>
      </c>
      <c r="E80" s="892">
        <v>0.2</v>
      </c>
      <c r="F80" s="879">
        <v>30</v>
      </c>
    </row>
    <row r="81" spans="1:6" s="875" customFormat="1" ht="36">
      <c r="A81" s="879">
        <v>21</v>
      </c>
      <c r="B81" s="3327"/>
      <c r="C81" s="815" t="s">
        <v>656</v>
      </c>
      <c r="D81" s="815" t="s">
        <v>657</v>
      </c>
      <c r="E81" s="892">
        <v>0.2</v>
      </c>
      <c r="F81" s="879">
        <v>30</v>
      </c>
    </row>
    <row r="82" spans="1:6" s="875" customFormat="1" ht="48">
      <c r="A82" s="879">
        <v>22</v>
      </c>
      <c r="B82" s="3327"/>
      <c r="C82" s="815" t="s">
        <v>658</v>
      </c>
      <c r="D82" s="815" t="s">
        <v>659</v>
      </c>
      <c r="E82" s="892">
        <v>0.2</v>
      </c>
      <c r="F82" s="879">
        <v>30</v>
      </c>
    </row>
    <row r="83" spans="1:6" s="875" customFormat="1" ht="48">
      <c r="A83" s="879">
        <v>23</v>
      </c>
      <c r="B83" s="3327"/>
      <c r="C83" s="815" t="s">
        <v>660</v>
      </c>
      <c r="D83" s="815" t="s">
        <v>661</v>
      </c>
      <c r="E83" s="892">
        <v>0.2</v>
      </c>
      <c r="F83" s="879">
        <v>30</v>
      </c>
    </row>
    <row r="84" spans="1:6" s="875" customFormat="1" ht="36">
      <c r="A84" s="879">
        <v>24</v>
      </c>
      <c r="B84" s="3327"/>
      <c r="C84" s="815" t="s">
        <v>662</v>
      </c>
      <c r="D84" s="815" t="s">
        <v>663</v>
      </c>
      <c r="E84" s="892">
        <v>0.2</v>
      </c>
      <c r="F84" s="879">
        <v>30</v>
      </c>
    </row>
    <row r="85" spans="1:6" s="875" customFormat="1" ht="36">
      <c r="A85" s="879">
        <v>25</v>
      </c>
      <c r="B85" s="3327"/>
      <c r="C85" s="815" t="s">
        <v>664</v>
      </c>
      <c r="D85" s="815" t="s">
        <v>665</v>
      </c>
      <c r="E85" s="892">
        <v>0.5</v>
      </c>
      <c r="F85" s="879">
        <v>80</v>
      </c>
    </row>
    <row r="86" spans="1:6" s="875" customFormat="1" ht="36">
      <c r="A86" s="879">
        <v>26</v>
      </c>
      <c r="B86" s="3327"/>
      <c r="C86" s="815" t="s">
        <v>666</v>
      </c>
      <c r="D86" s="815" t="s">
        <v>667</v>
      </c>
      <c r="E86" s="892">
        <v>0.2</v>
      </c>
      <c r="F86" s="879">
        <v>30</v>
      </c>
    </row>
    <row r="87" spans="1:6" s="875" customFormat="1" ht="36">
      <c r="A87" s="879">
        <v>27</v>
      </c>
      <c r="B87" s="3327"/>
      <c r="C87" s="815" t="s">
        <v>668</v>
      </c>
      <c r="D87" s="815" t="s">
        <v>669</v>
      </c>
      <c r="E87" s="892">
        <v>0.2</v>
      </c>
      <c r="F87" s="879">
        <v>30</v>
      </c>
    </row>
    <row r="88" spans="1:6" s="875" customFormat="1" ht="36">
      <c r="A88" s="879">
        <v>28</v>
      </c>
      <c r="B88" s="3327"/>
      <c r="C88" s="815" t="s">
        <v>670</v>
      </c>
      <c r="D88" s="815" t="s">
        <v>671</v>
      </c>
      <c r="E88" s="892">
        <v>0.2</v>
      </c>
      <c r="F88" s="879">
        <v>30</v>
      </c>
    </row>
    <row r="89" spans="1:6" s="875" customFormat="1" ht="24">
      <c r="A89" s="879">
        <v>29</v>
      </c>
      <c r="B89" s="3327"/>
      <c r="C89" s="815" t="s">
        <v>672</v>
      </c>
      <c r="D89" s="815" t="s">
        <v>673</v>
      </c>
      <c r="E89" s="892">
        <v>0.2</v>
      </c>
      <c r="F89" s="879">
        <v>30</v>
      </c>
    </row>
    <row r="90" spans="1:6" s="875" customFormat="1" ht="24">
      <c r="A90" s="879">
        <v>30</v>
      </c>
      <c r="B90" s="3327"/>
      <c r="C90" s="815" t="s">
        <v>674</v>
      </c>
      <c r="D90" s="815" t="s">
        <v>675</v>
      </c>
      <c r="E90" s="892">
        <v>0.2</v>
      </c>
      <c r="F90" s="879">
        <v>30</v>
      </c>
    </row>
    <row r="91" spans="1:6" s="875" customFormat="1" ht="36">
      <c r="A91" s="879">
        <v>31</v>
      </c>
      <c r="B91" s="3327"/>
      <c r="C91" s="815" t="s">
        <v>676</v>
      </c>
      <c r="D91" s="815" t="s">
        <v>677</v>
      </c>
      <c r="E91" s="892">
        <v>0.2</v>
      </c>
      <c r="F91" s="879">
        <v>30</v>
      </c>
    </row>
    <row r="92" spans="1:6" s="875" customFormat="1" ht="24">
      <c r="A92" s="879">
        <v>32</v>
      </c>
      <c r="B92" s="3327" t="s">
        <v>678</v>
      </c>
      <c r="C92" s="879" t="s">
        <v>679</v>
      </c>
      <c r="D92" s="815" t="s">
        <v>680</v>
      </c>
      <c r="E92" s="892">
        <v>0.2</v>
      </c>
      <c r="F92" s="879">
        <v>30</v>
      </c>
    </row>
    <row r="93" spans="1:6" s="875" customFormat="1" ht="36">
      <c r="A93" s="879">
        <v>33</v>
      </c>
      <c r="B93" s="3327"/>
      <c r="C93" s="879" t="s">
        <v>681</v>
      </c>
      <c r="D93" s="815" t="s">
        <v>682</v>
      </c>
      <c r="E93" s="892">
        <v>0.2</v>
      </c>
      <c r="F93" s="879">
        <v>30</v>
      </c>
    </row>
    <row r="94" spans="1:6" s="875" customFormat="1" ht="48">
      <c r="A94" s="879">
        <v>34</v>
      </c>
      <c r="B94" s="3327"/>
      <c r="C94" s="879" t="s">
        <v>683</v>
      </c>
      <c r="D94" s="815" t="s">
        <v>684</v>
      </c>
      <c r="E94" s="892">
        <v>0.2</v>
      </c>
      <c r="F94" s="879">
        <v>30</v>
      </c>
    </row>
    <row r="95" spans="1:6" s="875" customFormat="1" ht="36">
      <c r="A95" s="879">
        <v>35</v>
      </c>
      <c r="B95" s="3327"/>
      <c r="C95" s="879" t="s">
        <v>685</v>
      </c>
      <c r="D95" s="815" t="s">
        <v>686</v>
      </c>
      <c r="E95" s="892">
        <v>0.2</v>
      </c>
      <c r="F95" s="879">
        <v>30</v>
      </c>
    </row>
    <row r="96" spans="1:6" s="875" customFormat="1" ht="48">
      <c r="A96" s="879">
        <v>36</v>
      </c>
      <c r="B96" s="3327"/>
      <c r="C96" s="815" t="s">
        <v>687</v>
      </c>
      <c r="D96" s="815" t="s">
        <v>688</v>
      </c>
      <c r="E96" s="892">
        <v>0.2</v>
      </c>
      <c r="F96" s="879">
        <v>30</v>
      </c>
    </row>
    <row r="97" spans="1:6" s="875" customFormat="1" ht="36">
      <c r="A97" s="879">
        <v>37</v>
      </c>
      <c r="B97" s="3327"/>
      <c r="C97" s="879" t="s">
        <v>689</v>
      </c>
      <c r="D97" s="815" t="s">
        <v>690</v>
      </c>
      <c r="E97" s="892">
        <v>0.2</v>
      </c>
      <c r="F97" s="879">
        <v>30</v>
      </c>
    </row>
    <row r="98" spans="1:6" s="875" customFormat="1" ht="36">
      <c r="A98" s="879">
        <v>38</v>
      </c>
      <c r="B98" s="3327"/>
      <c r="C98" s="879" t="s">
        <v>691</v>
      </c>
      <c r="D98" s="815" t="s">
        <v>692</v>
      </c>
      <c r="E98" s="892">
        <v>0.2</v>
      </c>
      <c r="F98" s="879">
        <v>30</v>
      </c>
    </row>
    <row r="99" spans="1:6" s="875" customFormat="1" ht="36">
      <c r="A99" s="879">
        <v>39</v>
      </c>
      <c r="B99" s="3327" t="s">
        <v>693</v>
      </c>
      <c r="C99" s="879" t="s">
        <v>694</v>
      </c>
      <c r="D99" s="815" t="s">
        <v>695</v>
      </c>
      <c r="E99" s="892">
        <v>0.3</v>
      </c>
      <c r="F99" s="879">
        <v>50</v>
      </c>
    </row>
    <row r="100" spans="1:6" s="875" customFormat="1" ht="24">
      <c r="A100" s="879">
        <v>40</v>
      </c>
      <c r="B100" s="3327"/>
      <c r="C100" s="879" t="s">
        <v>696</v>
      </c>
      <c r="D100" s="815" t="s">
        <v>697</v>
      </c>
      <c r="E100" s="892">
        <v>0.2</v>
      </c>
      <c r="F100" s="879">
        <v>30</v>
      </c>
    </row>
    <row r="101" spans="1:6" s="875" customFormat="1" ht="36">
      <c r="A101" s="879">
        <v>41</v>
      </c>
      <c r="B101" s="332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27" t="s">
        <v>708</v>
      </c>
      <c r="C105" s="879" t="s">
        <v>709</v>
      </c>
      <c r="D105" s="815" t="s">
        <v>710</v>
      </c>
      <c r="E105" s="892">
        <v>0.2</v>
      </c>
      <c r="F105" s="879">
        <v>30</v>
      </c>
    </row>
    <row r="106" spans="1:6" s="875" customFormat="1" ht="36">
      <c r="A106" s="879">
        <v>46</v>
      </c>
      <c r="B106" s="3327"/>
      <c r="C106" s="879" t="s">
        <v>711</v>
      </c>
      <c r="D106" s="815" t="s">
        <v>712</v>
      </c>
      <c r="E106" s="892">
        <v>0.2</v>
      </c>
      <c r="F106" s="879">
        <v>30</v>
      </c>
    </row>
    <row r="107" spans="1:6" s="875" customFormat="1" ht="36">
      <c r="A107" s="879">
        <v>47</v>
      </c>
      <c r="B107" s="3327" t="s">
        <v>713</v>
      </c>
      <c r="C107" s="879" t="s">
        <v>714</v>
      </c>
      <c r="D107" s="815" t="s">
        <v>715</v>
      </c>
      <c r="E107" s="892">
        <v>0.3</v>
      </c>
      <c r="F107" s="879">
        <v>50</v>
      </c>
    </row>
    <row r="108" spans="1:6" s="875" customFormat="1" ht="36">
      <c r="A108" s="879">
        <v>48</v>
      </c>
      <c r="B108" s="332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27" t="s">
        <v>724</v>
      </c>
      <c r="C111" s="879" t="s">
        <v>725</v>
      </c>
      <c r="D111" s="815" t="s">
        <v>726</v>
      </c>
      <c r="E111" s="892">
        <v>0.2</v>
      </c>
      <c r="F111" s="879">
        <v>30</v>
      </c>
    </row>
    <row r="112" spans="1:6" s="875" customFormat="1" ht="24">
      <c r="A112" s="879">
        <v>52</v>
      </c>
      <c r="B112" s="3327"/>
      <c r="C112" s="879" t="s">
        <v>727</v>
      </c>
      <c r="D112" s="815" t="s">
        <v>728</v>
      </c>
      <c r="E112" s="892">
        <v>0.2</v>
      </c>
      <c r="F112" s="879">
        <v>30</v>
      </c>
    </row>
    <row r="113" spans="1:6" s="875" customFormat="1" ht="24">
      <c r="A113" s="879">
        <v>53</v>
      </c>
      <c r="B113" s="332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27" t="s">
        <v>737</v>
      </c>
      <c r="C116" s="879" t="s">
        <v>738</v>
      </c>
      <c r="D116" s="815" t="s">
        <v>739</v>
      </c>
      <c r="E116" s="892">
        <v>0.2</v>
      </c>
      <c r="F116" s="879">
        <v>30</v>
      </c>
    </row>
    <row r="117" spans="1:6" ht="36">
      <c r="A117" s="879">
        <v>57</v>
      </c>
      <c r="B117" s="332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1"/>
      <c r="B4" s="3024" t="s">
        <v>1630</v>
      </c>
      <c r="C4" s="3024"/>
      <c r="D4" s="3024"/>
      <c r="E4" s="1961"/>
    </row>
    <row r="5" spans="1:5" ht="16.5" thickTop="1">
      <c r="A5" s="1959"/>
      <c r="B5" s="3022" t="s">
        <v>1622</v>
      </c>
      <c r="C5" s="1962" t="s">
        <v>1623</v>
      </c>
      <c r="D5" s="1040">
        <f ca="1">结果表!H101</f>
        <v>49352</v>
      </c>
      <c r="E5" s="1959"/>
    </row>
    <row r="6" spans="1:5" ht="15.75">
      <c r="A6" s="1959"/>
      <c r="B6" s="3022"/>
      <c r="C6" s="1962" t="s">
        <v>1624</v>
      </c>
      <c r="D6" s="1040" t="str">
        <f ca="1">NUMBERSTRING(INT(D5*10000),2)&amp;"元整"</f>
        <v>肆亿玖仟叁佰伍拾贰万元整</v>
      </c>
      <c r="E6" s="1959"/>
    </row>
    <row r="7" spans="1:5" ht="15.75">
      <c r="A7" s="1959"/>
      <c r="B7" s="3027"/>
      <c r="C7" s="1963" t="s">
        <v>1625</v>
      </c>
      <c r="D7" s="1041">
        <f ca="1">结果表!H102</f>
        <v>4008</v>
      </c>
      <c r="E7" s="1959"/>
    </row>
    <row r="8" spans="1:5" ht="15.75">
      <c r="A8" s="1959"/>
      <c r="B8" s="3028" t="str">
        <f>结果表!E103</f>
        <v>2.估价师知悉的法定优先受偿款</v>
      </c>
      <c r="C8" s="1964" t="s">
        <v>1626</v>
      </c>
      <c r="D8" s="1041">
        <f>结果表!H103</f>
        <v>0</v>
      </c>
      <c r="E8" s="1959"/>
    </row>
    <row r="9" spans="1:5" ht="15.75">
      <c r="A9" s="1959"/>
      <c r="B9" s="303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021" t="str">
        <f>结果表!E107</f>
        <v>3.房地产抵押价值</v>
      </c>
      <c r="C13" s="1967" t="s">
        <v>1623</v>
      </c>
      <c r="D13" s="1043">
        <f ca="1">结果表!H107</f>
        <v>49352</v>
      </c>
      <c r="E13" s="1959"/>
    </row>
    <row r="14" spans="1:5" ht="15.75">
      <c r="A14" s="1959"/>
      <c r="B14" s="3022"/>
      <c r="C14" s="1962" t="s">
        <v>1624</v>
      </c>
      <c r="D14" s="1040" t="str">
        <f ca="1">NUMBERSTRING(INT(D13*10000),2)&amp;"元整"</f>
        <v>肆亿玖仟叁佰伍拾贰万元整</v>
      </c>
      <c r="E14" s="1959"/>
    </row>
    <row r="15" spans="1:5" ht="15">
      <c r="A15" s="1959"/>
      <c r="B15" s="3027"/>
      <c r="C15" s="1963" t="s">
        <v>1634</v>
      </c>
      <c r="D15" s="1052">
        <f ca="1">结果表!H108</f>
        <v>4008</v>
      </c>
      <c r="E15" s="1959"/>
    </row>
    <row r="16" spans="1:5" ht="15">
      <c r="A16" s="1959"/>
      <c r="B16" s="3028" t="str">
        <f>结果表!E109</f>
        <v>——</v>
      </c>
      <c r="C16" s="1967" t="s">
        <v>1635</v>
      </c>
      <c r="D16" s="1968" t="str">
        <f>结果表!H109</f>
        <v>——</v>
      </c>
      <c r="E16" s="1959"/>
    </row>
    <row r="17" spans="1:5" ht="15.75">
      <c r="A17" s="1959"/>
      <c r="B17" s="3029"/>
      <c r="C17" s="1962" t="s">
        <v>1636</v>
      </c>
      <c r="D17" s="1040" t="e">
        <f>NUMBERSTRING(INT(D16*10000),2)&amp;"元整"</f>
        <v>#VALUE!</v>
      </c>
      <c r="E17" s="1959"/>
    </row>
    <row r="18" spans="1:5" ht="15">
      <c r="A18" s="1959"/>
      <c r="B18" s="3030"/>
      <c r="C18" s="1963" t="s">
        <v>1625</v>
      </c>
      <c r="D18" s="1052" t="str">
        <f>结果表!H110</f>
        <v>——</v>
      </c>
      <c r="E18" s="1959"/>
    </row>
    <row r="19" spans="1:5" ht="15.75">
      <c r="A19" s="1959"/>
      <c r="B19" s="3021" t="str">
        <f>结果表!E111</f>
        <v>——</v>
      </c>
      <c r="C19" s="1967" t="s">
        <v>1623</v>
      </c>
      <c r="D19" s="1041" t="str">
        <f>结果表!H111</f>
        <v>——</v>
      </c>
      <c r="E19" s="1959"/>
    </row>
    <row r="20" spans="1:5" ht="15.75">
      <c r="A20" s="1959"/>
      <c r="B20" s="3022"/>
      <c r="C20" s="1962" t="s">
        <v>1636</v>
      </c>
      <c r="D20" s="1040" t="e">
        <f>NUMBERSTRING(INT(D19*10000),2)&amp;"元整"</f>
        <v>#VALUE!</v>
      </c>
      <c r="E20" s="1959"/>
    </row>
    <row r="21" spans="1:5" ht="15.75" thickBot="1">
      <c r="A21" s="1959"/>
      <c r="B21" s="302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3009</v>
      </c>
    </row>
    <row r="2" spans="1:5" ht="15.75">
      <c r="A2" s="2914" t="s">
        <v>3001</v>
      </c>
      <c r="B2" s="2915" t="e">
        <f ca="1">SUMIF(B6:B13,"&lt;&gt;#ref!",B6:B13)</f>
        <v>#DIV/0!</v>
      </c>
      <c r="C2" s="2914" t="s">
        <v>3002</v>
      </c>
      <c r="D2" s="2914" t="s">
        <v>3003</v>
      </c>
      <c r="E2" s="2915" t="e">
        <f ca="1">SUM(E6:E13)</f>
        <v>#REF!</v>
      </c>
    </row>
    <row r="3" spans="1:5" ht="15.75">
      <c r="A3" s="2914" t="s">
        <v>3004</v>
      </c>
      <c r="B3" s="2915" t="e">
        <f ca="1">ROUND(B2*10000/E2,0)</f>
        <v>#DIV/0!</v>
      </c>
      <c r="C3" s="2914" t="s">
        <v>3010</v>
      </c>
      <c r="D3" s="2916"/>
      <c r="E3" s="2916"/>
    </row>
    <row r="4" spans="1:5" ht="15.75">
      <c r="A4" s="2917"/>
      <c r="B4" s="2916"/>
      <c r="C4" s="2916"/>
      <c r="D4" s="2916"/>
      <c r="E4" s="2916"/>
    </row>
    <row r="5" spans="1:5" ht="28.5">
      <c r="A5" s="2918" t="s">
        <v>3005</v>
      </c>
      <c r="B5" s="2914" t="s">
        <v>3006</v>
      </c>
      <c r="C5" s="2915"/>
      <c r="D5" s="2916"/>
      <c r="E5" s="2914" t="s">
        <v>3007</v>
      </c>
    </row>
    <row r="6" spans="1:5" ht="15.75">
      <c r="A6" s="2919" t="s">
        <v>3008</v>
      </c>
      <c r="B6" s="2915" t="e">
        <f ca="1">SUMIF(INDIRECT("'"&amp;A6&amp;"'"&amp;"!A:A"),"总价",INDIRECT("'"&amp;A6&amp;"'"&amp;"!B:B"))</f>
        <v>#DIV/0!</v>
      </c>
      <c r="C6" s="2914" t="s">
        <v>3002</v>
      </c>
      <c r="D6" s="2916"/>
      <c r="E6" s="2579">
        <f ca="1">SUMIF(INDIRECT("'"&amp;A6&amp;"'"&amp;"!C:C"),"建筑面积",INDIRECT("'"&amp;A6&amp;"'"&amp;"!D:D"))</f>
        <v>0</v>
      </c>
    </row>
    <row r="7" spans="1:5" ht="15.75">
      <c r="A7" s="2919"/>
      <c r="B7" s="2915" t="e">
        <f ca="1">SUMIF(INDIRECT("'"&amp;A7&amp;"'"&amp;"!A:A"),"总价",INDIRECT("'"&amp;A7&amp;"'"&amp;"!B:B"))</f>
        <v>#REF!</v>
      </c>
      <c r="C7" s="2914" t="s">
        <v>3002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3002</v>
      </c>
      <c r="D8" s="2916"/>
      <c r="E8" s="2579" t="e">
        <f t="shared" ca="1" si="0"/>
        <v>#REF!</v>
      </c>
    </row>
    <row r="9" spans="1:5" ht="15.75">
      <c r="A9" s="2919"/>
      <c r="B9" s="2915" t="e">
        <f t="shared" ca="1" si="1"/>
        <v>#REF!</v>
      </c>
      <c r="C9" s="2914" t="s">
        <v>3002</v>
      </c>
      <c r="D9" s="2916"/>
      <c r="E9" s="2579" t="e">
        <f t="shared" ca="1" si="0"/>
        <v>#REF!</v>
      </c>
    </row>
    <row r="10" spans="1:5" ht="15.75">
      <c r="A10" s="2919"/>
      <c r="B10" s="2915" t="e">
        <f t="shared" ca="1" si="1"/>
        <v>#REF!</v>
      </c>
      <c r="C10" s="2914" t="s">
        <v>3002</v>
      </c>
      <c r="D10" s="2916"/>
      <c r="E10" s="2579" t="e">
        <f t="shared" ca="1" si="0"/>
        <v>#REF!</v>
      </c>
    </row>
    <row r="11" spans="1:5" ht="15.75">
      <c r="A11" s="2919"/>
      <c r="B11" s="2915" t="e">
        <f t="shared" ca="1" si="1"/>
        <v>#REF!</v>
      </c>
      <c r="C11" s="2914" t="s">
        <v>3002</v>
      </c>
      <c r="D11" s="2916"/>
      <c r="E11" s="2579" t="e">
        <f t="shared" ca="1" si="0"/>
        <v>#REF!</v>
      </c>
    </row>
    <row r="12" spans="1:5" ht="15.75">
      <c r="A12" s="2919"/>
      <c r="B12" s="2915" t="e">
        <f t="shared" ca="1" si="1"/>
        <v>#REF!</v>
      </c>
      <c r="C12" s="2914" t="s">
        <v>3002</v>
      </c>
      <c r="D12" s="2916"/>
      <c r="E12" s="2579" t="e">
        <f t="shared" ca="1" si="0"/>
        <v>#REF!</v>
      </c>
    </row>
    <row r="13" spans="1:5" ht="15.75">
      <c r="A13" s="2919"/>
      <c r="B13" s="2915" t="e">
        <f t="shared" ca="1" si="1"/>
        <v>#REF!</v>
      </c>
      <c r="C13" s="2914" t="s">
        <v>3002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38" sqref="C38"/>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3" t="s">
        <v>1150</v>
      </c>
      <c r="C1" s="3333"/>
      <c r="D1" s="3333"/>
      <c r="E1" s="3333"/>
      <c r="F1" s="3333"/>
      <c r="G1" s="3329" t="s">
        <v>1151</v>
      </c>
      <c r="H1" s="3329"/>
      <c r="I1" s="3329"/>
      <c r="J1" s="3329"/>
      <c r="K1" s="3329"/>
      <c r="L1" s="3329"/>
      <c r="N1" s="3329" t="s">
        <v>1152</v>
      </c>
      <c r="O1" s="3329"/>
      <c r="P1" s="3329"/>
      <c r="Q1" s="3329"/>
      <c r="R1" s="1446"/>
      <c r="S1" s="3329" t="s">
        <v>1153</v>
      </c>
      <c r="T1" s="3329"/>
      <c r="U1" s="3329"/>
      <c r="V1" s="3329"/>
      <c r="X1" s="3328" t="s">
        <v>1154</v>
      </c>
      <c r="Y1" s="3329"/>
      <c r="Z1" s="3329"/>
      <c r="AA1" s="3329"/>
      <c r="AB1" s="3329"/>
      <c r="AD1" s="3328" t="s">
        <v>1155</v>
      </c>
      <c r="AE1" s="3329"/>
      <c r="AF1" s="3329"/>
      <c r="AG1" s="3329"/>
      <c r="AH1" s="332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3" customFormat="1" ht="14.25">
      <c r="A3" s="2942" t="s">
        <v>3044</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1.4274</v>
      </c>
      <c r="Y3" s="2940">
        <f>ROUND(SUMPRODUCT(PRODUCT(1+O3:O$21)),4)</f>
        <v>1.2685</v>
      </c>
      <c r="Z3" s="2940">
        <f t="shared" ref="Z3:Z19" si="0">Y3</f>
        <v>1.2685</v>
      </c>
      <c r="AA3" s="2940">
        <f>ROUND(SUMPRODUCT(PRODUCT(1+P3:P$21)),4)</f>
        <v>1.4825999999999999</v>
      </c>
      <c r="AB3" s="2940">
        <f>ROUND(SUMPRODUCT(PRODUCT(1+Q3:Q$21)),4)</f>
        <v>1.2309000000000001</v>
      </c>
      <c r="AD3" s="2941">
        <f>ROUND(AVERAGE(I3:I$22)/100,4)</f>
        <v>2.1899999999999999E-2</v>
      </c>
      <c r="AE3" s="2941">
        <f>ROUND(AVERAGE(J3:J$22)/100,4)</f>
        <v>1.47E-2</v>
      </c>
      <c r="AF3" s="2941">
        <f t="shared" ref="AF3:AF20" si="1">AE3</f>
        <v>1.47E-2</v>
      </c>
      <c r="AG3" s="2941">
        <f>ROUND(AVERAGE(K3:K$22)/100,4)</f>
        <v>2.4299999999999999E-2</v>
      </c>
      <c r="AH3" s="2941">
        <f>ROUND(AVERAGE(L3:L$22)/100,4)</f>
        <v>1.2500000000000001E-2</v>
      </c>
    </row>
    <row r="4" spans="1:34" s="1453" customFormat="1" ht="14.25">
      <c r="B4" s="1454"/>
      <c r="C4" s="1454"/>
      <c r="D4" s="1455"/>
      <c r="E4" s="1455"/>
      <c r="F4" s="1454"/>
      <c r="G4" s="1456"/>
      <c r="H4" s="1457"/>
      <c r="I4" s="2927"/>
      <c r="J4" s="2927"/>
      <c r="K4" s="2927"/>
      <c r="L4" s="292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3">
        <v>2018</v>
      </c>
      <c r="H5" s="1730">
        <v>2</v>
      </c>
      <c r="I5" s="2928">
        <v>0</v>
      </c>
      <c r="J5" s="2928">
        <v>0</v>
      </c>
      <c r="K5" s="2928">
        <v>0</v>
      </c>
      <c r="L5" s="2928">
        <v>0</v>
      </c>
      <c r="N5" s="1467">
        <f t="shared" ref="N5" si="7">I5/100</f>
        <v>0</v>
      </c>
      <c r="O5" s="1467">
        <f t="shared" ref="O5" si="8">J5/100</f>
        <v>0</v>
      </c>
      <c r="P5" s="1467">
        <f t="shared" ref="P5" si="9">K5/100</f>
        <v>0</v>
      </c>
      <c r="Q5" s="1467">
        <f t="shared" ref="Q5" si="10">L5/100</f>
        <v>0</v>
      </c>
      <c r="R5" s="1732"/>
      <c r="S5" s="1733"/>
      <c r="T5" s="1732"/>
      <c r="U5" s="1732"/>
      <c r="V5" s="1732"/>
      <c r="W5" s="2932" t="s">
        <v>3045</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3043</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4">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3040</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30">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3041</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6"/>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5"/>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6"/>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34">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31"/>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31"/>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32"/>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30">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31"/>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31"/>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32"/>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30">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31"/>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31"/>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32"/>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35">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36"/>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36"/>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37"/>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30">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31"/>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31"/>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32"/>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30">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31">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31">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32">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30">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31">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31">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32">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30">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31">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31">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32">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30">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31">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31">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32">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30">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31">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31">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32">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30">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31">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31">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32">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30">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31">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31">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32">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30">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31">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31">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32">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30">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31">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31">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32">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30">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31">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31">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32">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3011</v>
      </c>
      <c r="C1" s="3339" t="s">
        <v>3012</v>
      </c>
      <c r="D1" s="3340"/>
      <c r="E1" s="3340"/>
      <c r="F1" s="3340"/>
      <c r="G1" s="3340"/>
      <c r="H1" s="3340"/>
      <c r="I1" s="3340"/>
      <c r="J1" s="3340"/>
      <c r="K1" s="3340"/>
      <c r="L1" s="3340"/>
      <c r="M1" s="3340"/>
      <c r="N1" s="3340"/>
      <c r="O1" s="3340"/>
      <c r="P1" s="3340"/>
      <c r="Q1" s="3340"/>
      <c r="R1" s="3340"/>
      <c r="S1" s="3341"/>
      <c r="T1" s="1204" t="s">
        <v>3013</v>
      </c>
    </row>
    <row r="2" spans="1:45" s="707" customFormat="1">
      <c r="A2" s="1205"/>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3020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3021</v>
      </c>
      <c r="B17" s="2921" t="s">
        <v>3022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2" t="s">
        <v>3023</v>
      </c>
      <c r="E19" s="1792"/>
      <c r="F19" s="1792"/>
      <c r="G19" s="1792"/>
      <c r="H19" s="1280"/>
      <c r="I19" s="168"/>
      <c r="J19" s="168"/>
      <c r="K19" s="168"/>
      <c r="L19" s="168"/>
      <c r="M19" s="168"/>
      <c r="N19" s="168"/>
      <c r="O19" s="168"/>
      <c r="P19" s="168"/>
      <c r="Q19" s="168"/>
      <c r="R19" s="788"/>
      <c r="S19" s="138"/>
    </row>
    <row r="20" spans="1:45" ht="16.5" thickBot="1">
      <c r="A20" s="715" t="s">
        <v>3024</v>
      </c>
      <c r="B20" s="338" t="e">
        <f ca="1">IF(D20="——",S22,S22-F20)</f>
        <v>#REF!</v>
      </c>
      <c r="C20" s="168"/>
      <c r="D20" s="2923" t="s">
        <v>3025</v>
      </c>
      <c r="E20" s="1793"/>
      <c r="F20" s="1204" t="e">
        <f ca="1">SUMIF(INDIRECT("'"&amp;H20&amp;"'"&amp;"!A:A"),"承租人权益价值",INDIRECT("'"&amp;H20&amp;"'"&amp;"!c:c"))</f>
        <v>#REF!</v>
      </c>
      <c r="G20" s="1204" t="s">
        <v>3026</v>
      </c>
      <c r="H20" s="2924"/>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21" t="s">
        <v>33</v>
      </c>
      <c r="D22" s="3122"/>
      <c r="E22" s="3122"/>
      <c r="F22" s="3122"/>
      <c r="G22" s="3122"/>
      <c r="H22" s="3122"/>
      <c r="I22" s="3122"/>
      <c r="J22" s="3122"/>
      <c r="K22" s="3122"/>
      <c r="L22" s="3122"/>
      <c r="M22" s="3122"/>
      <c r="N22" s="3122"/>
      <c r="O22" s="3122"/>
      <c r="P22" s="3122"/>
      <c r="Q22" s="3338"/>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38614</v>
      </c>
      <c r="C2" s="2" t="s">
        <v>133</v>
      </c>
      <c r="D2" s="243"/>
      <c r="E2" s="243"/>
      <c r="F2" s="243"/>
      <c r="G2" s="243"/>
    </row>
    <row r="3" spans="1:7" s="244" customFormat="1" ht="18" customHeight="1" thickBot="1">
      <c r="A3" s="247" t="s">
        <v>85</v>
      </c>
      <c r="B3" s="248">
        <f ca="1">ROUND(B2*10000/'数据-汇总表'!E3,0)</f>
        <v>3136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1600</v>
      </c>
      <c r="D9" s="1032">
        <f>'数据-汇总表'!E5</f>
        <v>79984.58</v>
      </c>
      <c r="E9" s="269">
        <f>'数据-取费表'!B27</f>
        <v>200</v>
      </c>
      <c r="F9" s="265"/>
      <c r="G9" s="270"/>
    </row>
    <row r="10" spans="1:7" s="258" customFormat="1" ht="13.5" customHeight="1">
      <c r="A10" s="950" t="s">
        <v>801</v>
      </c>
      <c r="B10" s="268" t="s">
        <v>94</v>
      </c>
      <c r="C10" s="269">
        <f>ROUND(D10*E10/10000,0)</f>
        <v>863</v>
      </c>
      <c r="D10" s="1032">
        <f>'数据-汇总表'!E6</f>
        <v>43137.759999999995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1231</v>
      </c>
      <c r="D19" s="1036">
        <f>'数据-汇总表'!E3</f>
        <v>123122.34</v>
      </c>
      <c r="E19" s="255">
        <f>'数据-取费表'!B31</f>
        <v>100</v>
      </c>
      <c r="F19" s="275"/>
      <c r="G19" s="1" t="s">
        <v>1074</v>
      </c>
    </row>
    <row r="20" spans="1:7" s="258" customFormat="1" ht="13.5" customHeight="1">
      <c r="A20" s="948" t="s">
        <v>1057</v>
      </c>
      <c r="B20" s="254" t="s">
        <v>104</v>
      </c>
      <c r="C20" s="276">
        <f>ROUND((C5+C19)*F20,0)</f>
        <v>441</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622</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582</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1058</v>
      </c>
      <c r="C25" s="1355">
        <f ca="1">ROUND(IF('数据-取费表'!B22&lt;=1,C20*F22*'数据-取费表'!B23/2,C20*(POWER((1+F22),'数据-取费表'!B23/2)-1)),0)</f>
        <v>6</v>
      </c>
      <c r="D25" s="282"/>
      <c r="E25" s="285"/>
      <c r="F25" s="283"/>
      <c r="G25" s="286" t="s">
        <v>110</v>
      </c>
    </row>
    <row r="26" spans="1:7" s="258" customFormat="1">
      <c r="A26" s="951" t="s">
        <v>795</v>
      </c>
      <c r="B26" s="259" t="s">
        <v>1060</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1002</v>
      </c>
      <c r="D27" s="279">
        <f>C29</f>
        <v>8.9999999999999998E-4</v>
      </c>
      <c r="E27" s="280" t="s">
        <v>126</v>
      </c>
      <c r="F27" s="290">
        <f>'数据-取费表'!Q16</f>
        <v>0.15</v>
      </c>
      <c r="G27" s="291" t="s">
        <v>1069</v>
      </c>
    </row>
    <row r="28" spans="1:7" s="258" customFormat="1" ht="13.5" customHeight="1">
      <c r="A28" s="951" t="s">
        <v>794</v>
      </c>
      <c r="B28" s="292" t="s">
        <v>1062</v>
      </c>
      <c r="C28" s="293">
        <f>ROUND((C5+C19+C20)*F27*'数据-取费表'!B21/'数据-取费表'!B20,0)</f>
        <v>1002</v>
      </c>
      <c r="D28" s="279"/>
      <c r="E28" s="280"/>
      <c r="F28" s="290"/>
      <c r="G28" s="291"/>
    </row>
    <row r="29" spans="1:7" s="258" customFormat="1" ht="13.5" customHeight="1">
      <c r="A29" s="951" t="s">
        <v>792</v>
      </c>
      <c r="B29" s="292" t="s">
        <v>1063</v>
      </c>
      <c r="C29" s="282">
        <f>ROUND(C21*F27*'数据-取费表'!B21/'数据-取费表'!B20,4)</f>
        <v>8.9999999999999998E-4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9805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8419</v>
      </c>
      <c r="D34" s="261"/>
      <c r="E34" s="264"/>
      <c r="F34" s="301">
        <f>IF('数据-取费表'!B24=0,1,'数据-取费表'!N16)</f>
        <v>0.29699999999999999</v>
      </c>
      <c r="G34" s="263" t="s">
        <v>116</v>
      </c>
    </row>
    <row r="35" spans="1:7" ht="13.5" customHeight="1">
      <c r="A35" s="951" t="s">
        <v>796</v>
      </c>
      <c r="B35" s="259" t="s">
        <v>60</v>
      </c>
      <c r="C35" s="264">
        <f>ROUND(C34*F35,0)</f>
        <v>253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276</v>
      </c>
      <c r="D36" s="264"/>
      <c r="E36" s="264"/>
      <c r="F36" s="303">
        <f>'数据-取费表'!B34</f>
        <v>0.05</v>
      </c>
      <c r="G36" s="304" t="s">
        <v>62</v>
      </c>
    </row>
    <row r="37" spans="1:7" s="302" customFormat="1" ht="13.5" customHeight="1">
      <c r="A37" s="951" t="s">
        <v>798</v>
      </c>
      <c r="B37" s="259" t="s">
        <v>118</v>
      </c>
      <c r="C37" s="293">
        <f>ROUND(E37*D37*F34/10000,0)</f>
        <v>731</v>
      </c>
      <c r="D37" s="261">
        <f>'数据-汇总表'!E3</f>
        <v>123122.34</v>
      </c>
      <c r="E37" s="293">
        <f>'数据-取费表'!B35</f>
        <v>200</v>
      </c>
      <c r="F37" s="303"/>
      <c r="G37" s="305" t="s">
        <v>119</v>
      </c>
    </row>
    <row r="38" spans="1:7" ht="13.5" customHeight="1">
      <c r="A38" s="951" t="s">
        <v>799</v>
      </c>
      <c r="B38" s="259" t="s">
        <v>63</v>
      </c>
      <c r="C38" s="264">
        <f>ROUND(C34*F38,0)</f>
        <v>126</v>
      </c>
      <c r="D38" s="264"/>
      <c r="E38" s="264"/>
      <c r="F38" s="303">
        <f>'数据-取费表'!B36</f>
        <v>1.4999999999999999E-2</v>
      </c>
      <c r="G38" s="263" t="s">
        <v>117</v>
      </c>
    </row>
    <row r="39" spans="1:7" s="258" customFormat="1" ht="13.5" customHeight="1">
      <c r="A39" s="948" t="s">
        <v>783</v>
      </c>
      <c r="B39" s="254" t="s">
        <v>104</v>
      </c>
      <c r="C39" s="276">
        <f>ROUND(C33*F20,0)</f>
        <v>196</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139</v>
      </c>
      <c r="D41" s="279">
        <f ca="1">C44</f>
        <v>2.9999999999999997E-4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136</v>
      </c>
      <c r="D42" s="282"/>
      <c r="E42" s="282"/>
      <c r="F42" s="283"/>
      <c r="G42" s="3206" t="s">
        <v>121</v>
      </c>
    </row>
    <row r="43" spans="1:7" ht="13.5" customHeight="1">
      <c r="A43" s="951" t="s">
        <v>792</v>
      </c>
      <c r="B43" s="259" t="s">
        <v>1064</v>
      </c>
      <c r="C43" s="282">
        <f ca="1">ROUND(IF('数据-取费表'!B22&lt;=1,C39*F22*'数据-取费表'!B21/2,C39*(POWER((1+F22),'数据-取费表'!B21/2)-1)),0)</f>
        <v>3</v>
      </c>
      <c r="D43" s="282"/>
      <c r="E43" s="282"/>
      <c r="F43" s="283"/>
      <c r="G43" s="3207"/>
    </row>
    <row r="44" spans="1:7" ht="13.5" customHeight="1">
      <c r="A44" s="951" t="s">
        <v>793</v>
      </c>
      <c r="B44" s="259" t="s">
        <v>1066</v>
      </c>
      <c r="C44" s="282">
        <f ca="1">ROUND(IF('数据-取费表'!B22&lt;=1,C40*F22*'数据-取费表'!B21/2,C40*(POWER((1+F22),'数据-取费表'!B21/2)-1)),4)</f>
        <v>2.9999999999999997E-4</v>
      </c>
      <c r="D44" s="282"/>
      <c r="E44" s="282"/>
      <c r="F44" s="283"/>
      <c r="G44" s="3208"/>
    </row>
    <row r="45" spans="1:7" s="258" customFormat="1" ht="13.5" customHeight="1">
      <c r="A45" s="948" t="s">
        <v>786</v>
      </c>
      <c r="B45" s="288" t="s">
        <v>112</v>
      </c>
      <c r="C45" s="289">
        <f>C46</f>
        <v>1500</v>
      </c>
      <c r="D45" s="279">
        <f>C47</f>
        <v>3.0000000000000001E-3</v>
      </c>
      <c r="E45" s="280" t="s">
        <v>129</v>
      </c>
      <c r="F45" s="290"/>
      <c r="G45" s="291" t="s">
        <v>1072</v>
      </c>
    </row>
    <row r="46" spans="1:7" s="258" customFormat="1" ht="13.5" customHeight="1">
      <c r="A46" s="951" t="s">
        <v>794</v>
      </c>
      <c r="B46" s="292" t="s">
        <v>1065</v>
      </c>
      <c r="C46" s="293">
        <f>ROUND((C33+C39)*F27,0)</f>
        <v>1500</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12593</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12593</v>
      </c>
      <c r="D51" s="276"/>
      <c r="E51" s="276"/>
      <c r="F51" s="308"/>
      <c r="G51" s="278" t="s">
        <v>64</v>
      </c>
    </row>
    <row r="52" spans="1:7" s="252" customFormat="1" ht="16.5" thickBot="1">
      <c r="A52" s="309" t="s">
        <v>65</v>
      </c>
      <c r="B52" s="310"/>
      <c r="C52" s="311">
        <f ca="1">C31+C51</f>
        <v>38614</v>
      </c>
      <c r="D52" s="310"/>
      <c r="E52" s="310"/>
      <c r="F52" s="310"/>
      <c r="G52" s="312"/>
    </row>
    <row r="55" spans="1:7" ht="15">
      <c r="B55" s="314" t="s">
        <v>66</v>
      </c>
      <c r="C55" s="315"/>
    </row>
    <row r="56" spans="1:7">
      <c r="B56" s="317" t="s">
        <v>67</v>
      </c>
      <c r="C56" s="318">
        <f ca="1">ROUND(C51/C52,3)</f>
        <v>0.32600000000000001</v>
      </c>
    </row>
    <row r="57" spans="1:7">
      <c r="B57" s="317" t="s">
        <v>68</v>
      </c>
      <c r="C57" s="319">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2" t="s">
        <v>156</v>
      </c>
      <c r="B1" s="3342"/>
      <c r="C1" s="3342"/>
      <c r="D1" s="3342"/>
      <c r="E1" s="3342"/>
      <c r="F1" s="334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3" t="s">
        <v>169</v>
      </c>
      <c r="B2" s="3343"/>
      <c r="C2" s="3343"/>
      <c r="D2" s="3343"/>
      <c r="E2" s="3343"/>
      <c r="F2" s="334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2" t="s">
        <v>871</v>
      </c>
      <c r="B1" s="334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43488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44" t="s">
        <v>1638</v>
      </c>
      <c r="E3" s="1044" t="s">
        <v>1644</v>
      </c>
      <c r="F3" s="1044" t="s">
        <v>1638</v>
      </c>
      <c r="G3" s="1044" t="s">
        <v>1639</v>
      </c>
      <c r="H3" s="1044" t="s">
        <v>1638</v>
      </c>
      <c r="I3" s="1044" t="s">
        <v>1639</v>
      </c>
    </row>
    <row r="4" spans="1:9" ht="30">
      <c r="A4" s="1973" t="str">
        <f>项目基本情况!S2</f>
        <v>出让国有建设用地使用权及在建建筑物房地产</v>
      </c>
      <c r="B4" s="1044">
        <f>项目基本情况!C17</f>
        <v>123122.34</v>
      </c>
      <c r="C4" s="1044">
        <f>项目基本情况!C18</f>
        <v>42459.8</v>
      </c>
      <c r="D4" s="1044">
        <f ca="1">结果表!D118</f>
        <v>39235</v>
      </c>
      <c r="E4" s="1044">
        <f ca="1">结果表!E118</f>
        <v>3186</v>
      </c>
      <c r="F4" s="1044">
        <f ca="1">结果表!F118</f>
        <v>10117</v>
      </c>
      <c r="G4" s="1044">
        <f ca="1">结果表!G118</f>
        <v>822</v>
      </c>
      <c r="H4" s="1044">
        <f ca="1">结果表!H118</f>
        <v>49352</v>
      </c>
      <c r="I4" s="1044">
        <f ca="1">结果表!I118</f>
        <v>4008</v>
      </c>
    </row>
    <row r="5" spans="1:9" ht="30" customHeight="1">
      <c r="A5" s="3033" t="s">
        <v>1640</v>
      </c>
      <c r="B5" s="3033"/>
      <c r="C5" s="3033"/>
      <c r="D5" s="3034" t="str">
        <f ca="1">结果表!D119</f>
        <v>叁亿玖仟贰佰叁拾伍万元整</v>
      </c>
      <c r="E5" s="3034"/>
      <c r="F5" s="3034" t="str">
        <f ca="1">结果表!F119</f>
        <v>壹亿零壹佰壹拾柒万元整</v>
      </c>
      <c r="G5" s="3034"/>
      <c r="H5" s="3034" t="str">
        <f ca="1">结果表!H119</f>
        <v>肆亿玖仟叁佰伍拾贰万元整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1640</v>
      </c>
      <c r="B7" s="3033"/>
      <c r="C7" s="3033"/>
      <c r="D7" s="3036" t="str">
        <f>结果表!D121</f>
        <v>零元整</v>
      </c>
      <c r="E7" s="3037"/>
      <c r="F7" s="3037"/>
      <c r="G7" s="3037"/>
      <c r="H7" s="3037"/>
      <c r="I7" s="3038"/>
    </row>
    <row r="8" spans="1:9" ht="15.75">
      <c r="A8" s="3035" t="str">
        <f>结果表!A122</f>
        <v>房地产抵押价值</v>
      </c>
      <c r="B8" s="3035"/>
      <c r="C8" s="3035"/>
      <c r="D8" s="3035">
        <f ca="1">结果表!D122</f>
        <v>49352</v>
      </c>
      <c r="E8" s="3035"/>
      <c r="F8" s="3035"/>
      <c r="G8" s="3035"/>
      <c r="H8" s="3035"/>
      <c r="I8" s="3035"/>
    </row>
    <row r="9" spans="1:9" ht="15">
      <c r="A9" s="3033" t="s">
        <v>1640</v>
      </c>
      <c r="B9" s="3033"/>
      <c r="C9" s="3033"/>
      <c r="D9" s="3034" t="str">
        <f ca="1">结果表!D123</f>
        <v>肆亿玖仟叁佰伍拾贰万元整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1640</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2" t="s">
        <v>1662</v>
      </c>
      <c r="B1" s="3042"/>
      <c r="C1" s="3042"/>
      <c r="D1" s="3042"/>
    </row>
    <row r="2" spans="1:4" ht="18">
      <c r="A2" s="3043" t="s">
        <v>1646</v>
      </c>
      <c r="B2" s="3043"/>
      <c r="C2" s="3043"/>
      <c r="D2" s="3043"/>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43" t="s">
        <v>1652</v>
      </c>
      <c r="B6" s="3043"/>
      <c r="C6" s="3043"/>
      <c r="D6" s="3043"/>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44" t="s">
        <v>1655</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5" t="str">
        <f>IF(项目基本情况!B8="抵押","4.本次评估估价师所知悉的法定优先受偿款情况说明如下：","——")</f>
        <v>4.本次评估估价师所知悉的法定优先受偿款情况说明如下：</v>
      </c>
      <c r="B14" s="3046"/>
      <c r="C14" s="3046"/>
      <c r="D14" s="3046"/>
    </row>
    <row r="15" spans="1:4" ht="42" customHeight="1">
      <c r="A15" s="30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5"/>
      <c r="C15" s="3045"/>
      <c r="D15" s="3045"/>
    </row>
    <row r="16" spans="1:4" ht="30" customHeight="1">
      <c r="A16" s="3048" t="s">
        <v>1656</v>
      </c>
      <c r="B16" s="3048"/>
      <c r="C16" s="3048"/>
      <c r="D16" s="3048"/>
    </row>
    <row r="17" spans="1:4" ht="144" customHeight="1">
      <c r="A17" s="3048" t="s">
        <v>1657</v>
      </c>
      <c r="B17" s="3048"/>
      <c r="C17" s="3048"/>
      <c r="D17" s="3048"/>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1658</v>
      </c>
      <c r="B22" s="3050"/>
      <c r="C22" s="3050"/>
      <c r="D22" s="305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6" t="s">
        <v>1669</v>
      </c>
      <c r="B15" s="3051" t="s">
        <v>136</v>
      </c>
      <c r="C15" s="3052"/>
    </row>
    <row r="16" spans="1:7" ht="13.5">
      <c r="A16" s="3057"/>
      <c r="B16" s="3051" t="s">
        <v>69</v>
      </c>
      <c r="C16" s="3052"/>
    </row>
    <row r="17" spans="1:3" ht="13.5">
      <c r="A17" s="3057"/>
      <c r="B17" s="3054" t="s">
        <v>1670</v>
      </c>
      <c r="C17" s="2000" t="s">
        <v>1669</v>
      </c>
    </row>
    <row r="18" spans="1:3" ht="13.5">
      <c r="A18" s="3057"/>
      <c r="B18" s="3054"/>
      <c r="C18" s="2000" t="s">
        <v>1671</v>
      </c>
    </row>
    <row r="19" spans="1:3" ht="13.5">
      <c r="A19" s="3057"/>
      <c r="B19" s="3054"/>
      <c r="C19" s="2000" t="s">
        <v>1672</v>
      </c>
    </row>
    <row r="20" spans="1:3" ht="13.5">
      <c r="A20" s="3058"/>
      <c r="B20" s="3053" t="s">
        <v>1673</v>
      </c>
      <c r="C20" s="3052"/>
    </row>
    <row r="21" spans="1:3" ht="13.5">
      <c r="A21" s="2001" t="s">
        <v>1674</v>
      </c>
      <c r="B21" s="2002"/>
      <c r="C21" s="2003"/>
    </row>
    <row r="22" spans="1:3" ht="13.5">
      <c r="A22" s="3055" t="s">
        <v>1675</v>
      </c>
      <c r="B22" s="3053" t="s">
        <v>1676</v>
      </c>
      <c r="C22" s="3052"/>
    </row>
    <row r="23" spans="1:3" ht="13.5">
      <c r="A23" s="3055"/>
      <c r="B23" s="3053" t="s">
        <v>1677</v>
      </c>
      <c r="C23" s="3052"/>
    </row>
    <row r="24" spans="1:3" ht="13.5">
      <c r="A24" s="3055"/>
      <c r="B24" s="3053" t="s">
        <v>1678</v>
      </c>
      <c r="C24" s="3052"/>
    </row>
    <row r="25" spans="1:3" ht="13.5">
      <c r="A25" s="3055"/>
      <c r="B25" s="3054" t="s">
        <v>1679</v>
      </c>
      <c r="C25" s="2000" t="s">
        <v>1680</v>
      </c>
    </row>
    <row r="26" spans="1:3" ht="13.5">
      <c r="A26" s="3055"/>
      <c r="B26" s="3054"/>
      <c r="C26" s="2000" t="s">
        <v>1681</v>
      </c>
    </row>
    <row r="27" spans="1:3" ht="13.5">
      <c r="A27" s="3055"/>
      <c r="B27" s="3054"/>
      <c r="C27" s="2000" t="s">
        <v>1682</v>
      </c>
    </row>
    <row r="28" spans="1:3" ht="13.5">
      <c r="A28" s="3055"/>
      <c r="B28" s="3054"/>
      <c r="C28" s="2000" t="s">
        <v>1683</v>
      </c>
    </row>
    <row r="29" spans="1:3" ht="13.5">
      <c r="A29" s="3055"/>
      <c r="B29" s="3054"/>
      <c r="C29" s="2000" t="s">
        <v>1684</v>
      </c>
    </row>
    <row r="30" spans="1:3" ht="13.5">
      <c r="A30" s="3055"/>
      <c r="B30" s="3054"/>
      <c r="C30" s="2000" t="s">
        <v>1685</v>
      </c>
    </row>
    <row r="31" spans="1:3" ht="13.5">
      <c r="A31" s="3055"/>
      <c r="B31" s="3054"/>
      <c r="C31" s="2000" t="s">
        <v>1686</v>
      </c>
    </row>
    <row r="32" spans="1:3" ht="13.5">
      <c r="A32" s="3055"/>
      <c r="B32" s="3054"/>
      <c r="C32" s="2000" t="s">
        <v>1687</v>
      </c>
    </row>
    <row r="33" spans="1:3" ht="13.5">
      <c r="A33" s="3055"/>
      <c r="B33" s="305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43489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t="str">
        <f ca="1">IF(C7&lt;B2,"已过期",1120050019)</f>
        <v>已过期</v>
      </c>
      <c r="C7" s="2349">
        <v>43359</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349"/>
      <c r="D12" s="2352"/>
      <c r="E12" s="1022"/>
      <c r="F12" s="1022"/>
    </row>
    <row r="13" spans="1:6" ht="24" customHeight="1">
      <c r="A13" s="1702" t="s">
        <v>840</v>
      </c>
      <c r="B13" s="1022">
        <f ca="1">IF(C13&lt;B2,"已过期",1120070131)</f>
        <v>1120070131</v>
      </c>
      <c r="C13" s="2349">
        <v>43814</v>
      </c>
      <c r="D13" s="2352" t="s">
        <v>840</v>
      </c>
      <c r="E13" s="1022">
        <v>2014110011</v>
      </c>
      <c r="F13" s="1030">
        <v>49302</v>
      </c>
    </row>
    <row r="14" spans="1:6" ht="24" customHeight="1">
      <c r="A14" s="1702" t="s">
        <v>841</v>
      </c>
      <c r="B14" s="1022">
        <f ca="1">IF(C14&lt;B2,"已过期",1120130020)</f>
        <v>1120130020</v>
      </c>
      <c r="C14" s="2349">
        <v>43622</v>
      </c>
      <c r="D14" s="2352"/>
      <c r="E14" s="1022"/>
      <c r="F14" s="1022"/>
    </row>
    <row r="15" spans="1:6" ht="24" customHeight="1">
      <c r="A15" s="1703" t="s">
        <v>1149</v>
      </c>
      <c r="B15" s="1022">
        <v>1120070085</v>
      </c>
      <c r="C15" s="2349">
        <v>43814</v>
      </c>
      <c r="D15" s="2353" t="s">
        <v>1149</v>
      </c>
      <c r="E15" s="1022">
        <v>2004110128</v>
      </c>
      <c r="F15" s="1023">
        <v>47118</v>
      </c>
    </row>
    <row r="16" spans="1:6" ht="24" customHeight="1">
      <c r="A16" s="1702" t="s">
        <v>842</v>
      </c>
      <c r="B16" s="1022">
        <f ca="1">IF(C16&lt;B2,"已过期",1120140022)</f>
        <v>1120140022</v>
      </c>
      <c r="C16" s="2349">
        <v>44029</v>
      </c>
      <c r="D16" s="2352" t="s">
        <v>842</v>
      </c>
      <c r="E16" s="1022">
        <f ca="1">IF(F16&lt;B2,"已过期",2008110059)</f>
        <v>2008110059</v>
      </c>
      <c r="F16" s="1030">
        <v>47177</v>
      </c>
    </row>
    <row r="17" spans="1:7" ht="24" customHeight="1">
      <c r="A17" s="1702"/>
      <c r="B17" s="1022"/>
      <c r="C17" s="2349"/>
      <c r="D17" s="2352"/>
      <c r="E17" s="1022"/>
      <c r="F17" s="1030"/>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843</v>
      </c>
      <c r="E21" s="1022">
        <f ca="1">IF(F21&lt;B2,"已过期",2011110090)</f>
        <v>2011110090</v>
      </c>
      <c r="F21" s="1030">
        <v>48302</v>
      </c>
    </row>
    <row r="22" spans="1:7" ht="24" customHeight="1">
      <c r="A22" s="1702" t="s">
        <v>844</v>
      </c>
      <c r="B22" s="1022" t="str">
        <f ca="1">IF(C22&lt;B2,"已过期",1120020033)</f>
        <v>已过期</v>
      </c>
      <c r="C22" s="2349">
        <v>43304</v>
      </c>
      <c r="D22" s="2352" t="s">
        <v>844</v>
      </c>
      <c r="E22" s="1022">
        <f ca="1">IF(F22&lt;B2,"已过期",2000110137)</f>
        <v>2000110137</v>
      </c>
      <c r="F22" s="1030">
        <v>46387</v>
      </c>
    </row>
    <row r="23" spans="1:7" ht="24" customHeight="1">
      <c r="A23" s="1702" t="s">
        <v>845</v>
      </c>
      <c r="B23" s="1022">
        <f ca="1">IF(C23&lt;B2,"已过期",1120130048)</f>
        <v>1120130048</v>
      </c>
      <c r="C23" s="2349">
        <v>43686</v>
      </c>
      <c r="D23" s="2352"/>
      <c r="E23" s="1022"/>
      <c r="F23" s="1022"/>
    </row>
    <row r="24" spans="1:7" s="1024" customFormat="1" ht="24" customHeight="1">
      <c r="A24" s="1703" t="s">
        <v>1333</v>
      </c>
      <c r="B24" s="1703" t="s">
        <v>1333</v>
      </c>
      <c r="C24" s="2350" t="s">
        <v>1333</v>
      </c>
      <c r="D24" s="2353" t="s">
        <v>1333</v>
      </c>
      <c r="E24" s="1703" t="s">
        <v>1333</v>
      </c>
      <c r="F24" s="1703" t="s">
        <v>1333</v>
      </c>
    </row>
    <row r="25" spans="1:7" ht="24" customHeight="1">
      <c r="A25" s="3059" t="s">
        <v>846</v>
      </c>
      <c r="B25" s="3059"/>
      <c r="C25" s="3059"/>
      <c r="D25" s="3059"/>
      <c r="E25" s="3059"/>
      <c r="F25" s="3059"/>
      <c r="G25" s="3059"/>
    </row>
    <row r="26" spans="1:7" s="1025" customFormat="1" ht="24" customHeight="1">
      <c r="A26" s="3060" t="s">
        <v>847</v>
      </c>
      <c r="B26" s="3060"/>
      <c r="C26" s="3061"/>
      <c r="D26" s="3062" t="s">
        <v>848</v>
      </c>
      <c r="E26" s="3060"/>
      <c r="F26" s="3060"/>
    </row>
    <row r="27" spans="1:7" s="1027" customFormat="1" ht="24" customHeight="1">
      <c r="A27" s="1026" t="s">
        <v>849</v>
      </c>
      <c r="B27" s="1021" t="s">
        <v>850</v>
      </c>
      <c r="C27" s="2348" t="s">
        <v>851</v>
      </c>
      <c r="D27" s="2356" t="s">
        <v>849</v>
      </c>
      <c r="E27" s="1021" t="s">
        <v>850</v>
      </c>
      <c r="F27" s="1021" t="s">
        <v>851</v>
      </c>
    </row>
    <row r="28" spans="1:7" s="1027" customFormat="1" ht="24" customHeight="1">
      <c r="A28" s="1028" t="s">
        <v>852</v>
      </c>
      <c r="B28" s="1029" t="s">
        <v>853</v>
      </c>
      <c r="C28" s="2354">
        <v>43725</v>
      </c>
      <c r="D28" s="2357" t="s">
        <v>854</v>
      </c>
      <c r="E28" s="1028" t="s">
        <v>855</v>
      </c>
      <c r="F28" s="1058">
        <v>44377</v>
      </c>
    </row>
    <row r="29" spans="1:7" s="1027" customFormat="1" ht="24" customHeight="1">
      <c r="A29" s="1028"/>
      <c r="B29" s="1028"/>
      <c r="C29" s="2355"/>
      <c r="D29" s="2357"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工程进度</vt:lpstr>
      <vt:lpstr>土地案例</vt:lpstr>
      <vt:lpstr>收益法</vt:lpstr>
      <vt:lpstr>收益法 (商业)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2019-01-24T05:34:35Z</dcterms:modified>
</cp:coreProperties>
</file>