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1715" windowHeight="1108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r:id="rId46"/>
    <sheet name="成本逼近法（划拨)" sheetId="80" r:id="rId47"/>
    <sheet name="成本逼近法（051）" sheetId="77" state="hidden" r:id="rId48"/>
    <sheet name="成本逼近法（0011）" sheetId="78" state="hidden" r:id="rId49"/>
    <sheet name="Sheet1" sheetId="68" state="hidden" r:id="rId5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6" l="1"/>
  <c r="C14" i="66"/>
  <c r="I23" i="80" l="1"/>
  <c r="I14" i="80"/>
  <c r="I11" i="80"/>
  <c r="I10" i="80" s="1"/>
  <c r="I9" i="80" s="1"/>
  <c r="I17" i="76"/>
  <c r="I18" i="80" l="1"/>
  <c r="I19" i="80"/>
  <c r="G26" i="76"/>
  <c r="H26" i="76"/>
  <c r="I20" i="80" l="1"/>
  <c r="I3" i="59"/>
  <c r="L3" i="59"/>
  <c r="B4" i="80" l="1"/>
  <c r="B2" i="80" s="1"/>
  <c r="B5" i="80" s="1"/>
  <c r="B27" i="79"/>
  <c r="B29" i="79" s="1"/>
  <c r="C25" i="79" s="1"/>
  <c r="C21" i="79" s="1"/>
  <c r="I11" i="79"/>
  <c r="I10" i="79" s="1"/>
  <c r="I9" i="79" s="1"/>
  <c r="I17" i="79" l="1"/>
  <c r="I18" i="79"/>
  <c r="I19" i="79" s="1"/>
  <c r="B27" i="69"/>
  <c r="B29" i="69" s="1"/>
  <c r="C25" i="69" s="1"/>
  <c r="C21" i="69" s="1"/>
  <c r="B27" i="76"/>
  <c r="B29" i="76" s="1"/>
  <c r="C25" i="76" s="1"/>
  <c r="B27" i="77"/>
  <c r="B29" i="77" s="1"/>
  <c r="C25" i="77" s="1"/>
  <c r="B27" i="78"/>
  <c r="B29" i="78" s="1"/>
  <c r="C25" i="78" s="1"/>
  <c r="I23" i="79" l="1"/>
  <c r="B4" i="79" s="1"/>
  <c r="B2" i="79" s="1"/>
  <c r="B5" i="79" s="1"/>
  <c r="I20" i="79"/>
  <c r="C21" i="78"/>
  <c r="I11" i="78"/>
  <c r="I10" i="78" s="1"/>
  <c r="I9" i="78" s="1"/>
  <c r="G1" i="77"/>
  <c r="C21" i="77"/>
  <c r="I11" i="77"/>
  <c r="I10" i="77" s="1"/>
  <c r="I9" i="77" s="1"/>
  <c r="I17" i="78" l="1"/>
  <c r="I18" i="78"/>
  <c r="I19" i="78" s="1"/>
  <c r="I17" i="77"/>
  <c r="I18" i="77"/>
  <c r="I19" i="77" s="1"/>
  <c r="I23" i="78" l="1"/>
  <c r="B4" i="78" s="1"/>
  <c r="B2" i="78" s="1"/>
  <c r="I20" i="78"/>
  <c r="I23" i="77"/>
  <c r="B4" i="77" s="1"/>
  <c r="B2" i="77" s="1"/>
  <c r="I20" i="77"/>
  <c r="B5" i="78" l="1"/>
  <c r="B5" i="77"/>
  <c r="C21" i="76"/>
  <c r="I11" i="76"/>
  <c r="I10" i="76" s="1"/>
  <c r="I9" i="76" s="1"/>
  <c r="I18" i="76" l="1"/>
  <c r="I19" i="76" s="1"/>
  <c r="I17" i="69"/>
  <c r="I20" i="76" l="1"/>
  <c r="I23" i="76" s="1"/>
  <c r="B4" i="76" s="1"/>
  <c r="B2" i="76" l="1"/>
  <c r="G25" i="76"/>
  <c r="G27" i="76" s="1"/>
  <c r="G28" i="76" s="1"/>
  <c r="I33" i="70"/>
  <c r="I33" i="71"/>
  <c r="C36" i="72"/>
  <c r="I32" i="72"/>
  <c r="B5" i="76"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S11" i="1"/>
  <c r="R11" i="1"/>
  <c r="S13" i="1"/>
  <c r="R13" i="1"/>
  <c r="B6" i="1"/>
  <c r="E6" i="1"/>
  <c r="B10" i="1"/>
  <c r="E10" i="1"/>
  <c r="S10" i="1"/>
  <c r="B8" i="1"/>
  <c r="E8" i="1" s="1"/>
  <c r="B12" i="1"/>
  <c r="E12" i="1" s="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B21" i="55" s="1"/>
  <c r="B72" i="63" s="1"/>
  <c r="C4" i="4"/>
  <c r="B20" i="55" s="1"/>
  <c r="B70" i="63" s="1"/>
  <c r="G66" i="36"/>
  <c r="J18" i="36"/>
  <c r="AC18" i="36" s="1"/>
  <c r="AE8" i="1"/>
  <c r="AE7" i="1"/>
  <c r="AE6" i="1"/>
  <c r="W18" i="36"/>
  <c r="AG6" i="1"/>
  <c r="L20" i="6"/>
  <c r="L19" i="6"/>
  <c r="L27" i="6" s="1"/>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K100" i="46"/>
  <c r="M109" i="46"/>
  <c r="AB12" i="46"/>
  <c r="AJ12" i="46"/>
  <c r="AJ13" i="46" s="1"/>
  <c r="F102" i="46"/>
  <c r="F105" i="46"/>
  <c r="F103" i="46"/>
  <c r="C101" i="46"/>
  <c r="C107" i="46" s="1"/>
  <c r="G101" i="46"/>
  <c r="G103" i="46" s="1"/>
  <c r="J101" i="46"/>
  <c r="J106" i="46" s="1"/>
  <c r="B113" i="46"/>
  <c r="D118" i="46" s="1"/>
  <c r="E118" i="46" s="1"/>
  <c r="F118" i="46" s="1"/>
  <c r="N104" i="45"/>
  <c r="L101" i="46"/>
  <c r="L102" i="46" s="1"/>
  <c r="F22" i="46"/>
  <c r="D22" i="46" s="1"/>
  <c r="E101" i="46"/>
  <c r="E104" i="46" s="1"/>
  <c r="Z7" i="46"/>
  <c r="K101" i="46"/>
  <c r="K107" i="46" s="1"/>
  <c r="E22" i="46"/>
  <c r="AG11" i="46"/>
  <c r="AG13" i="46" s="1"/>
  <c r="Z11" i="46"/>
  <c r="Z13" i="46" s="1"/>
  <c r="AH11" i="46"/>
  <c r="AA11" i="46"/>
  <c r="AA13" i="46" s="1"/>
  <c r="AI11" i="46"/>
  <c r="AI13" i="46" s="1"/>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2" i="46"/>
  <c r="J103" i="46"/>
  <c r="C104" i="46"/>
  <c r="C102" i="46"/>
  <c r="S2" i="46" s="1"/>
  <c r="C105" i="46"/>
  <c r="C7" i="46"/>
  <c r="S3" i="46"/>
  <c r="S4" i="46"/>
  <c r="M14" i="1"/>
  <c r="M29" i="44"/>
  <c r="J4" i="65"/>
  <c r="M24" i="15"/>
  <c r="B13" i="67"/>
  <c r="E14" i="67"/>
  <c r="B10" i="67"/>
  <c r="M9" i="15"/>
  <c r="B8" i="67"/>
  <c r="E10" i="67"/>
  <c r="F6" i="15"/>
  <c r="L48" i="44"/>
  <c r="J6" i="65"/>
  <c r="M22" i="15"/>
  <c r="F8" i="15"/>
  <c r="M31" i="44"/>
  <c r="J5" i="65"/>
  <c r="F38" i="44"/>
  <c r="F37" i="44"/>
  <c r="F40" i="44"/>
  <c r="F18" i="44"/>
  <c r="F35" i="15"/>
  <c r="F11" i="44"/>
  <c r="M28" i="15"/>
  <c r="B9" i="67"/>
  <c r="F43" i="15"/>
  <c r="F11" i="67"/>
  <c r="F43" i="44"/>
  <c r="I3" i="65"/>
  <c r="M24" i="44"/>
  <c r="M11" i="44"/>
  <c r="M23" i="44"/>
  <c r="B11" i="67"/>
  <c r="M23" i="15"/>
  <c r="F12" i="67"/>
  <c r="J3" i="65"/>
  <c r="E12" i="67"/>
  <c r="I5" i="65"/>
  <c r="M10" i="44"/>
  <c r="M6" i="15"/>
  <c r="D20" i="9"/>
  <c r="F36" i="15"/>
  <c r="M30" i="44"/>
  <c r="F37" i="15"/>
  <c r="F10" i="44"/>
  <c r="I6" i="65"/>
  <c r="F7" i="15"/>
  <c r="F40" i="15"/>
  <c r="N4" i="65"/>
  <c r="L48" i="15"/>
  <c r="J15" i="15"/>
  <c r="C19" i="44"/>
  <c r="C20" i="9"/>
  <c r="F8" i="44"/>
  <c r="I7" i="65"/>
  <c r="F26" i="15"/>
  <c r="F38" i="15"/>
  <c r="B12" i="67"/>
  <c r="E8" i="67"/>
  <c r="M29" i="15"/>
  <c r="M28" i="44"/>
  <c r="F13" i="15"/>
  <c r="N3" i="65"/>
  <c r="E11" i="67"/>
  <c r="M21" i="15"/>
  <c r="B14" i="67"/>
  <c r="F8" i="67"/>
  <c r="E9" i="67"/>
  <c r="F9" i="67"/>
  <c r="M26" i="44"/>
  <c r="J36" i="15"/>
  <c r="L49" i="44"/>
  <c r="L47" i="15"/>
  <c r="J7" i="65"/>
  <c r="M8" i="15"/>
  <c r="F14" i="67"/>
  <c r="F9" i="15"/>
  <c r="F13" i="67"/>
  <c r="F39" i="44"/>
  <c r="F45" i="44"/>
  <c r="F41" i="15"/>
  <c r="N5" i="65"/>
  <c r="M27" i="15"/>
  <c r="M8" i="44"/>
  <c r="F9" i="44"/>
  <c r="F42" i="15"/>
  <c r="M26" i="15"/>
  <c r="J17" i="44"/>
  <c r="F10" i="67"/>
  <c r="I4" i="65"/>
  <c r="F28" i="44"/>
  <c r="F46" i="44"/>
  <c r="M25" i="44"/>
  <c r="N6" i="65"/>
  <c r="N7" i="65"/>
  <c r="F15" i="44"/>
  <c r="E13" i="67"/>
  <c r="F16" i="15"/>
  <c r="S7" i="46" l="1"/>
  <c r="J109" i="46"/>
  <c r="C106" i="46"/>
  <c r="J105" i="46"/>
  <c r="J104" i="46"/>
  <c r="BA20" i="3"/>
  <c r="AZ20" i="3" s="1"/>
  <c r="AF13" i="46"/>
  <c r="P10" i="1"/>
  <c r="H81" i="46"/>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E2" i="65"/>
  <c r="E3" i="65"/>
  <c r="C18" i="44"/>
  <c r="M17" i="15"/>
  <c r="C17" i="15"/>
  <c r="F33" i="44"/>
  <c r="F31" i="15"/>
  <c r="M19" i="44"/>
  <c r="C16" i="15"/>
  <c r="F58" i="15"/>
  <c r="F7" i="21" l="1"/>
  <c r="C5" i="46"/>
  <c r="J7" i="2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AZ5" i="3" s="1"/>
  <c r="N4" i="63"/>
  <c r="B21" i="63"/>
  <c r="C53" i="59"/>
  <c r="O54" i="59"/>
  <c r="D54" i="59"/>
  <c r="I9" i="68"/>
  <c r="G5" i="3"/>
  <c r="B3" i="3" s="1"/>
  <c r="E97" i="3" s="1"/>
  <c r="M13" i="1"/>
  <c r="H16" i="1"/>
  <c r="Q16" i="1"/>
  <c r="K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3" i="3"/>
  <c r="E486" i="3"/>
  <c r="U25" i="37"/>
  <c r="AB25" i="37"/>
  <c r="E527" i="3"/>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E497" i="3" l="1"/>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21" i="9"/>
  <c r="C19" i="9"/>
  <c r="D19"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4" i="15"/>
  <c r="C16" i="44"/>
  <c r="D31" i="6" l="1"/>
  <c r="I5" i="6" s="1"/>
  <c r="J72" i="39"/>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<sst xmlns="http://schemas.openxmlformats.org/spreadsheetml/2006/main" count="8333" uniqueCount="3164">
  <si>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</si>
  <si>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</si>
  <si>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</si>
  <si>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</si>
  <si>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</si>
  <si>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</si>
  <si>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</si>
  <si>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</si>
  <si>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</si>
  <si>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</si>
  <si>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</si>
  <si>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</si>
  <si>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</si>
  <si>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</si>
  <si>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</si>
  <si>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</si>
  <si>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</si>
  <si>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</si>
  <si>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</si>
  <si>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</si>
  <si>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</si>
  <si>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</si>
  <si>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</si>
  <si>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</si>
  <si>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</si>
  <si>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</si>
  <si>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</si>
  <si>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</si>
  <si>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</si>
  <si>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</si>
  <si>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</si>
  <si>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</si>
  <si>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</si>
  <si>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</si>
  <si>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</si>
  <si>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</si>
  <si>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</si>
  <si>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</si>
  <si>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</si>
  <si>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</si>
  <si>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</si>
  <si>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</si>
  <si>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</si>
  <si>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</si>
  <si>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</si>
  <si>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</si>
  <si>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</si>
  <si>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</si>
  <si>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</si>
  <si>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</si>
  <si>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</si>
  <si>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</si>
  <si>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</si>
  <si>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</si>
  <si>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</si>
  <si>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</si>
  <si>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</si>
  <si>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</si>
  <si>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</si>
  <si>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</si>
  <si>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</si>
  <si>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</si>
  <si>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</si>
  <si>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</si>
  <si>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</si>
  <si>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</si>
  <si>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</si>
  <si>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</si>
  <si>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</si>
  <si>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</si>
  <si>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</si>
  <si>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</si>
  <si>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</si>
  <si>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</si>
  <si>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</si>
  <si>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</si>
  <si>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</si>
  <si>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</si>
  <si>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</si>
  <si>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</si>
  <si>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</si>
  <si>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</si>
  <si>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</si>
  <si>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</si>
  <si>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</si>
  <si>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</si>
  <si>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</si>
  <si>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</si>
  <si>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</si>
  <si>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</si>
  <si>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</si>
  <si>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</si>
  <si>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</si>
  <si>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</si>
  <si>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</si>
  <si>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</si>
  <si>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</si>
  <si>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</si>
  <si>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</si>
  <si>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</si>
  <si>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</si>
  <si>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</si>
  <si>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</si>
  <si>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</si>
  <si>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</si>
  <si>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</si>
  <si>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</si>
  <si>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</si>
  <si>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</si>
  <si>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</si>
  <si>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</si>
  <si>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</si>
  <si>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</si>
  <si>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</si>
  <si>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</si>
  <si>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</si>
  <si>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</si>
  <si>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</si>
  <si>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</si>
  <si>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</si>
  <si>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</si>
  <si>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</si>
  <si>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</si>
  <si>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</si>
  <si>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</si>
  <si>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</si>
  <si>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</si>
  <si>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</si>
  <si>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</si>
  <si>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</si>
  <si>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</si>
  <si>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</si>
  <si>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</si>
  <si>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</si>
  <si>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</si>
  <si>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</si>
  <si>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</si>
  <si>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</si>
  <si>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</si>
  <si>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</si>
  <si>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</si>
  <si>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</si>
  <si>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</si>
  <si>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</si>
  <si>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</si>
  <si>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</si>
  <si>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</si>
  <si>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</si>
  <si>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</si>
  <si>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</si>
  <si>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</si>
  <si>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</si>
  <si>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</si>
  <si>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</si>
  <si>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</si>
  <si>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</si>
  <si>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</si>
  <si>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</si>
  <si>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</si>
  <si>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</si>
  <si>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</si>
  <si>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</si>
  <si>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</si>
  <si>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</si>
  <si>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</si>
  <si>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</si>
  <si>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</si>
  <si>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</si>
  <si>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</si>
  <si>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</si>
  <si>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</si>
  <si>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</si>
  <si>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</si>
  <si>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</si>
  <si>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</si>
  <si>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</si>
  <si>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</si>
  <si>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</si>
  <si>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</si>
  <si>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</si>
  <si>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</si>
  <si>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</si>
  <si>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</si>
  <si>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</si>
  <si>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</si>
  <si>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</si>
  <si>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</si>
  <si>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</si>
  <si>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</si>
  <si>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</si>
  <si>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</si>
  <si>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</si>
  <si>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</si>
  <si>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</si>
  <si>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</si>
  <si>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</si>
  <si>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</si>
  <si>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</si>
  <si>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</si>
  <si>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</si>
  <si>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</si>
  <si>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</si>
  <si>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</si>
  <si>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</si>
  <si>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</si>
  <si>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</si>
  <si>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</si>
  <si>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</si>
  <si>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</si>
  <si>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</si>
  <si>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</si>
  <si>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</si>
  <si>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</si>
  <si>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</si>
  <si>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</si>
  <si>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</si>
  <si>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</si>
  <si>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</si>
  <si>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</si>
  <si>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</si>
  <si>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</si>
  <si>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</si>
  <si>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</si>
  <si>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</si>
  <si>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</si>
  <si>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</si>
  <si>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</si>
  <si>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</si>
  <si>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</si>
  <si>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</si>
  <si>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</si>
  <si>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</si>
  <si>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</si>
  <si>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</si>
  <si>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</si>
  <si>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</si>
  <si>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</si>
  <si>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</si>
  <si>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</si>
  <si>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</si>
  <si>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</si>
  <si>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</si>
  <si>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</si>
  <si>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</si>
  <si>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</si>
  <si>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</si>
  <si>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</si>
  <si>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</si>
  <si>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</si>
  <si>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</si>
  <si>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</si>
  <si>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</si>
  <si>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</si>
  <si>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</si>
  <si>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</si>
  <si>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</si>
  <si>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</si>
  <si>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</si>
  <si>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</si>
  <si>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</si>
  <si>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</si>
  <si>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</si>
  <si>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</si>
  <si>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</si>
  <si>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</si>
  <si>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</si>
  <si>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</si>
  <si>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</si>
  <si>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</si>
  <si>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</si>
  <si>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</si>
  <si>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</si>
  <si>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</si>
  <si>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</si>
  <si>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</si>
  <si>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</si>
  <si>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</si>
  <si>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</si>
  <si>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</si>
  <si>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</si>
  <si>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</si>
  <si>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</si>
  <si>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</si>
  <si>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</si>
  <si>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</si>
  <si>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</si>
  <si>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</si>
  <si>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</si>
  <si>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</si>
  <si>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</si>
  <si>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</si>
  <si>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</si>
  <si>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</si>
  <si>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</si>
  <si>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</si>
  <si>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</si>
  <si>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</si>
  <si>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</si>
  <si>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</si>
  <si>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</si>
  <si>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</si>
  <si>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</si>
  <si>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</si>
  <si>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</si>
  <si>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</si>
  <si>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</si>
  <si>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</si>
  <si>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</si>
  <si>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</si>
  <si>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</si>
  <si>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</si>
  <si>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</si>
  <si>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</si>
  <si>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</si>
  <si>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</si>
  <si>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</si>
  <si>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</si>
  <si>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</si>
  <si>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</si>
  <si>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</si>
  <si>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</si>
  <si>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</si>
  <si>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</si>
  <si>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</si>
  <si>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</si>
  <si>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</si>
  <si>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</si>
  <si>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</si>
  <si>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</si>
  <si>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</si>
  <si>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</si>
  <si>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</si>
  <si>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</si>
  <si>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</si>
  <si>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</si>
  <si>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</si>
  <si>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</si>
  <si>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</si>
  <si>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</si>
  <si>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</si>
  <si>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</si>
  <si>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</si>
  <si>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</si>
  <si>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</si>
  <si>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</si>
  <si>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</si>
  <si>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</si>
  <si>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</si>
  <si>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</si>
  <si>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</si>
  <si>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</si>
  <si>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</si>
  <si>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</si>
  <si>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</si>
  <si>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</si>
  <si>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</si>
  <si>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</si>
  <si>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</si>
  <si>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</si>
  <si>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</si>
  <si>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</si>
  <si>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</si>
  <si>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</si>
  <si>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</si>
  <si>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</si>
  <si>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</si>
  <si>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</si>
  <si>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</si>
  <si>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</si>
  <si>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</si>
  <si>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</si>
  <si>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</si>
  <si>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</si>
  <si>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</si>
  <si>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</si>
  <si>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</si>
  <si>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</si>
  <si>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</si>
  <si>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</si>
  <si>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</si>
  <si>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</si>
  <si>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</si>
  <si>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</si>
  <si>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</si>
  <si>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</si>
  <si>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</si>
  <si>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</si>
  <si>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</si>
  <si>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</si>
  <si>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</si>
  <si>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</si>
  <si>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</si>
  <si>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</si>
  <si>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</si>
  <si>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</si>
  <si>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</si>
  <si>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</si>
  <si>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</si>
  <si>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</si>
  <si>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</si>
  <si>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</si>
  <si>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</si>
  <si>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</si>
  <si>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</si>
  <si>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</si>
  <si>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</si>
  <si>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</si>
  <si>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</si>
  <si>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</si>
  <si>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</si>
  <si>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</si>
  <si>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</si>
  <si>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</si>
  <si>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</si>
  <si>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</si>
  <si>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</si>
  <si>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</si>
  <si>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</si>
  <si>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</si>
  <si>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</si>
  <si>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</si>
  <si>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</si>
  <si>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</si>
  <si>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</si>
  <si>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</si>
  <si>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</si>
  <si>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</si>
  <si>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</si>
  <si>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</si>
  <si>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</si>
  <si>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</si>
  <si>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</si>
  <si>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</si>
  <si>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</si>
  <si>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</si>
  <si>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</si>
  <si>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</si>
  <si>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</si>
  <si>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</si>
  <si>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</si>
  <si>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</si>
  <si>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</si>
  <si>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</si>
  <si>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</si>
  <si>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</si>
  <si>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</si>
  <si>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</si>
  <si>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</si>
  <si>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</si>
  <si>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</si>
  <si>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</si>
  <si>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</si>
  <si>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</si>
  <si>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</si>
  <si>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</si>
  <si>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</si>
  <si>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</si>
  <si>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</si>
  <si>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</si>
  <si>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</si>
  <si>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</si>
  <si>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</si>
  <si>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</si>
  <si>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</si>
  <si>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</si>
  <si>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</si>
  <si>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</si>
  <si>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</si>
  <si>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</si>
  <si>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</si>
  <si>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</si>
  <si>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</si>
  <si>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</si>
  <si>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</si>
  <si>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</si>
  <si>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</si>
  <si>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</si>
  <si>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</si>
  <si>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</si>
  <si>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</si>
  <si>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</si>
  <si>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</si>
  <si>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</si>
  <si>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</si>
  <si>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</si>
  <si>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</si>
  <si>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</si>
  <si>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</si>
  <si>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</si>
  <si>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</si>
  <si>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</si>
  <si>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</si>
  <si>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</si>
  <si>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</si>
  <si>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</si>
  <si>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</si>
  <si>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</si>
  <si>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</si>
  <si>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</si>
  <si>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</si>
  <si>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</si>
  <si>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</si>
  <si>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</si>
  <si>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</si>
  <si>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</si>
  <si>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</si>
  <si>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</si>
  <si>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</si>
  <si>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</si>
  <si>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</si>
  <si>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</si>
  <si>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</si>
  <si>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</si>
  <si>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</si>
  <si>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</si>
  <si>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</si>
  <si>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</si>
  <si>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</si>
  <si>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</si>
  <si>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</si>
  <si>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</si>
  <si>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</si>
  <si>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</si>
  <si>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</si>
  <si>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</si>
  <si>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</si>
  <si>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</si>
  <si>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</si>
  <si>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</si>
  <si>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</si>
  <si>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</si>
  <si>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</si>
  <si>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</si>
  <si>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</si>
  <si>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</si>
  <si>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</si>
  <si>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</si>
  <si>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</si>
  <si>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</si>
  <si>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</si>
  <si>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</si>
  <si>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</si>
  <si>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</si>
  <si>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</si>
  <si>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</si>
  <si>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</si>
  <si>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</si>
  <si>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</si>
  <si>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</si>
  <si>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</si>
  <si>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</si>
  <si>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</si>
  <si>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</si>
  <si>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</si>
  <si>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</si>
  <si>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</si>
  <si>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</si>
  <si>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</si>
  <si>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</si>
  <si>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</si>
  <si>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</si>
  <si>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</si>
  <si>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</si>
  <si>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</si>
  <si>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</si>
  <si>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</si>
  <si>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</si>
  <si>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</si>
  <si>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</si>
  <si>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</si>
  <si>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</si>
  <si>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</si>
  <si>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</si>
  <si>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</si>
  <si>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</si>
  <si>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</si>
  <si>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</si>
  <si>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</si>
  <si>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</si>
  <si>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</si>
  <si>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</si>
  <si>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</si>
  <si>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</si>
  <si>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</si>
  <si>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</si>
  <si>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</si>
  <si>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</si>
  <si>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</si>
  <si>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</si>
  <si>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</si>
  <si>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</si>
  <si>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</si>
  <si>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</si>
  <si>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</si>
  <si>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</si>
  <si>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</si>
  <si>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</si>
  <si>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</si>
  <si>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</si>
  <si>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</si>
  <si>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</si>
  <si>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</si>
  <si>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</si>
  <si>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</si>
  <si>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</si>
  <si>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</si>
  <si>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</si>
  <si>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</si>
  <si>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</si>
  <si>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</si>
  <si>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</si>
  <si>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</si>
  <si>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</si>
  <si>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</si>
  <si>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</si>
  <si>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</si>
  <si>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</si>
  <si>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</si>
  <si>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</si>
  <si>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</si>
  <si>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</si>
  <si>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</si>
  <si>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</si>
  <si>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</si>
  <si>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</si>
  <si>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</si>
  <si>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</si>
  <si>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</si>
  <si>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</si>
  <si>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</si>
  <si>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</si>
  <si>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</si>
  <si>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</si>
  <si>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</si>
  <si>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</si>
  <si>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</si>
  <si>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</si>
  <si>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</si>
  <si>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</si>
  <si>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</si>
  <si>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</si>
  <si>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</si>
  <si>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</si>
  <si>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</si>
  <si>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</si>
  <si>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</si>
  <si>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</si>
  <si>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</si>
  <si>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</si>
  <si>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</si>
  <si>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</si>
  <si>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</si>
  <si>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</si>
  <si>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</si>
  <si>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</si>
  <si>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</si>
  <si>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</si>
  <si>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</si>
  <si>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</si>
  <si>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</si>
  <si>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</si>
  <si>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</si>
  <si>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</si>
  <si>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</si>
  <si>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</si>
  <si>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</si>
  <si>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</si>
  <si>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</si>
  <si>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</si>
  <si>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</si>
  <si>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</si>
  <si>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</si>
  <si>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</si>
  <si>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</si>
  <si>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</si>
  <si>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</si>
  <si>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</si>
  <si>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</si>
  <si>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</si>
  <si>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</si>
  <si>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</si>
  <si>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</si>
  <si>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</si>
  <si>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</si>
  <si>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</si>
  <si>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</si>
  <si>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</si>
  <si>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</si>
  <si>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</si>
  <si>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</si>
  <si>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</si>
  <si>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</si>
  <si>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</si>
  <si>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</si>
  <si>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</si>
  <si>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</si>
  <si>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</si>
  <si>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</si>
  <si>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</si>
  <si>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</si>
  <si>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</si>
  <si>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</si>
  <si>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</si>
  <si>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</si>
  <si>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</si>
  <si>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</si>
  <si>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</si>
  <si>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</si>
  <si>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</si>
  <si>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</si>
  <si>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</si>
  <si>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</si>
  <si>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</si>
  <si>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</si>
  <si>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</si>
  <si>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</si>
  <si>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</si>
  <si>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</si>
  <si>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</si>
  <si>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</si>
  <si>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</si>
  <si>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</si>
  <si>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</si>
  <si>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</si>
  <si>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</si>
  <si>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</si>
  <si>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</si>
  <si>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</si>
  <si>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</si>
  <si>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</si>
  <si>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</si>
  <si>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</si>
  <si>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</si>
  <si>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</si>
  <si>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</si>
  <si>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</si>
  <si>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</si>
  <si>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</si>
  <si>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</si>
  <si>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</si>
  <si>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</si>
  <si>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</si>
  <si>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</si>
  <si>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</si>
  <si>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</si>
  <si>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</si>
  <si>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</si>
  <si>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</si>
  <si>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</si>
  <si>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</si>
  <si>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</si>
  <si>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</si>
  <si>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</si>
  <si>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</si>
  <si>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</si>
  <si>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</si>
  <si>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</si>
  <si>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</si>
  <si>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</si>
  <si>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</si>
  <si>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</si>
  <si>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</si>
  <si>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</si>
  <si>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</si>
  <si>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</si>
  <si>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</si>
  <si>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</si>
  <si>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</si>
  <si>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</si>
  <si>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</si>
  <si>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</si>
  <si>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</si>
  <si>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</si>
  <si>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</si>
  <si>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</si>
  <si>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</si>
  <si>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</si>
  <si>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</si>
  <si>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</si>
  <si>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</si>
  <si>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</si>
  <si>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</si>
  <si>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</si>
  <si>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</si>
  <si>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</si>
  <si>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</si>
  <si>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</si>
  <si>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</si>
  <si>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</si>
  <si>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</si>
  <si>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</si>
  <si>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</si>
  <si>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</si>
  <si>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</si>
  <si>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</si>
  <si>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</si>
  <si>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</si>
  <si>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</si>
  <si>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</si>
  <si>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</si>
  <si>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</si>
  <si>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</si>
  <si>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</si>
  <si>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</si>
  <si>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</si>
  <si>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</si>
  <si>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</si>
  <si>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</si>
  <si>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</si>
  <si>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</si>
  <si>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</si>
  <si>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</si>
  <si>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</si>
  <si>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</si>
  <si>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</si>
  <si>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</si>
  <si>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</si>
  <si>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</si>
  <si>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</si>
  <si>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</si>
  <si>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</si>
  <si>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</si>
  <si>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</si>
  <si>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</si>
  <si>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</si>
  <si>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</si>
  <si>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</si>
  <si>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</si>
  <si>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</si>
  <si>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</si>
  <si>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</si>
  <si>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</si>
  <si>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</si>
  <si>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</si>
  <si>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</si>
  <si>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</si>
  <si>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</si>
  <si>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</si>
  <si>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</si>
  <si>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</si>
  <si>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</si>
  <si>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</si>
  <si>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</si>
  <si>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</si>
  <si>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</si>
  <si>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</si>
  <si>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</si>
  <si>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</si>
  <si>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</si>
  <si>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</si>
  <si>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</si>
  <si>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</si>
  <si>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</si>
  <si>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</si>
  <si>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</si>
  <si>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</si>
  <si>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</si>
  <si>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</si>
  <si>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</si>
  <si>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</si>
  <si>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</si>
  <si>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</si>
  <si>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</si>
  <si>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</si>
  <si>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</si>
  <si>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</si>
  <si>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</si>
  <si>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</si>
  <si>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</si>
  <si>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</si>
  <si>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</si>
  <si>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</si>
  <si>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</si>
  <si>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</si>
  <si>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</si>
  <si>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</si>
  <si>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</si>
  <si>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</si>
  <si>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</si>
  <si>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</si>
  <si>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</si>
  <si>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</si>
  <si>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</si>
  <si>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</si>
  <si>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</si>
  <si>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</si>
  <si>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</si>
  <si>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</si>
  <si>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</si>
  <si>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</si>
  <si>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</si>
  <si>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</si>
  <si>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</si>
  <si>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</si>
  <si>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</si>
  <si>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</si>
  <si>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</si>
  <si>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</si>
  <si>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</si>
  <si>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</si>
  <si>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</si>
  <si>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</si>
  <si>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</si>
  <si>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</si>
  <si>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</si>
  <si>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</si>
  <si>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</si>
  <si>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</si>
  <si>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</si>
  <si>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</si>
  <si>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</si>
  <si>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</si>
  <si>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</si>
  <si>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</si>
  <si>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</si>
  <si>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</si>
  <si>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</si>
  <si>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</si>
  <si>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</si>
  <si>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</si>
  <si>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</si>
  <si>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</si>
  <si>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</si>
  <si>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</si>
  <si>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</si>
  <si>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</si>
  <si>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</si>
  <si>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</si>
  <si>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</si>
  <si>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</si>
  <si>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</si>
  <si>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</si>
  <si>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</si>
  <si>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</si>
  <si>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</si>
  <si>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</si>
  <si>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</si>
  <si>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</si>
  <si>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</si>
  <si>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</si>
  <si>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</si>
  <si>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</si>
  <si>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</si>
  <si>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</si>
  <si>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</si>
  <si>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</si>
  <si>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</si>
  <si>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</si>
  <si>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</si>
  <si>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</si>
  <si>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</si>
  <si>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</si>
  <si>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</si>
  <si>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</si>
  <si>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</si>
  <si>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</si>
  <si>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</si>
  <si>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</si>
  <si>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</si>
  <si>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</si>
  <si>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</si>
  <si>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</si>
  <si>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</si>
  <si>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</si>
  <si>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</si>
  <si>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</si>
  <si>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</si>
  <si>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</si>
  <si>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</si>
  <si>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</si>
  <si>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</si>
  <si>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</si>
  <si>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</si>
  <si>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</si>
  <si>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</si>
  <si>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</si>
  <si>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</si>
  <si>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</si>
  <si>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</si>
  <si>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</si>
  <si>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</si>
  <si>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</si>
  <si>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</si>
  <si>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</si>
  <si>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</si>
  <si>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</si>
  <si>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</si>
  <si>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</si>
  <si>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</si>
  <si>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</si>
  <si>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</si>
  <si>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</si>
  <si>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</si>
  <si>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</si>
  <si>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</si>
  <si>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</si>
  <si>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</si>
  <si>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</si>
  <si>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</si>
  <si>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</si>
  <si>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</si>
  <si>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</si>
  <si>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</si>
  <si>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</si>
  <si>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</si>
  <si>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</si>
  <si>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</si>
  <si>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</si>
  <si>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</si>
  <si>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</si>
  <si>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</si>
  <si>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</si>
  <si>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</si>
  <si>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</si>
  <si>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</si>
  <si>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</si>
  <si>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</si>
  <si>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</si>
  <si>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</si>
  <si>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</si>
  <si>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</si>
  <si>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</si>
  <si>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</si>
  <si>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</si>
  <si>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</si>
  <si>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</si>
  <si>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</si>
  <si>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</si>
  <si>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</si>
  <si>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</si>
  <si>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</si>
  <si>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</si>
  <si>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</si>
  <si>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</si>
  <si>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</si>
  <si>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</si>
  <si>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</si>
  <si>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</si>
  <si>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</si>
  <si>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</si>
  <si>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</si>
  <si>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</si>
  <si>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</si>
  <si>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</si>
  <si>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</si>
  <si>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</si>
  <si>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</si>
  <si>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</si>
  <si>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</si>
  <si>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</si>
  <si>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</si>
  <si>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</si>
  <si>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</si>
  <si>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</si>
  <si>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</si>
  <si>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</si>
  <si>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</si>
  <si>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</si>
  <si>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</si>
  <si>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</si>
  <si>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</si>
  <si>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</si>
  <si>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</si>
  <si>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</si>
  <si>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</si>
  <si>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</si>
  <si>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</si>
  <si>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</si>
  <si>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</si>
  <si>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</si>
  <si>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</si>
  <si>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</si>
  <si>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</si>
  <si>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</si>
  <si>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</si>
  <si>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</si>
  <si>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</si>
  <si>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</si>
  <si>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</si>
  <si>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</si>
  <si>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</si>
  <si>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</si>
  <si>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</si>
  <si>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</si>
  <si>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</si>
  <si>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</si>
  <si>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</si>
  <si>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</si>
  <si>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</si>
  <si>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</si>
  <si>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</si>
  <si>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</si>
  <si>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</si>
  <si>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</si>
  <si>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</si>
  <si>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</si>
  <si>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</si>
  <si>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</si>
  <si>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</si>
  <si>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</si>
  <si>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</si>
  <si>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</si>
  <si>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</si>
  <si>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</si>
  <si>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</si>
  <si>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</si>
  <si>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</si>
  <si>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</si>
  <si>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</si>
  <si>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</si>
  <si>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</si>
  <si>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</si>
  <si>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</si>
  <si>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</si>
  <si>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</si>
  <si>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</si>
  <si>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</si>
  <si>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</si>
  <si>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</si>
  <si>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</si>
  <si>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</si>
  <si>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</si>
  <si>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</si>
  <si>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</si>
  <si>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</si>
  <si>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</si>
  <si>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</si>
  <si>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</si>
  <si>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</si>
  <si>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</si>
  <si>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</si>
  <si>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</si>
  <si>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</si>
  <si>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</si>
  <si>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</si>
  <si>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</si>
  <si>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</si>
  <si>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</si>
  <si>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</si>
  <si>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</si>
  <si>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</si>
  <si>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</si>
  <si>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</si>
  <si>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</si>
  <si>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</si>
  <si>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</si>
  <si>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</si>
  <si>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</si>
  <si>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</si>
  <si>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</si>
  <si>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</si>
  <si>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</si>
  <si>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</si>
  <si>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</si>
  <si>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</si>
  <si>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</si>
  <si>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</si>
  <si>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</si>
  <si>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</si>
  <si>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</si>
  <si>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</si>
  <si>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</si>
  <si>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</si>
  <si>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</si>
  <si>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</si>
  <si>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</si>
  <si>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</si>
  <si>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</si>
  <si>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</si>
  <si>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</si>
  <si>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</si>
  <si>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</si>
  <si>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</si>
  <si>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</si>
  <si>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</si>
  <si>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</si>
  <si>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</si>
  <si>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</si>
  <si>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</si>
  <si>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</si>
  <si>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</si>
  <si>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</si>
  <si>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</si>
  <si>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</si>
  <si>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</si>
  <si>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</si>
  <si>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</si>
  <si>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</si>
  <si>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</si>
  <si>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</si>
  <si>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</si>
  <si>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</si>
  <si>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</si>
  <si>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</si>
  <si>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</si>
  <si>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</si>
  <si>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</si>
  <si>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</si>
  <si>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</si>
  <si>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</si>
  <si>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</si>
  <si>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</si>
  <si>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</si>
  <si>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</si>
  <si>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</si>
  <si>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</si>
  <si>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</si>
  <si>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</si>
  <si>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</si>
  <si>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</si>
  <si>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</si>
  <si>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</si>
  <si>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</si>
  <si>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</si>
  <si>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</si>
  <si>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</si>
  <si>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</si>
  <si>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</si>
  <si>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</si>
  <si>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</si>
  <si>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</si>
  <si>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</si>
  <si>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</si>
  <si>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</si>
  <si>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</si>
  <si>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</si>
  <si>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</si>
  <si>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</si>
  <si>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</si>
  <si>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</si>
  <si>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</si>
  <si>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</si>
  <si>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</si>
  <si>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</si>
  <si>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</si>
  <si>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</si>
  <si>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</si>
  <si>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</si>
  <si>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</si>
  <si>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</si>
  <si>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</si>
  <si>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</si>
  <si>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</si>
  <si>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</si>
  <si>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</si>
  <si>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</si>
  <si>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</si>
  <si>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</si>
  <si>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</si>
  <si>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</si>
  <si>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</si>
  <si>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</si>
  <si>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</si>
  <si>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</si>
  <si>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</si>
  <si>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</si>
  <si>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</si>
  <si>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</si>
  <si>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</si>
  <si>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</si>
  <si>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</si>
  <si>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</si>
  <si>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</si>
  <si>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</si>
  <si>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</si>
  <si>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</si>
  <si>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</si>
  <si>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</si>
  <si>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</si>
  <si>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</si>
  <si>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</si>
  <si>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</si>
  <si>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</si>
  <si>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</si>
  <si>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</si>
  <si>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</si>
  <si>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</si>
  <si>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</si>
  <si>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</si>
  <si>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</si>
  <si>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</si>
  <si>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</si>
  <si>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</si>
  <si>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</si>
  <si>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</si>
  <si>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</si>
  <si>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</si>
  <si>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</si>
  <si>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</si>
  <si>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</si>
  <si>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</si>
  <si>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</si>
  <si>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</si>
  <si>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</si>
  <si>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</si>
  <si>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</si>
  <si>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</si>
  <si>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</si>
  <si>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</si>
  <si>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</si>
  <si>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</si>
  <si>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</si>
  <si>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</si>
  <si>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</si>
  <si>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</si>
  <si>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</si>
  <si>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</si>
  <si>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</si>
  <si>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</si>
  <si>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</si>
  <si>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</si>
  <si>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</si>
  <si>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</si>
  <si>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</si>
  <si>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</si>
  <si>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</si>
  <si>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</si>
  <si>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</si>
  <si>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</si>
  <si>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</si>
  <si>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</si>
  <si>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</si>
  <si>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</si>
  <si>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</si>
  <si>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</si>
  <si>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</si>
  <si>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</si>
  <si>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</si>
  <si>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</si>
  <si>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</si>
  <si>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</si>
  <si>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</si>
  <si>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</si>
  <si>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</si>
  <si>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</si>
  <si>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</si>
  <si>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</si>
  <si>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</si>
  <si>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</si>
  <si>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</si>
  <si>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</si>
  <si>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</si>
  <si>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</si>
  <si>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</si>
  <si>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</si>
  <si>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</si>
  <si>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</si>
  <si>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</si>
  <si>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</si>
  <si>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</si>
  <si>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</si>
  <si>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</si>
  <si>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</si>
  <si>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</si>
  <si>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</si>
  <si>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</si>
  <si>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</si>
  <si>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</si>
  <si>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</si>
  <si>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</si>
  <si>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</si>
  <si>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</si>
  <si>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</si>
  <si>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</si>
  <si>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</si>
  <si>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</si>
  <si>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</si>
  <si>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</si>
  <si>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</si>
  <si>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</si>
  <si>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</si>
  <si>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</si>
  <si>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</si>
  <si>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</si>
  <si>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</si>
  <si>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</si>
  <si>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</si>
  <si>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</si>
  <si>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</si>
  <si>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</si>
  <si>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</si>
  <si>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</si>
  <si>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</si>
  <si>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</si>
  <si>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</si>
  <si>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</si>
  <si>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</si>
  <si>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</si>
  <si>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</si>
  <si>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</si>
  <si>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</si>
  <si>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</si>
  <si>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</si>
  <si>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</si>
  <si>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</si>
  <si>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</si>
  <si>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</si>
  <si>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</si>
  <si>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</si>
  <si>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</si>
  <si>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</si>
  <si>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</si>
  <si>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</si>
  <si>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</si>
  <si>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</si>
  <si>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</si>
  <si>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</si>
  <si>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</si>
  <si>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</si>
  <si>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</si>
  <si>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</si>
  <si>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</si>
  <si>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</si>
  <si>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</si>
  <si>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</si>
  <si>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</si>
  <si>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</si>
  <si>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</si>
  <si>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</si>
  <si>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</si>
  <si>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</si>
  <si>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</si>
  <si>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</si>
  <si>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</si>
  <si>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</si>
  <si>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</si>
  <si>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</si>
  <si>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</si>
  <si>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</si>
  <si>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</si>
  <si>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</si>
  <si>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</si>
  <si>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</si>
  <si>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</si>
  <si>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</si>
  <si>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</si>
  <si>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</si>
  <si>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</si>
  <si>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</si>
  <si>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</si>
  <si>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</si>
  <si>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</si>
  <si>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</si>
  <si>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</si>
  <si>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</si>
  <si>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</si>
  <si>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</si>
  <si>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</si>
  <si>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</si>
  <si>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</si>
  <si>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</si>
  <si>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</si>
  <si>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</si>
  <si>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</si>
  <si>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</si>
  <si>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</si>
  <si>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</si>
  <si>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</si>
  <si>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</si>
  <si>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</si>
  <si>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</si>
  <si>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</si>
  <si>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</si>
  <si>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</si>
  <si>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</si>
  <si>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</si>
  <si>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</si>
  <si>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</si>
  <si>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</si>
  <si>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</si>
  <si>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</si>
  <si>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</si>
  <si>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</si>
  <si>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</si>
  <si>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</si>
  <si>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</si>
  <si>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</si>
  <si>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</si>
  <si>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</si>
  <si>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</si>
  <si>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</si>
  <si>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</si>
  <si>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</si>
  <si>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</si>
  <si>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</si>
  <si>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</si>
  <si>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</si>
  <si>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</si>
  <si>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</si>
  <si>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</si>
  <si>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</si>
  <si>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</si>
  <si>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</si>
  <si>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</si>
  <si>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</si>
  <si>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</si>
  <si>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</si>
  <si>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</si>
  <si>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</si>
  <si>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</si>
  <si>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</si>
  <si>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</si>
  <si>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</si>
  <si>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</si>
  <si>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</si>
  <si>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</si>
  <si>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</si>
  <si>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</si>
  <si>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</si>
  <si>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</si>
  <si>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</si>
  <si>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</si>
  <si>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</si>
  <si>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</si>
  <si>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</si>
  <si>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</si>
  <si>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</si>
  <si>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</si>
  <si>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</si>
  <si>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</si>
  <si>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</si>
  <si>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</si>
  <si>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</si>
  <si>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</si>
  <si>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</si>
  <si>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</si>
  <si>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</si>
  <si>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</si>
  <si>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</si>
  <si>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</si>
  <si>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</si>
  <si>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</si>
  <si>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</si>
  <si>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</si>
  <si>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</si>
  <si>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</si>
  <si>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</si>
  <si>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</si>
  <si>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</si>
  <si>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</si>
  <si>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</si>
  <si>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</si>
  <si>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</si>
  <si>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</si>
  <si>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</si>
  <si>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</si>
  <si>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</si>
  <si>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</si>
  <si>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</si>
  <si>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</si>
  <si>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</si>
  <si>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</si>
  <si>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</si>
  <si>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</si>
  <si>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</si>
  <si>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</si>
  <si>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</si>
  <si>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</si>
  <si>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</si>
  <si>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</si>
  <si>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</si>
  <si>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</si>
  <si>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</si>
  <si>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</si>
  <si>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</si>
  <si>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</si>
  <si>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</si>
  <si>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</si>
  <si>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</si>
  <si>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</si>
  <si>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</si>
  <si>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</si>
  <si>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</si>
  <si>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</si>
  <si>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</si>
  <si>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</si>
  <si>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</si>
  <si>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</si>
  <si>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</si>
  <si>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</si>
  <si>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</si>
  <si>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</si>
  <si>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</si>
  <si>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</si>
  <si>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</si>
  <si>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</si>
  <si>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</si>
  <si>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</si>
  <si>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</si>
  <si>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</si>
  <si>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</si>
  <si>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</si>
  <si>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</si>
  <si>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</si>
  <si>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</si>
  <si>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</si>
  <si>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</si>
  <si>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</si>
  <si>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</si>
  <si>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</si>
  <si>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</si>
  <si>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</si>
  <si>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</si>
  <si>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</si>
  <si>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</si>
  <si>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</si>
  <si>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</si>
  <si>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</si>
  <si>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</si>
  <si>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</si>
  <si>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</si>
  <si>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</si>
  <si>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</si>
  <si>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</si>
  <si>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</si>
  <si>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</si>
  <si>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</si>
  <si>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</si>
  <si>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</si>
  <si>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</si>
  <si>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</si>
  <si>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</si>
  <si>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</si>
  <si>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</si>
  <si>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</si>
  <si>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</si>
  <si>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</si>
  <si>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</si>
  <si>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</si>
  <si>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</si>
  <si>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</si>
  <si>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</si>
  <si>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</si>
  <si>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</si>
  <si>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</si>
  <si>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</si>
  <si>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</si>
  <si>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</si>
  <si>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</si>
  <si>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</si>
  <si>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</si>
  <si>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</si>
  <si>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</si>
  <si>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</si>
  <si>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</si>
  <si>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</si>
  <si>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</si>
  <si>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</si>
  <si>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</si>
  <si>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</si>
  <si>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</si>
  <si>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</si>
  <si>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</si>
  <si>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</si>
  <si>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</si>
  <si>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</si>
  <si>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</si>
  <si>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</si>
  <si>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</si>
  <si>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</si>
  <si>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</si>
  <si>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</si>
  <si>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</si>
  <si>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</si>
  <si>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</si>
  <si>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</si>
  <si>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</si>
  <si>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</si>
  <si>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</si>
  <si>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</si>
  <si>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</si>
  <si>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</si>
  <si>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</si>
  <si>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</si>
  <si>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</si>
  <si>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</si>
  <si>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</si>
  <si>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</si>
  <si>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</si>
  <si>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</si>
  <si>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</si>
  <si>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</si>
  <si>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</si>
  <si>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</si>
  <si>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</si>
  <si>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</si>
  <si>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</si>
  <si>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</si>
  <si>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</si>
  <si>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</si>
  <si>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</si>
  <si>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</si>
  <si>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</si>
  <si>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</si>
  <si>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</si>
  <si>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</si>
  <si>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</si>
  <si>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</si>
  <si>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</si>
  <si>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</si>
  <si>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</si>
  <si>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</si>
  <si>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</si>
  <si>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</si>
  <si>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</si>
  <si>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</si>
  <si>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</si>
  <si>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</si>
  <si>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</si>
  <si>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</si>
  <si>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</si>
  <si>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</si>
  <si>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</si>
  <si>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</si>
  <si>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</si>
  <si>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</si>
  <si>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</si>
  <si>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</si>
  <si>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</si>
  <si>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</si>
  <si>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</si>
  <si>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</si>
  <si>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</si>
  <si>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</si>
  <si>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</si>
  <si>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</si>
  <si>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</si>
  <si>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</si>
  <si>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</si>
  <si>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</si>
  <si>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</si>
  <si>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</si>
  <si>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</si>
  <si>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</si>
  <si>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</si>
  <si>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</si>
  <si>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</si>
  <si>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</si>
  <si>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</si>
  <si>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</si>
  <si>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</si>
  <si>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</si>
  <si>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</si>
  <si>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</si>
  <si>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</si>
  <si>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</si>
  <si>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</si>
  <si>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</si>
  <si>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</si>
  <si>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</si>
  <si>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</si>
  <si>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</si>
  <si>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</si>
  <si>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</si>
  <si>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</si>
  <si>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</si>
  <si>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</si>
  <si>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</si>
  <si>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</si>
  <si>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</si>
  <si>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</si>
  <si>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</si>
  <si>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</si>
  <si>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</si>
  <si>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</si>
  <si>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</si>
  <si>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</si>
  <si>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</si>
  <si>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</si>
  <si>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</si>
  <si>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</si>
  <si>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</si>
  <si>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</si>
  <si>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</si>
  <si>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</si>
  <si>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</si>
  <si>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</si>
  <si>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</si>
  <si>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</si>
  <si>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</si>
  <si>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</si>
  <si>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</si>
  <si>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</si>
  <si>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</si>
  <si>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</si>
  <si>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</si>
  <si>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</si>
  <si>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</si>
  <si>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</si>
  <si>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</si>
  <si>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</si>
  <si>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</si>
  <si>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</si>
  <si>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</si>
  <si>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</si>
  <si>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</si>
  <si>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</si>
  <si>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</si>
  <si>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</si>
  <si>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</si>
  <si>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</si>
  <si>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</si>
  <si>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</si>
  <si>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</si>
  <si>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</si>
  <si>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</si>
  <si>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</si>
  <si>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</si>
  <si>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</si>
  <si>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</si>
  <si>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</si>
  <si>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</si>
  <si>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</si>
  <si>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</si>
  <si>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</si>
  <si>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</si>
  <si>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</si>
  <si>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</si>
  <si>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</si>
  <si>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</si>
  <si>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</si>
  <si>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</si>
  <si>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</si>
  <si>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</si>
  <si>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</si>
  <si>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</si>
  <si>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</si>
  <si>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</si>
  <si>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</si>
  <si>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</si>
  <si>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</si>
  <si>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</si>
  <si>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</si>
  <si>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</si>
  <si>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</si>
  <si>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</si>
  <si>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</si>
  <si>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</si>
  <si>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</si>
  <si>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</si>
  <si>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</si>
  <si>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</si>
  <si>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</si>
  <si>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</si>
  <si>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</si>
  <si>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</si>
  <si>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</si>
  <si>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</si>
  <si>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</si>
  <si>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</si>
  <si>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</si>
  <si>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</si>
  <si>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</si>
  <si>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</si>
  <si>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</si>
  <si>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</si>
  <si>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</si>
  <si>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</si>
  <si>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</si>
  <si>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</si>
  <si>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</si>
  <si>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</si>
  <si>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</si>
  <si>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</si>
  <si>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</si>
  <si>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</si>
  <si>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</si>
  <si>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</si>
  <si>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</si>
  <si>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</si>
  <si>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</si>
  <si>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</si>
  <si>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</si>
  <si>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</si>
  <si>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</si>
  <si>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</si>
  <si>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</si>
  <si>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</si>
  <si>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</si>
  <si>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</si>
  <si>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</si>
  <si>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</si>
  <si>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</si>
  <si>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</si>
  <si>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</si>
  <si>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</si>
  <si>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</si>
  <si>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</si>
  <si>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</si>
  <si>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</si>
  <si>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</si>
  <si>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</si>
  <si>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</si>
  <si>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</si>
  <si>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</si>
  <si>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</si>
  <si>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</si>
  <si>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</si>
  <si>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</si>
  <si>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</si>
  <si>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</si>
  <si>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</si>
  <si>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</si>
  <si>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</si>
  <si>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</si>
  <si>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</si>
  <si>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</si>
  <si>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</si>
  <si>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</si>
  <si>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</si>
  <si>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</si>
  <si>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</si>
  <si>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</si>
  <si>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</si>
  <si>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</si>
  <si>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</si>
  <si>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</si>
  <si>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</si>
  <si>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</si>
  <si>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</si>
  <si>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</si>
  <si>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</si>
  <si>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</si>
  <si>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</si>
  <si>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</si>
  <si>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</si>
  <si>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</si>
  <si>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</si>
  <si>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</si>
  <si>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</si>
  <si>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</si>
  <si>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</si>
  <si>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</si>
  <si>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</si>
  <si>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</si>
  <si>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</si>
  <si>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</si>
  <si>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</si>
  <si>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</si>
  <si>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</si>
  <si>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</si>
  <si>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</si>
  <si>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</si>
  <si>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</si>
  <si>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</si>
  <si>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</si>
  <si>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</si>
  <si>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</si>
  <si>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</si>
  <si>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</si>
  <si>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</si>
  <si>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</si>
  <si>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</si>
  <si>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</si>
  <si>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</si>
  <si>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</si>
  <si>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</si>
  <si>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</si>
  <si>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</si>
  <si>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</si>
  <si>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</si>
  <si>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</si>
  <si>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</si>
  <si>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</si>
  <si>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</si>
  <si>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</si>
  <si>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</si>
  <si>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</si>
  <si>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</si>
  <si>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</si>
  <si>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</si>
  <si>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</si>
  <si>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</si>
  <si>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</si>
  <si>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</si>
  <si>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</si>
  <si>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</si>
  <si>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</si>
  <si>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</si>
  <si>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</si>
  <si>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</si>
  <si>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</si>
  <si>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</si>
  <si>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</si>
  <si>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</si>
  <si>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</si>
  <si>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</si>
  <si>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</si>
  <si>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</si>
  <si>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</si>
  <si>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</si>
  <si>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</si>
  <si>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</si>
  <si>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</si>
  <si>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</si>
  <si>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</si>
  <si>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</si>
  <si>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</si>
  <si>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</si>
  <si>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</si>
  <si>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</si>
  <si>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</si>
  <si>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</si>
  <si>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</si>
  <si>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</si>
  <si>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</si>
  <si>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</si>
  <si>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</si>
  <si>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</si>
  <si>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</si>
  <si>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</si>
  <si>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</si>
  <si>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</si>
  <si>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</si>
  <si>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</si>
  <si>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</si>
  <si>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</si>
  <si>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</si>
  <si>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</si>
  <si>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</si>
  <si>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</si>
  <si>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</si>
  <si>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</si>
  <si>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</si>
  <si>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</si>
  <si>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</si>
  <si>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</si>
  <si>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</si>
  <si>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</si>
  <si>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</si>
  <si>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</si>
  <si>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</si>
  <si>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</si>
  <si>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</si>
  <si>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</si>
  <si>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</si>
  <si>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</si>
  <si>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</si>
  <si>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</si>
  <si>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</si>
  <si>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</si>
  <si>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</si>
  <si>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</si>
  <si>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</si>
  <si>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</si>
  <si>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</si>
  <si>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</si>
  <si>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</si>
  <si>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</si>
  <si>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</si>
  <si>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</si>
  <si>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</si>
  <si>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</si>
  <si>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</si>
  <si>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</si>
  <si>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</si>
  <si>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</si>
  <si>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</si>
  <si>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</si>
  <si>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</si>
  <si>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</si>
  <si>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</si>
  <si>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</si>
  <si>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</si>
  <si>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</si>
  <si>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</si>
  <si>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</si>
  <si>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</si>
  <si>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</si>
  <si>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</si>
  <si>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</si>
  <si>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</si>
  <si>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</si>
  <si>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</si>
  <si>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</si>
  <si>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</si>
  <si>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</si>
  <si>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</si>
  <si>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</si>
  <si>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</si>
  <si>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</si>
  <si>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</si>
  <si>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</si>
  <si>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</si>
  <si>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</si>
  <si>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</si>
  <si>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</si>
  <si>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</si>
  <si>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</si>
  <si>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</si>
  <si>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</si>
  <si>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</si>
  <si>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</si>
  <si>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</si>
  <si>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</si>
  <si>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</si>
  <si>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</si>
  <si>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</si>
  <si>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</si>
  <si>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</si>
  <si>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</si>
  <si>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</si>
  <si>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</si>
  <si>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</si>
  <si>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</si>
  <si>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</si>
  <si>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</si>
  <si>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</si>
  <si>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</si>
  <si>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</si>
  <si>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</si>
  <si>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</si>
  <si>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</si>
  <si>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</si>
  <si>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</si>
  <si>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</si>
  <si>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</si>
  <si>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</si>
  <si>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</si>
  <si>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</si>
  <si>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</si>
  <si>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</si>
  <si>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</si>
  <si>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</si>
  <si>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</si>
  <si>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</si>
  <si>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</si>
  <si>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</si>
  <si>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</si>
  <si>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</si>
  <si>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</si>
  <si>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</si>
  <si>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</si>
  <si>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</si>
  <si>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</si>
  <si>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</si>
  <si>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</si>
  <si>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</si>
  <si>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</si>
  <si>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</si>
  <si>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</si>
  <si>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</si>
  <si>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</si>
  <si>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</si>
  <si>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</si>
  <si>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</si>
  <si>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</si>
  <si>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</si>
  <si>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</si>
  <si>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</si>
  <si>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</si>
  <si>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</si>
  <si>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</si>
  <si>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</si>
  <si>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</si>
  <si>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</si>
  <si>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</si>
  <si>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</si>
  <si>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</si>
  <si>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</si>
  <si>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</si>
  <si>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</si>
  <si>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</si>
  <si>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</si>
  <si>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</si>
  <si>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</si>
  <si>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</si>
  <si>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</si>
  <si>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</si>
  <si>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</si>
  <si>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</si>
  <si>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</si>
  <si>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</si>
  <si>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</si>
  <si>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</si>
  <si>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</si>
  <si>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</si>
  <si>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</si>
  <si>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</si>
  <si>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</si>
  <si>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</si>
  <si>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</si>
  <si>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</si>
  <si>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</si>
  <si>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</si>
  <si>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</si>
  <si>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</si>
  <si>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</si>
  <si>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</si>
  <si>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</si>
  <si>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</si>
  <si>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</si>
  <si>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</si>
  <si>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</si>
  <si>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</si>
  <si>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</si>
  <si>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</si>
  <si>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</si>
  <si>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</si>
  <si>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</si>
  <si>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</si>
  <si>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</si>
  <si>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</si>
  <si>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</si>
  <si>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</si>
  <si>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</si>
  <si>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</si>
  <si>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</si>
  <si>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</si>
  <si>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</si>
  <si>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</si>
  <si>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</si>
  <si>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</si>
  <si>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</si>
  <si>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</si>
  <si>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</si>
  <si>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</si>
  <si>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</si>
  <si>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</si>
  <si>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</si>
  <si>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</si>
  <si>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</si>
  <si>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</si>
  <si>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</si>
  <si>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</si>
  <si>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</si>
  <si>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</si>
  <si>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</si>
  <si>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</si>
  <si>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</si>
  <si>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</si>
  <si>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</si>
  <si>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</si>
  <si>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</si>
  <si>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</si>
  <si>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</si>
  <si>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</si>
  <si>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</si>
  <si>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</si>
  <si>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</si>
  <si>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</si>
  <si>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</si>
  <si>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</si>
  <si>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</si>
  <si>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</si>
  <si>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</si>
  <si>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</si>
  <si>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</si>
  <si>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</si>
  <si>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</si>
  <si>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</si>
  <si>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</si>
  <si>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</si>
  <si>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</si>
  <si>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</si>
  <si>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</si>
  <si>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</si>
  <si>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</si>
  <si>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</si>
  <si>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</si>
  <si>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</si>
  <si>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</si>
  <si>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</si>
  <si>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</si>
  <si>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</si>
  <si>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</si>
  <si>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</si>
  <si>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</si>
  <si>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</si>
  <si>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</si>
  <si>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</si>
  <si>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</si>
  <si>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</si>
  <si>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</si>
  <si>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</si>
  <si>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</si>
  <si>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</si>
  <si>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</si>
  <si>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</si>
  <si>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</si>
  <si>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</si>
  <si>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</si>
  <si>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</si>
  <si>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</si>
  <si>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</si>
  <si>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</si>
  <si>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</si>
  <si>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</si>
  <si>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</si>
  <si>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</si>
  <si>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</si>
  <si>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</si>
  <si>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</si>
  <si>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</si>
  <si>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</si>
  <si>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</si>
  <si>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</si>
  <si>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</si>
  <si>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</si>
  <si>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</si>
  <si>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</si>
  <si>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</si>
  <si>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</si>
  <si>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</si>
  <si>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</si>
  <si>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</si>
  <si>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</si>
  <si>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</si>
  <si>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</si>
  <si>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</si>
  <si>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</si>
  <si>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</si>
  <si>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</si>
  <si>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</si>
  <si>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</si>
  <si>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</si>
  <si>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</si>
  <si>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</si>
  <si>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</si>
  <si>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</si>
  <si>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</si>
  <si>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</si>
  <si>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</si>
  <si>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</si>
  <si>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</si>
  <si>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</si>
  <si>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</si>
  <si>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</si>
  <si>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</si>
  <si>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</si>
  <si>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</si>
  <si>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</si>
  <si>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</si>
  <si>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</si>
  <si>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</si>
  <si>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</si>
  <si>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</si>
  <si>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</si>
  <si>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</si>
  <si>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</si>
  <si>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</si>
  <si>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</si>
  <si>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</si>
  <si>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</si>
  <si>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</si>
  <si>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</si>
  <si>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</si>
  <si>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</si>
  <si>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</si>
  <si>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</si>
  <si>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</si>
  <si>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</si>
  <si>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</si>
  <si>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</si>
  <si>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</si>
  <si>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</si>
  <si>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</si>
  <si>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</si>
  <si>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</si>
  <si>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</si>
  <si>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</si>
  <si>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</si>
  <si>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</si>
  <si>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</si>
  <si>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</si>
  <si>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</si>
  <si>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</si>
  <si>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</si>
  <si>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</si>
  <si>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</si>
  <si>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</si>
  <si>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</si>
  <si>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</si>
  <si>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</si>
  <si>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</si>
  <si>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</si>
  <si>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</si>
  <si>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</si>
  <si>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</si>
  <si>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</si>
  <si>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</si>
  <si>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</si>
  <si>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</si>
  <si>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</si>
  <si>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</si>
  <si>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</si>
  <si>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</si>
  <si>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</si>
  <si>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</si>
  <si>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</si>
  <si>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</si>
  <si>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</si>
  <si>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</si>
  <si>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</si>
  <si>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</si>
  <si>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</si>
  <si>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</si>
  <si>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</si>
  <si>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</si>
  <si>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</si>
  <si>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</si>
  <si>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</si>
  <si>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</si>
  <si>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</si>
  <si>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</si>
  <si>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</si>
  <si>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</si>
  <si>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</si>
  <si>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</si>
  <si>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</si>
  <si>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</si>
  <si>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</si>
  <si>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</si>
  <si>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</si>
  <si>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</si>
  <si>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</si>
  <si>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</si>
  <si>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</si>
  <si>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</si>
  <si>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</si>
  <si>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</si>
  <si>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</si>
  <si>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</si>
  <si>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</si>
  <si>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</si>
  <si>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</si>
  <si>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</si>
  <si>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</si>
  <si>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</si>
  <si>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</si>
  <si>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</si>
  <si>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</si>
  <si>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</si>
  <si>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</si>
  <si>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</si>
  <si>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</si>
  <si>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</si>
  <si>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</si>
  <si>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</si>
  <si>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</si>
  <si>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</si>
  <si>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</si>
  <si>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</si>
  <si>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</si>
  <si>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</si>
  <si>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</si>
  <si>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</si>
  <si>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</si>
  <si>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</si>
  <si>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</si>
  <si>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</si>
  <si>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</si>
  <si>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</si>
  <si>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</si>
  <si>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</si>
  <si>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</si>
  <si>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</si>
  <si>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</si>
  <si>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</si>
  <si>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</si>
  <si>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</si>
  <si>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</si>
  <si>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</si>
  <si>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</si>
  <si>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</si>
  <si>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</si>
  <si>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</si>
  <si>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</si>
  <si>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</si>
  <si>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</si>
  <si>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</si>
  <si>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</si>
  <si>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</si>
  <si>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</si>
  <si>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</si>
  <si>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</si>
  <si>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</si>
  <si>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</si>
  <si>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</si>
  <si>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</si>
  <si>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</si>
  <si>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</si>
  <si>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</si>
  <si>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</si>
  <si>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</si>
  <si>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</si>
  <si>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</si>
  <si>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</si>
  <si>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</si>
  <si>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</si>
  <si>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</si>
  <si>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</si>
  <si>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</si>
  <si>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</si>
  <si>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</si>
  <si>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</si>
  <si>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</si>
  <si>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</si>
  <si>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</si>
  <si>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</si>
  <si>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</si>
  <si>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</si>
  <si>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</si>
  <si>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</si>
  <si>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</si>
  <si>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</si>
  <si>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</si>
  <si>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</si>
  <si>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</si>
  <si>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</si>
  <si>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</si>
  <si>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</si>
  <si>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</si>
  <si>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</si>
  <si>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</si>
  <si>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</si>
  <si>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</si>
  <si>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</si>
  <si>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</si>
  <si>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</si>
  <si>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</si>
  <si>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</si>
  <si>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</si>
  <si>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</si>
  <si>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</si>
  <si>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</si>
  <si>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</si>
  <si>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</si>
  <si>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</si>
  <si>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</si>
  <si>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</si>
  <si>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</si>
  <si>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</si>
  <si>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</si>
  <si>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</si>
  <si>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</si>
  <si>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</si>
  <si>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</si>
  <si>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</si>
  <si>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</si>
  <si>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</si>
  <si>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</si>
  <si>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</si>
  <si>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</si>
  <si>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</si>
  <si>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</si>
  <si>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</si>
  <si>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</si>
  <si>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</si>
  <si>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</si>
  <si>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</si>
  <si>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</si>
  <si>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</si>
  <si>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</si>
  <si>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</si>
  <si>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</si>
  <si>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</si>
  <si>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</si>
  <si>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</si>
  <si>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</si>
  <si>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</si>
  <si>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</si>
  <si>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</si>
  <si>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</si>
  <si>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</si>
  <si>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</si>
  <si>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</si>
  <si>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</si>
  <si>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</si>
  <si>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</si>
  <si>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</si>
  <si>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</si>
  <si>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</si>
  <si>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</si>
  <si>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</si>
  <si>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</si>
  <si>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</si>
  <si>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</si>
  <si>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</si>
  <si>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</si>
  <si>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</si>
  <si>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</si>
  <si>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</si>
  <si>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</si>
  <si>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</si>
  <si>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</si>
  <si>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</si>
  <si>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</si>
  <si>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</si>
  <si>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</si>
  <si>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</si>
  <si>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</si>
  <si>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</si>
  <si>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</si>
  <si>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</si>
  <si>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</si>
  <si>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</si>
  <si>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</si>
  <si>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</si>
  <si>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</si>
  <si>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</si>
  <si>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</si>
  <si>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</si>
  <si>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</si>
  <si>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</si>
  <si>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</si>
  <si>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</si>
  <si>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</si>
  <si>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</si>
  <si>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</si>
  <si>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</si>
  <si>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</si>
  <si>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</si>
  <si>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</si>
  <si>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</si>
  <si>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</si>
  <si>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</si>
  <si>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</si>
  <si>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</si>
  <si>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</si>
  <si>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</si>
  <si>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</si>
  <si>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</si>
  <si>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</si>
  <si>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</si>
  <si>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</si>
  <si>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</si>
  <si>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</si>
  <si>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</si>
  <si>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</si>
  <si>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</si>
  <si>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</si>
  <si>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</si>
  <si>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</si>
  <si>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</si>
  <si>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</si>
  <si>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</si>
  <si>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</si>
  <si>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</si>
  <si>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</si>
  <si>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</si>
  <si>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</si>
  <si>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</si>
  <si>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</si>
  <si>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</si>
  <si>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</si>
  <si>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</si>
  <si>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</si>
  <si>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</si>
  <si>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</si>
  <si>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</si>
  <si>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</si>
  <si>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</si>
  <si>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</si>
  <si>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</si>
  <si>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</si>
  <si>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</si>
  <si>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</si>
  <si>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</si>
  <si>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</si>
  <si>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</si>
  <si>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</si>
  <si>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</si>
  <si>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</si>
  <si>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</si>
  <si>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</si>
  <si>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</si>
  <si>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</si>
  <si>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</si>
  <si>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</si>
  <si>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</si>
  <si>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</si>
  <si>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</si>
  <si>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</si>
  <si>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</si>
  <si>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</si>
  <si>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</si>
  <si>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</si>
  <si>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</si>
  <si>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</si>
  <si>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</si>
  <si>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</si>
  <si>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</si>
  <si>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</si>
  <si>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</si>
  <si>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</si>
  <si>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</si>
  <si>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</si>
  <si>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</si>
  <si>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</si>
  <si>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</si>
  <si>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</si>
  <si>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</si>
  <si>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</si>
  <si>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</si>
  <si>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</si>
  <si>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</si>
  <si>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</si>
  <si>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</si>
  <si>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</si>
  <si>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</si>
  <si>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</si>
  <si>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</si>
  <si>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</si>
  <si>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</si>
  <si>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</si>
  <si>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</si>
  <si>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</si>
  <si>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</si>
  <si>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</si>
  <si>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</si>
  <si>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</si>
  <si>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</si>
  <si>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</si>
  <si>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</si>
  <si>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</si>
  <si>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</si>
  <si>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</si>
  <si>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</si>
  <si>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</si>
  <si>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</si>
  <si>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</si>
  <si>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</si>
  <si>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</si>
  <si>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</si>
  <si>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</si>
  <si>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</si>
  <si>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</si>
  <si>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</si>
  <si>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</si>
  <si>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</si>
  <si>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</si>
  <si>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</si>
  <si>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</si>
  <si>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</si>
  <si>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</si>
  <si>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</si>
  <si>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</si>
  <si>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</si>
  <si>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</si>
  <si>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</si>
  <si>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</si>
  <si>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</si>
  <si>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</si>
  <si>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</si>
  <si>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</si>
  <si>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</si>
  <si>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</si>
  <si>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</si>
  <si>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</si>
  <si>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</si>
  <si>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</si>
  <si>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</si>
  <si>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</si>
  <si>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</si>
  <si>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</si>
  <si>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</si>
  <si>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</si>
  <si>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</si>
  <si>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</si>
  <si>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</si>
  <si>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</si>
  <si>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</si>
  <si>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</si>
  <si>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</si>
  <si>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</si>
  <si>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</si>
  <si>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</si>
  <si>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</si>
  <si>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</si>
  <si>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</si>
  <si>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</si>
  <si>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</si>
  <si>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</si>
  <si>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</si>
  <si>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</si>
  <si>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</si>
  <si>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</si>
  <si>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</si>
  <si>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</si>
  <si>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</si>
  <si>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</si>
  <si>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</si>
  <si>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</si>
  <si>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</si>
  <si>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</si>
  <si>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</si>
  <si>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</si>
  <si>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</si>
  <si>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</si>
  <si>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</si>
  <si>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</si>
  <si>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</si>
  <si>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</si>
  <si>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</si>
  <si>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</si>
  <si>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</si>
  <si>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</si>
  <si>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</si>
  <si>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</si>
  <si>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</si>
  <si>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</si>
  <si>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</si>
  <si>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</si>
  <si>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</si>
  <si>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</si>
  <si>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</si>
  <si>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</si>
  <si>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</si>
  <si>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</si>
  <si>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</si>
  <si>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</si>
  <si>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</si>
  <si>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</si>
  <si>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</si>
  <si>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</si>
  <si>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</si>
  <si>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</si>
  <si>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</si>
  <si>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</si>
  <si>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</si>
  <si>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</si>
  <si>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</si>
  <si>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</si>
  <si>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</si>
  <si>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</si>
  <si>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</si>
  <si>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</si>
  <si>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</si>
  <si>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</si>
  <si>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</si>
  <si>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</si>
  <si>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</si>
  <si>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</si>
  <si>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</si>
  <si>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</si>
  <si>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</si>
  <si>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</si>
  <si>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</si>
  <si>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</si>
  <si>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</si>
  <si>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</si>
  <si>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</si>
  <si>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</si>
  <si>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</si>
  <si>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</si>
  <si>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</si>
  <si>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</si>
  <si>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</si>
  <si>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</si>
  <si>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</si>
  <si>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</si>
  <si>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</si>
  <si>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</si>
  <si>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</si>
  <si>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</si>
  <si>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</si>
  <si>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</si>
  <si>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</si>
  <si>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</si>
  <si>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</si>
  <si>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</si>
  <si>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</si>
  <si>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</si>
  <si>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</si>
  <si>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</si>
  <si>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</si>
  <si>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</si>
  <si>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</si>
  <si>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</si>
  <si>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</si>
  <si>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</si>
  <si>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</si>
  <si>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</si>
  <si>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</si>
  <si>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</si>
  <si>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</si>
  <si>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</si>
  <si>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</si>
  <si>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</si>
  <si>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</si>
  <si>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</si>
  <si>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</si>
  <si>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</si>
  <si>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</si>
  <si>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</si>
  <si>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</si>
  <si>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</si>
  <si>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</si>
  <si>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</si>
  <si>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</si>
  <si>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</si>
  <si>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</si>
  <si>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</si>
  <si>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</si>
  <si>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</si>
  <si>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</si>
  <si>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</si>
  <si>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</si>
  <si>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</si>
  <si>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</si>
  <si>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</si>
  <si>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</si>
  <si>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</si>
  <si>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</si>
  <si>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</si>
  <si>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</si>
  <si>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</si>
  <si>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</si>
  <si>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</si>
  <si>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</si>
  <si>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</si>
  <si>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</si>
  <si>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</si>
  <si>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</si>
  <si>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</si>
  <si>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</si>
  <si>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</si>
  <si>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</si>
  <si>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</si>
  <si>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</si>
  <si>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</si>
  <si>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</si>
  <si>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</si>
  <si>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</si>
  <si>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</si>
  <si>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</si>
  <si>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</si>
  <si>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</si>
  <si>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</si>
  <si>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</si>
  <si>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</si>
  <si>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</si>
  <si>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</si>
  <si>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</si>
  <si>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</si>
  <si>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</si>
  <si>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</si>
  <si>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</si>
  <si>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</si>
  <si>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</si>
  <si>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</si>
  <si>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</si>
  <si>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</si>
  <si>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</si>
  <si>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</si>
  <si>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</si>
  <si>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</si>
  <si>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</si>
  <si>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</si>
  <si>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</si>
  <si>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</si>
  <si>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</si>
  <si>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</si>
  <si>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</si>
  <si>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</si>
  <si>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</si>
  <si>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</si>
  <si>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</si>
  <si>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</si>
  <si>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</si>
  <si>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</si>
  <si>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</si>
  <si>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</si>
  <si>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</si>
  <si>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</si>
  <si>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</si>
  <si>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</si>
  <si>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</si>
  <si>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</si>
  <si>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</si>
  <si>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</si>
  <si>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</si>
  <si>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</si>
  <si>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</si>
  <si>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</si>
  <si>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</si>
  <si>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</si>
  <si>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</si>
  <si>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</si>
  <si>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</si>
  <si>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</si>
  <si>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</si>
  <si>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</si>
  <si>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</si>
  <si>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</si>
  <si>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</si>
  <si>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</si>
  <si>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</si>
  <si>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</si>
  <si>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</si>
  <si>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</si>
  <si>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</si>
  <si>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</si>
  <si>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</si>
  <si>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</si>
  <si>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</si>
  <si>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</si>
  <si>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</si>
  <si>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</si>
  <si>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</si>
  <si>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</si>
  <si>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</si>
  <si>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</si>
  <si>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</si>
  <si>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</si>
  <si>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</si>
  <si>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</si>
  <si>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</si>
  <si>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</si>
  <si>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</si>
  <si>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</si>
  <si>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</si>
  <si>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</si>
  <si>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</si>
  <si>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</si>
  <si>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</si>
  <si>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</si>
  <si>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</si>
  <si>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</si>
  <si>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</si>
  <si>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</si>
  <si>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</si>
  <si>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</si>
  <si>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</si>
  <si>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</si>
  <si>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</si>
  <si>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</si>
  <si>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</si>
  <si>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</si>
  <si>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</si>
  <si>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</si>
  <si>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</si>
  <si>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</si>
  <si>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</si>
  <si>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</si>
  <si>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</si>
  <si>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</si>
  <si>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</si>
  <si>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</si>
  <si>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</si>
  <si>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</si>
  <si>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</si>
  <si>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</si>
  <si>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</si>
  <si>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</si>
  <si>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</si>
  <si>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</si>
  <si>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</si>
  <si>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</si>
  <si>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</si>
  <si>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</si>
  <si>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</si>
  <si>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</si>
  <si>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</si>
  <si>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</si>
  <si>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</si>
  <si>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</si>
  <si>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</si>
  <si>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</si>
  <si>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</si>
  <si>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</si>
  <si>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</si>
  <si>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</si>
  <si>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</si>
  <si>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</si>
  <si>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</si>
  <si>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</si>
  <si>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</si>
  <si>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</si>
  <si>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</si>
  <si>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</si>
  <si>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</si>
  <si>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</si>
  <si>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</si>
  <si>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</si>
  <si>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</si>
  <si>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</si>
  <si>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</si>
  <si>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</si>
  <si>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</si>
  <si>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</si>
  <si>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</si>
  <si>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</si>
  <si>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</si>
  <si>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</si>
  <si>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</si>
  <si>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</si>
  <si>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</si>
  <si>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</si>
  <si>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</si>
  <si>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</si>
  <si>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</si>
  <si>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</si>
  <si>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</si>
  <si>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</si>
  <si>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</si>
  <si>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</si>
  <si>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</si>
  <si>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</si>
  <si>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</si>
  <si>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</si>
  <si>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</si>
  <si>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</si>
  <si>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</si>
  <si>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</si>
  <si>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</si>
  <si>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</si>
  <si>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</si>
  <si>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</si>
  <si>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</si>
  <si>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</si>
  <si>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</si>
  <si>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</si>
  <si>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</si>
  <si>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</si>
  <si>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</si>
  <si>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</si>
  <si>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</si>
  <si>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</si>
  <si>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</si>
  <si>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</si>
  <si>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</si>
  <si>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</si>
  <si>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</si>
  <si>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</si>
  <si>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</si>
  <si>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</si>
  <si>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</si>
  <si>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</si>
  <si>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</si>
  <si>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</si>
  <si>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</si>
  <si>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</si>
  <si>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</si>
  <si>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</si>
  <si>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</si>
  <si>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</si>
  <si>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</si>
  <si>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</si>
  <si>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</si>
  <si>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</si>
  <si>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</si>
  <si>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</si>
  <si>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</si>
  <si>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</si>
  <si>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</si>
  <si>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</si>
  <si>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</si>
  <si>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</si>
  <si>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</si>
  <si>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</si>
  <si>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</si>
  <si>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</si>
  <si>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</si>
  <si>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</si>
  <si>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</si>
  <si>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</si>
  <si>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</si>
  <si>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</si>
  <si>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</si>
  <si>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</si>
  <si>
    <t>耕地开垦费</t>
  </si>
  <si>
    <t>开发程度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</si>
</sst>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178" fontId="221" fillId="5" borderId="5" xfId="2" applyNumberFormat="1" applyFont="1" applyFill="1" applyBorder="1" applyAlignment="1" applyProtection="1">
      <alignment horizontal="center" vertical="center"/>
    </xf>
    <xf numFmtId="178" fontId="95" fillId="5" borderId="5" xfId="2" applyNumberFormat="1" applyFont="1" applyFill="1" applyBorder="1" applyAlignment="1" applyProtection="1">
      <alignment horizontal="center" vertical="center"/>
    </xf>
    <xf numFmtId="178" fontId="274" fillId="6" borderId="5" xfId="2" applyNumberFormat="1" applyFont="1" applyFill="1" applyBorder="1" applyAlignment="1" applyProtection="1">
      <alignment horizontal="center" vertical="center"/>
    </xf>
    <xf numFmtId="181" fontId="95" fillId="0" borderId="2" xfId="2" applyNumberFormat="1" applyFont="1" applyFill="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NumberFormat="1"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e">
        <f>'预评函-1'!A6</f>
        <v>#DIV/0!</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2022年9月23日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e">
        <f>'预评函-1'!A20</f>
        <v>#DIV/0!</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估价期日：2022年9月23日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t="e">
        <f>'预评函-2'!N5</f>
        <v>#DIV/0!</v>
      </c>
    </row>
    <row r="44" spans="1:2">
      <c r="A44" s="2833" t="s">
        <v>2740</v>
      </c>
      <c r="B44" s="2834" t="str">
        <f>'预评函-2'!O3</f>
        <v>规划建筑面积/㎡</v>
      </c>
    </row>
    <row r="45" spans="1:2">
      <c r="A45" s="2833" t="s">
        <v>2722</v>
      </c>
      <c r="B45" s="2834">
        <f>'预评函-2'!O5</f>
        <v>0</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1" t="str">
        <f>IF(B10="北京市","北京市",C10)&amp;F10&amp;B16&amp;"国有建设用地使用权"&amp;B9&amp;"预评估"</f>
        <v>出让国有建设用地使用权预评估</v>
      </c>
      <c r="C1" s="3272"/>
      <c r="D1" s="3272"/>
      <c r="E1" s="3272"/>
      <c r="F1" s="3272"/>
      <c r="G1" s="3272"/>
      <c r="H1" s="3272"/>
      <c r="I1" s="3273"/>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44827</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77"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78"/>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4"/>
      <c r="C12" s="3275"/>
      <c r="D12" s="3276"/>
      <c r="E12" s="1683" t="s">
        <v>2061</v>
      </c>
      <c r="F12" s="3292" t="s">
        <v>2890</v>
      </c>
      <c r="G12" s="3293"/>
      <c r="H12" s="3293"/>
      <c r="I12" s="3294"/>
      <c r="J12" s="1678"/>
      <c r="K12" s="1758"/>
      <c r="L12" s="1707"/>
      <c r="M12" s="1707"/>
      <c r="N12" s="1678"/>
      <c r="O12" s="1679"/>
      <c r="P12" s="1678"/>
      <c r="Q12" s="1678"/>
      <c r="R12" s="1678"/>
      <c r="S12" s="1678"/>
      <c r="T12" s="1678"/>
      <c r="U12" s="1678"/>
    </row>
    <row r="13" spans="1:21">
      <c r="A13" s="1671" t="s">
        <v>2059</v>
      </c>
      <c r="B13" s="3274"/>
      <c r="C13" s="3275"/>
      <c r="D13" s="3276"/>
      <c r="E13" s="1683" t="s">
        <v>2061</v>
      </c>
      <c r="F13" s="3292" t="s">
        <v>2891</v>
      </c>
      <c r="G13" s="3293"/>
      <c r="H13" s="3293"/>
      <c r="I13" s="3294"/>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22.92</v>
      </c>
      <c r="J19" s="1678"/>
      <c r="K19" s="1758"/>
      <c r="L19" s="1707"/>
      <c r="M19" s="1707"/>
      <c r="N19" s="1678"/>
      <c r="O19" s="1679"/>
      <c r="P19" s="1678"/>
      <c r="Q19" s="1678"/>
      <c r="R19" s="1678"/>
      <c r="S19" s="1678"/>
      <c r="T19" s="1678"/>
      <c r="U19" s="1678"/>
    </row>
    <row r="20" spans="1:21">
      <c r="A20" s="1770"/>
      <c r="B20" s="1771"/>
      <c r="C20" s="1772" t="s">
        <v>2060</v>
      </c>
      <c r="D20" s="3289"/>
      <c r="E20" s="3290"/>
      <c r="F20" s="3290"/>
      <c r="G20" s="3290"/>
      <c r="H20" s="3290"/>
      <c r="I20" s="3291"/>
      <c r="J20" s="1678"/>
      <c r="K20" s="1758"/>
      <c r="L20" s="1707"/>
      <c r="M20" s="1707"/>
      <c r="N20" s="1678"/>
      <c r="O20" s="1679"/>
      <c r="P20" s="1678"/>
      <c r="Q20" s="1678"/>
      <c r="R20" s="1678"/>
      <c r="S20" s="1678"/>
      <c r="T20" s="1678"/>
      <c r="U20" s="1678"/>
    </row>
    <row r="21" spans="1:21">
      <c r="A21" s="1747" t="s">
        <v>1958</v>
      </c>
      <c r="B21" s="1748" t="s">
        <v>1959</v>
      </c>
      <c r="C21" s="1743">
        <f>'数据-汇总表'!E3</f>
        <v>0</v>
      </c>
      <c r="D21" s="1744" t="s">
        <v>1960</v>
      </c>
      <c r="E21" s="3279" t="s">
        <v>1998</v>
      </c>
      <c r="F21" s="3280"/>
      <c r="G21" s="3280"/>
      <c r="H21" s="3280"/>
      <c r="I21" s="3281"/>
      <c r="J21" s="1678"/>
      <c r="K21" s="1758"/>
      <c r="L21" s="1707"/>
      <c r="M21" s="1707"/>
      <c r="N21" s="1678"/>
      <c r="O21" s="1679"/>
      <c r="P21" s="1678"/>
      <c r="Q21" s="1678"/>
      <c r="R21" s="1678"/>
      <c r="S21" s="1678"/>
      <c r="T21" s="1678"/>
      <c r="U21" s="1678"/>
    </row>
    <row r="22" spans="1:21">
      <c r="A22" s="3096" t="s">
        <v>952</v>
      </c>
      <c r="B22" s="1645" t="s">
        <v>1961</v>
      </c>
      <c r="C22" s="1670" t="e">
        <f>'数据-汇总表'!D3</f>
        <v>#DIV/0!</v>
      </c>
      <c r="D22" s="1671" t="s">
        <v>1960</v>
      </c>
      <c r="E22" s="3279" t="s">
        <v>2892</v>
      </c>
      <c r="F22" s="3280"/>
      <c r="G22" s="3280"/>
      <c r="H22" s="3280"/>
      <c r="I22" s="3281"/>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2" t="s">
        <v>1966</v>
      </c>
      <c r="C24" s="3283"/>
      <c r="D24" s="3284" t="s">
        <v>1967</v>
      </c>
      <c r="E24" s="3285"/>
      <c r="F24" s="1692" t="s">
        <v>1968</v>
      </c>
      <c r="G24" s="1678"/>
      <c r="H24" s="1678"/>
      <c r="I24" s="1691"/>
      <c r="J24" s="1678"/>
      <c r="K24" s="3270"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97" t="s">
        <v>2001</v>
      </c>
      <c r="B31" s="1748" t="s">
        <v>2002</v>
      </c>
      <c r="C31" s="3295"/>
      <c r="D31" s="3296"/>
      <c r="E31" s="1678"/>
      <c r="F31" s="1678"/>
      <c r="G31" s="1678"/>
      <c r="H31" s="1678"/>
      <c r="I31" s="1691"/>
      <c r="J31" s="1678"/>
      <c r="K31" s="2422"/>
      <c r="L31" s="1678"/>
      <c r="M31" s="1678"/>
      <c r="N31" s="1678"/>
      <c r="O31" s="1678"/>
      <c r="P31" s="1678"/>
      <c r="Q31" s="1678"/>
      <c r="R31" s="1678"/>
      <c r="S31" s="1678"/>
      <c r="T31" s="1678"/>
      <c r="U31" s="1678"/>
    </row>
    <row r="32" spans="1:21">
      <c r="A32" s="3297"/>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97"/>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8"/>
      <c r="B34" s="1645" t="s">
        <v>2005</v>
      </c>
      <c r="C34" s="3299"/>
      <c r="D34" s="3300"/>
      <c r="E34" s="1678"/>
      <c r="F34" s="1678"/>
      <c r="G34" s="1678"/>
      <c r="H34" s="1678"/>
      <c r="I34" s="1691"/>
      <c r="J34" s="1678"/>
      <c r="K34" s="2422"/>
      <c r="L34" s="1678"/>
      <c r="M34" s="1678"/>
      <c r="N34" s="1678"/>
      <c r="O34" s="1678"/>
      <c r="P34" s="1678"/>
      <c r="Q34" s="1678"/>
      <c r="R34" s="1678"/>
      <c r="S34" s="1678"/>
      <c r="T34" s="1678"/>
      <c r="U34" s="1678"/>
    </row>
    <row r="35" spans="1:21">
      <c r="A35" s="3301" t="s">
        <v>847</v>
      </c>
      <c r="B35" s="1706"/>
      <c r="C35" s="1760" t="str">
        <f>IF(B35="场地平整","——","具体情况：")</f>
        <v>具体情况：</v>
      </c>
      <c r="D35" s="3303"/>
      <c r="E35" s="3304"/>
      <c r="F35" s="3304"/>
      <c r="G35" s="3304"/>
      <c r="H35" s="3304"/>
      <c r="I35" s="3305"/>
      <c r="J35" s="1678"/>
      <c r="K35" s="1759"/>
      <c r="L35" s="1707"/>
      <c r="M35" s="1707"/>
      <c r="N35" s="1678"/>
      <c r="O35" s="1679"/>
      <c r="P35" s="1678"/>
      <c r="Q35" s="1678"/>
      <c r="R35" s="1678"/>
      <c r="S35" s="1678"/>
      <c r="T35" s="1678"/>
      <c r="U35" s="1678"/>
    </row>
    <row r="36" spans="1:21">
      <c r="A36" s="3297"/>
      <c r="B36" s="3306" t="s">
        <v>2054</v>
      </c>
      <c r="C36" s="3307"/>
      <c r="D36" s="1776"/>
      <c r="E36" s="3308"/>
      <c r="F36" s="3308"/>
      <c r="G36" s="1671" t="str">
        <f>IF(B35="场地未平整","估价结果处理","")</f>
        <v/>
      </c>
      <c r="H36" s="3309"/>
      <c r="I36" s="3309"/>
      <c r="J36" s="1678"/>
      <c r="K36" s="1759"/>
      <c r="L36" s="1707"/>
      <c r="M36" s="1707"/>
      <c r="N36" s="1678"/>
      <c r="O36" s="1679"/>
      <c r="P36" s="1678"/>
      <c r="Q36" s="1678"/>
      <c r="R36" s="1678"/>
      <c r="S36" s="1678"/>
      <c r="T36" s="1678"/>
      <c r="U36" s="1678"/>
    </row>
    <row r="37" spans="1:21" ht="28.5">
      <c r="A37" s="3297"/>
      <c r="B37" s="328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97"/>
      <c r="B38" s="3287"/>
      <c r="C38" s="1653" t="s">
        <v>850</v>
      </c>
      <c r="D38" s="1775">
        <f>ROUNDDOWN(MIN(('数据-取费表'!$B$2-D37)/365,D34),1)</f>
        <v>122.8</v>
      </c>
      <c r="E38" s="1711" t="s">
        <v>851</v>
      </c>
      <c r="F38" s="1678"/>
      <c r="G38" s="1678"/>
      <c r="H38" s="1678"/>
      <c r="I38" s="1691"/>
      <c r="J38" s="1678"/>
      <c r="K38" s="1759"/>
      <c r="L38" s="1678"/>
      <c r="M38" s="1678"/>
      <c r="N38" s="1678"/>
      <c r="O38" s="1678"/>
      <c r="P38" s="1678"/>
      <c r="Q38" s="1678"/>
      <c r="R38" s="1678"/>
      <c r="S38" s="1678"/>
      <c r="T38" s="1678"/>
      <c r="U38" s="1678"/>
    </row>
    <row r="39" spans="1:21">
      <c r="A39" s="3298"/>
      <c r="B39" s="328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9" t="s">
        <v>1985</v>
      </c>
      <c r="T40" s="1715" t="str">
        <f>NUMBERSTRING(7-K40,1)&amp;"通"</f>
        <v>七通</v>
      </c>
      <c r="U40" s="1678"/>
    </row>
    <row r="41" spans="1:21">
      <c r="A41" s="1647"/>
      <c r="B41" s="3302" t="s">
        <v>1721</v>
      </c>
      <c r="C41" s="3302"/>
      <c r="D41" s="3302"/>
      <c r="E41" s="330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2000.75</v>
      </c>
      <c r="B3" s="22">
        <f>IF(C3="否",G5-AT5,G5)</f>
        <v>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t="e">
        <f t="shared" ref="E13:E20" si="6">IF($C$3="是",ROUND($A$3*G13/$B$3,2),ROUND($A$3*(G13-AT13)/$B$3,2))</f>
        <v>#DIV/0!</v>
      </c>
      <c r="F13" s="81"/>
      <c r="G13" s="82">
        <f t="shared" ref="G13:G20" si="7">H13+AC13+AT13</f>
        <v>0</v>
      </c>
      <c r="H13" s="33">
        <f t="shared" ref="H13:H20" si="8">SUMIF(I$12:AB$12,"总值",I13:AB13)</f>
        <v>0</v>
      </c>
      <c r="I13" s="2969"/>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t="e">
        <f t="shared" si="6"/>
        <v>#DIV/0!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t="e">
        <f t="shared" si="6"/>
        <v>#DIV/0!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t="e">
        <f t="shared" si="6"/>
        <v>#DIV/0!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t="e">
        <f t="shared" si="6"/>
        <v>#DIV/0!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t="e">
        <f t="shared" si="6"/>
        <v>#DIV/0!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t="e">
        <f t="shared" si="6"/>
        <v>#DIV/0!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t="e">
        <f t="shared" si="6"/>
        <v>#DIV/0!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t="e">
        <f t="shared" ref="E21:E112" si="33">IF($C$3="是",ROUND($A$3*G21/$B$3,2),ROUND($A$3*(G21-AT21)/$B$3,2))</f>
        <v>#DIV/0!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t="e">
        <f t="shared" si="33"/>
        <v>#DIV/0!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t="e">
        <f t="shared" si="33"/>
        <v>#DIV/0!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t="e">
        <f t="shared" si="33"/>
        <v>#DIV/0!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t="e">
        <f t="shared" si="33"/>
        <v>#DIV/0!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t="e">
        <f t="shared" si="33"/>
        <v>#DIV/0!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t="e">
        <f t="shared" si="33"/>
        <v>#DIV/0!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t="e">
        <f t="shared" si="33"/>
        <v>#DIV/0!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t="e">
        <f t="shared" si="33"/>
        <v>#DIV/0!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t="e">
        <f t="shared" si="33"/>
        <v>#DIV/0!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t="e">
        <f t="shared" si="33"/>
        <v>#DIV/0!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t="e">
        <f t="shared" si="33"/>
        <v>#DIV/0!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t="e">
        <f t="shared" si="33"/>
        <v>#DIV/0!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t="e">
        <f t="shared" si="33"/>
        <v>#DIV/0!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t="e">
        <f t="shared" si="33"/>
        <v>#DIV/0!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t="e">
        <f t="shared" si="33"/>
        <v>#DIV/0!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t="e">
        <f t="shared" si="33"/>
        <v>#DIV/0!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t="e">
        <f t="shared" si="33"/>
        <v>#DIV/0!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t="e">
        <f t="shared" si="33"/>
        <v>#DIV/0!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t="e">
        <f t="shared" si="33"/>
        <v>#DIV/0!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t="e">
        <f t="shared" si="33"/>
        <v>#DIV/0!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t="e">
        <f t="shared" si="33"/>
        <v>#DIV/0!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t="e">
        <f t="shared" si="33"/>
        <v>#DIV/0!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t="e">
        <f t="shared" si="33"/>
        <v>#DIV/0!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t="e">
        <f t="shared" si="33"/>
        <v>#DIV/0!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t="e">
        <f t="shared" si="33"/>
        <v>#DIV/0!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t="e">
        <f t="shared" si="33"/>
        <v>#DIV/0!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t="e">
        <f t="shared" si="33"/>
        <v>#DIV/0!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t="e">
        <f t="shared" si="33"/>
        <v>#DIV/0!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t="e">
        <f t="shared" si="33"/>
        <v>#DIV/0!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t="e">
        <f t="shared" si="33"/>
        <v>#DIV/0!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t="e">
        <f t="shared" si="33"/>
        <v>#DIV/0!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t="e">
        <f t="shared" si="33"/>
        <v>#DIV/0!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t="e">
        <f t="shared" si="33"/>
        <v>#DIV/0!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t="e">
        <f t="shared" si="33"/>
        <v>#DIV/0!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t="e">
        <f t="shared" ref="E113:E144" si="87">IF($C$3="是",ROUND($A$3*G113/$B$3,2),ROUND($A$3*(G113-AT113)/$B$3,2))</f>
        <v>#DIV/0!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t="e">
        <f t="shared" si="87"/>
        <v>#DIV/0!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t="e">
        <f t="shared" si="87"/>
        <v>#DIV/0!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t="e">
        <f t="shared" si="87"/>
        <v>#DIV/0!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t="e">
        <f t="shared" si="87"/>
        <v>#DIV/0!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t="e">
        <f t="shared" si="87"/>
        <v>#DIV/0!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t="e">
        <f t="shared" si="87"/>
        <v>#DIV/0!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t="e">
        <f t="shared" si="87"/>
        <v>#DIV/0!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t="e">
        <f t="shared" si="87"/>
        <v>#DIV/0!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t="e">
        <f t="shared" si="87"/>
        <v>#DIV/0!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t="e">
        <f t="shared" si="87"/>
        <v>#DIV/0!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t="e">
        <f t="shared" si="87"/>
        <v>#DIV/0!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t="e">
        <f t="shared" si="87"/>
        <v>#DIV/0!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t="e">
        <f t="shared" si="87"/>
        <v>#DIV/0!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t="e">
        <f t="shared" si="87"/>
        <v>#DIV/0!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t="e">
        <f t="shared" si="87"/>
        <v>#DIV/0!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t="e">
        <f t="shared" si="87"/>
        <v>#DIV/0!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t="e">
        <f t="shared" si="87"/>
        <v>#DIV/0!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t="e">
        <f t="shared" si="87"/>
        <v>#DIV/0!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t="e">
        <f t="shared" si="87"/>
        <v>#DIV/0!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t="e">
        <f t="shared" si="87"/>
        <v>#DIV/0!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t="e">
        <f t="shared" si="87"/>
        <v>#DIV/0!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t="e">
        <f t="shared" si="87"/>
        <v>#DIV/0!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t="e">
        <f t="shared" si="87"/>
        <v>#DIV/0!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t="e">
        <f t="shared" si="87"/>
        <v>#DIV/0!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t="e">
        <f t="shared" si="87"/>
        <v>#DIV/0!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t="e">
        <f t="shared" si="87"/>
        <v>#DIV/0!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t="e">
        <f t="shared" si="87"/>
        <v>#DIV/0!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t="e">
        <f t="shared" si="87"/>
        <v>#DIV/0!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t="e">
        <f t="shared" si="87"/>
        <v>#DIV/0!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t="e">
        <f t="shared" si="87"/>
        <v>#DIV/0!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t="e">
        <f t="shared" si="87"/>
        <v>#DIV/0!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t="e">
        <f t="shared" ref="E145:E176" si="116">IF($C$3="是",ROUND($A$3*G145/$B$3,2),ROUND($A$3*(G145-AT145)/$B$3,2))</f>
        <v>#DIV/0!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t="e">
        <f t="shared" si="116"/>
        <v>#DIV/0!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t="e">
        <f t="shared" si="116"/>
        <v>#DIV/0!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t="e">
        <f t="shared" ref="E205:E296" si="149">IF($C$3="是",ROUND($A$3*G205/$B$3,2),ROUND($A$3*(G205-AT205)/$B$3,2))</f>
        <v>#DIV/0!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t="e">
        <f t="shared" si="149"/>
        <v>#DIV/0!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t="e">
        <f t="shared" si="149"/>
        <v>#DIV/0!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t="e">
        <f t="shared" si="149"/>
        <v>#DIV/0!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t="e">
        <f t="shared" si="149"/>
        <v>#DIV/0!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t="e">
        <f t="shared" si="149"/>
        <v>#DIV/0!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t="e">
        <f t="shared" si="149"/>
        <v>#DIV/0!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t="e">
        <f t="shared" si="149"/>
        <v>#DIV/0!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t="e">
        <f t="shared" si="149"/>
        <v>#DIV/0!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t="e">
        <f t="shared" si="149"/>
        <v>#DIV/0!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t="e">
        <f t="shared" si="149"/>
        <v>#DIV/0!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t="e">
        <f t="shared" si="149"/>
        <v>#DIV/0!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t="e">
        <f t="shared" si="149"/>
        <v>#DIV/0!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t="e">
        <f t="shared" si="149"/>
        <v>#DIV/0!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t="e">
        <f t="shared" si="149"/>
        <v>#DIV/0!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t="e">
        <f t="shared" si="149"/>
        <v>#DIV/0!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t="e">
        <f t="shared" si="149"/>
        <v>#DIV/0!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t="e">
        <f t="shared" si="149"/>
        <v>#DIV/0!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t="e">
        <f t="shared" si="149"/>
        <v>#DIV/0!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t="e">
        <f t="shared" si="149"/>
        <v>#DIV/0!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t="e">
        <f t="shared" si="149"/>
        <v>#DIV/0!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t="e">
        <f t="shared" si="149"/>
        <v>#DIV/0!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t="e">
        <f t="shared" si="149"/>
        <v>#DIV/0!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t="e">
        <f t="shared" si="149"/>
        <v>#DIV/0!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t="e">
        <f t="shared" si="149"/>
        <v>#DIV/0!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t="e">
        <f t="shared" si="149"/>
        <v>#DIV/0!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t="e">
        <f t="shared" si="149"/>
        <v>#DIV/0!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t="e">
        <f t="shared" si="149"/>
        <v>#DIV/0!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t="e">
        <f t="shared" si="149"/>
        <v>#DIV/0!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t="e">
        <f t="shared" si="149"/>
        <v>#DIV/0!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t="e">
        <f t="shared" si="149"/>
        <v>#DIV/0!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t="e">
        <f t="shared" si="149"/>
        <v>#DIV/0!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t="e">
        <f t="shared" si="149"/>
        <v>#DIV/0!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t="e">
        <f t="shared" si="149"/>
        <v>#DIV/0!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t="e">
        <f t="shared" si="149"/>
        <v>#DIV/0!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t="e">
        <f t="shared" ref="E297:E328" si="203">IF($C$3="是",ROUND($A$3*G297/$B$3,2),ROUND($A$3*(G297-AT297)/$B$3,2))</f>
        <v>#DIV/0!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t="e">
        <f t="shared" si="203"/>
        <v>#DIV/0!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t="e">
        <f t="shared" si="203"/>
        <v>#DIV/0!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t="e">
        <f t="shared" si="203"/>
        <v>#DIV/0!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t="e">
        <f t="shared" si="203"/>
        <v>#DIV/0!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t="e">
        <f t="shared" si="203"/>
        <v>#DIV/0!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t="e">
        <f t="shared" si="203"/>
        <v>#DIV/0!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t="e">
        <f t="shared" si="203"/>
        <v>#DIV/0!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t="e">
        <f t="shared" si="203"/>
        <v>#DIV/0!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t="e">
        <f t="shared" si="203"/>
        <v>#DIV/0!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t="e">
        <f t="shared" si="203"/>
        <v>#DIV/0!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t="e">
        <f t="shared" si="203"/>
        <v>#DIV/0!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t="e">
        <f t="shared" si="203"/>
        <v>#DIV/0!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t="e">
        <f t="shared" si="203"/>
        <v>#DIV/0!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t="e">
        <f t="shared" si="203"/>
        <v>#DIV/0!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t="e">
        <f t="shared" si="203"/>
        <v>#DIV/0!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t="e">
        <f t="shared" si="203"/>
        <v>#DIV/0!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t="e">
        <f t="shared" si="203"/>
        <v>#DIV/0!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t="e">
        <f t="shared" si="203"/>
        <v>#DIV/0!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t="e">
        <f t="shared" si="203"/>
        <v>#DIV/0!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t="e">
        <f t="shared" si="203"/>
        <v>#DIV/0!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t="e">
        <f t="shared" si="203"/>
        <v>#DIV/0!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t="e">
        <f t="shared" si="203"/>
        <v>#DIV/0!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t="e">
        <f t="shared" si="203"/>
        <v>#DIV/0!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t="e">
        <f t="shared" si="203"/>
        <v>#DIV/0!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t="e">
        <f t="shared" si="203"/>
        <v>#DIV/0!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t="e">
        <f t="shared" si="203"/>
        <v>#DIV/0!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t="e">
        <f t="shared" si="203"/>
        <v>#DIV/0!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t="e">
        <f t="shared" si="203"/>
        <v>#DIV/0!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t="e">
        <f t="shared" si="203"/>
        <v>#DIV/0!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t="e">
        <f t="shared" si="203"/>
        <v>#DIV/0!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t="e">
        <f t="shared" si="203"/>
        <v>#DIV/0!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t="e">
        <f t="shared" ref="E329:E360" si="232">IF($C$3="是",ROUND($A$3*G329/$B$3,2),ROUND($A$3*(G329-AT329)/$B$3,2))</f>
        <v>#DIV/0!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t="e">
        <f t="shared" si="232"/>
        <v>#DIV/0!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t="e">
        <f t="shared" si="232"/>
        <v>#DIV/0!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t="e">
        <f t="shared" ref="E389:E480" si="265">IF($C$3="是",ROUND($A$3*G389/$B$3,2),ROUND($A$3*(G389-AT389)/$B$3,2))</f>
        <v>#DIV/0!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t="e">
        <f t="shared" si="265"/>
        <v>#DIV/0!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t="e">
        <f t="shared" si="265"/>
        <v>#DIV/0!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t="e">
        <f t="shared" si="265"/>
        <v>#DIV/0!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t="e">
        <f t="shared" si="265"/>
        <v>#DIV/0!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t="e">
        <f t="shared" si="265"/>
        <v>#DIV/0!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t="e">
        <f t="shared" si="265"/>
        <v>#DIV/0!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t="e">
        <f t="shared" si="265"/>
        <v>#DIV/0!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t="e">
        <f t="shared" si="265"/>
        <v>#DIV/0!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t="e">
        <f t="shared" si="265"/>
        <v>#DIV/0!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t="e">
        <f t="shared" si="265"/>
        <v>#DIV/0!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t="e">
        <f t="shared" si="265"/>
        <v>#DIV/0!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t="e">
        <f t="shared" si="265"/>
        <v>#DIV/0!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t="e">
        <f t="shared" si="265"/>
        <v>#DIV/0!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t="e">
        <f t="shared" si="265"/>
        <v>#DIV/0!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t="e">
        <f t="shared" si="265"/>
        <v>#DIV/0!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t="e">
        <f t="shared" si="265"/>
        <v>#DIV/0!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t="e">
        <f t="shared" si="265"/>
        <v>#DIV/0!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t="e">
        <f t="shared" si="265"/>
        <v>#DIV/0!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t="e">
        <f t="shared" si="265"/>
        <v>#DIV/0!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t="e">
        <f t="shared" si="265"/>
        <v>#DIV/0!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t="e">
        <f t="shared" si="265"/>
        <v>#DIV/0!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t="e">
        <f t="shared" si="265"/>
        <v>#DIV/0!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t="e">
        <f t="shared" si="265"/>
        <v>#DIV/0!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t="e">
        <f t="shared" si="265"/>
        <v>#DIV/0!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t="e">
        <f t="shared" si="265"/>
        <v>#DIV/0!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t="e">
        <f t="shared" si="265"/>
        <v>#DIV/0!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t="e">
        <f t="shared" si="265"/>
        <v>#DIV/0!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t="e">
        <f t="shared" si="265"/>
        <v>#DIV/0!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t="e">
        <f t="shared" si="265"/>
        <v>#DIV/0!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t="e">
        <f t="shared" si="265"/>
        <v>#DIV/0!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t="e">
        <f t="shared" si="265"/>
        <v>#DIV/0!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t="e">
        <f t="shared" si="265"/>
        <v>#DIV/0!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t="e">
        <f t="shared" si="265"/>
        <v>#DIV/0!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t="e">
        <f t="shared" si="265"/>
        <v>#DIV/0!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t="e">
        <f t="shared" ref="E481:E504" si="319">IF($C$3="是",ROUND($A$3*G481/$B$3,2),ROUND($A$3*(G481-AT481)/$B$3,2))</f>
        <v>#DIV/0!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t="e">
        <f t="shared" si="319"/>
        <v>#DIV/0!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t="e">
        <f t="shared" si="319"/>
        <v>#DIV/0!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t="e">
        <f t="shared" si="319"/>
        <v>#DIV/0!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t="e">
        <f t="shared" si="319"/>
        <v>#DIV/0!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t="e">
        <f t="shared" si="319"/>
        <v>#DIV/0!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t="e">
        <f t="shared" si="319"/>
        <v>#DIV/0!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t="e">
        <f t="shared" si="319"/>
        <v>#DIV/0!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t="e">
        <f t="shared" si="319"/>
        <v>#DIV/0!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t="e">
        <f t="shared" si="319"/>
        <v>#DIV/0!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t="e">
        <f t="shared" si="319"/>
        <v>#DIV/0!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t="e">
        <f t="shared" si="319"/>
        <v>#DIV/0!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t="e">
        <f t="shared" si="319"/>
        <v>#DIV/0!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t="e">
        <f t="shared" si="319"/>
        <v>#DIV/0!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t="e">
        <f t="shared" si="319"/>
        <v>#DIV/0!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t="e">
        <f t="shared" si="319"/>
        <v>#DIV/0!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t="e">
        <f t="shared" si="319"/>
        <v>#DIV/0!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t="e">
        <f t="shared" si="319"/>
        <v>#DIV/0!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t="e">
        <f t="shared" si="319"/>
        <v>#DIV/0!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t="e">
        <f t="shared" si="319"/>
        <v>#DIV/0!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t="e">
        <f t="shared" si="319"/>
        <v>#DIV/0!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t="e">
        <f t="shared" si="319"/>
        <v>#DIV/0!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t="e">
        <f t="shared" si="319"/>
        <v>#DIV/0!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t="e">
        <f t="shared" si="319"/>
        <v>#DIV/0!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t="e">
        <f t="shared" ref="E505:E536" si="323">IF($C$3="是",ROUND($A$3*G505/$B$3,2),ROUND($A$3*(G505-AT505)/$B$3,2))</f>
        <v>#DIV/0!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t="e">
        <f t="shared" si="323"/>
        <v>#DIV/0!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t="e">
        <f t="shared" si="323"/>
        <v>#DIV/0!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t="e">
        <f t="shared" si="323"/>
        <v>#DIV/0!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t="e">
        <f t="shared" si="323"/>
        <v>#DIV/0!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t="e">
        <f t="shared" si="323"/>
        <v>#DIV/0!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t="e">
        <f t="shared" si="323"/>
        <v>#DIV/0!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t="e">
        <f t="shared" si="323"/>
        <v>#DIV/0!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t="e">
        <f t="shared" si="323"/>
        <v>#DIV/0!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t="e">
        <f t="shared" si="323"/>
        <v>#DIV/0!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t="e">
        <f t="shared" si="323"/>
        <v>#DIV/0!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21" t="s">
        <v>203</v>
      </c>
      <c r="B2" s="3321"/>
      <c r="C2" s="3321"/>
      <c r="D2" s="1960" t="s">
        <v>204</v>
      </c>
      <c r="E2" s="106" t="s">
        <v>205</v>
      </c>
      <c r="F2" s="1969"/>
      <c r="G2" s="1194"/>
      <c r="H2" s="1195"/>
      <c r="I2" s="1196" t="s">
        <v>857</v>
      </c>
      <c r="J2" s="1969"/>
      <c r="K2" s="1969"/>
      <c r="L2" s="1969"/>
    </row>
    <row r="3" spans="1:16" ht="15.75" thickBot="1">
      <c r="A3" s="3322" t="s">
        <v>206</v>
      </c>
      <c r="B3" s="3322"/>
      <c r="C3" s="3322"/>
      <c r="D3" s="107" t="e">
        <f>'数据-基础表'!AY6</f>
        <v>#DIV/0!</v>
      </c>
      <c r="E3" s="107">
        <f>'数据-基础表'!AZ5</f>
        <v>0</v>
      </c>
      <c r="F3" s="1969"/>
      <c r="G3" s="280" t="s">
        <v>858</v>
      </c>
      <c r="H3" s="275" t="s">
        <v>859</v>
      </c>
      <c r="I3" s="1961">
        <f>ROUND('数据-基础表'!B3/'数据-基础表'!A3,2)</f>
        <v>0</v>
      </c>
      <c r="J3" s="1969"/>
      <c r="K3" s="1969"/>
      <c r="L3" s="1969"/>
    </row>
    <row r="4" spans="1:16" ht="15">
      <c r="A4" s="3323"/>
      <c r="B4" s="3324"/>
      <c r="C4" s="3325"/>
      <c r="D4" s="108" t="s">
        <v>204</v>
      </c>
      <c r="E4" s="109" t="s">
        <v>205</v>
      </c>
      <c r="F4" s="1969"/>
      <c r="G4" s="1197"/>
      <c r="H4" s="275" t="s">
        <v>860</v>
      </c>
      <c r="I4" s="1961">
        <f>ROUND(SUMIF('数据-基础表'!I9:AS9,"地上",'数据-基础表'!I5:AS5)/'数据-基础表'!A3,2)</f>
        <v>0</v>
      </c>
      <c r="J4" s="1969"/>
      <c r="K4" s="1969"/>
      <c r="L4" s="1969"/>
    </row>
    <row r="5" spans="1:16">
      <c r="A5" s="110" t="s">
        <v>207</v>
      </c>
      <c r="B5" s="3326" t="s">
        <v>230</v>
      </c>
      <c r="C5" s="3326"/>
      <c r="D5" s="111" t="e">
        <f>ROUND($D$3*E5/$E$3,2)</f>
        <v>#DIV/0!</v>
      </c>
      <c r="E5" s="112">
        <f>SUMIF('数据-基础表'!$11:$11,"住宅",'数据-基础表'!$5:$5)</f>
        <v>0</v>
      </c>
      <c r="F5" s="1969"/>
      <c r="G5" s="280" t="s">
        <v>861</v>
      </c>
      <c r="H5" s="275" t="s">
        <v>859</v>
      </c>
      <c r="I5" s="1961" t="e">
        <f>ROUND(E31/D31,2)</f>
        <v>#DIV/0!</v>
      </c>
      <c r="J5" s="1969"/>
      <c r="K5" s="1969"/>
      <c r="L5" s="1969"/>
    </row>
    <row r="6" spans="1:16" ht="15" thickBot="1">
      <c r="A6" s="113"/>
      <c r="B6" s="3326" t="s">
        <v>208</v>
      </c>
      <c r="C6" s="3326"/>
      <c r="D6" s="111" t="e">
        <f>ROUND($D$3*E6/$E$3,2)</f>
        <v>#DIV/0!</v>
      </c>
      <c r="E6" s="112">
        <f>E3-E5</f>
        <v>0</v>
      </c>
      <c r="F6" s="1969"/>
      <c r="G6" s="1197"/>
      <c r="H6" s="275" t="s">
        <v>860</v>
      </c>
      <c r="I6" s="1961" t="e">
        <f>ROUND(F31/D31,2)</f>
        <v>#DIV/0!</v>
      </c>
      <c r="J6" s="1969"/>
      <c r="K6" s="1969"/>
      <c r="L6" s="1969"/>
    </row>
    <row r="7" spans="1:16" ht="15">
      <c r="A7" s="3318"/>
      <c r="B7" s="3319"/>
      <c r="C7" s="3320"/>
      <c r="D7" s="108" t="s">
        <v>204</v>
      </c>
      <c r="E7" s="114" t="s">
        <v>231</v>
      </c>
      <c r="F7" s="1969"/>
      <c r="G7" s="1152" t="s">
        <v>1645</v>
      </c>
      <c r="H7" s="1153"/>
      <c r="I7" s="1831"/>
      <c r="J7" s="1969"/>
      <c r="K7" s="1969"/>
      <c r="L7" s="1969"/>
    </row>
    <row r="8" spans="1:16">
      <c r="A8" s="110" t="s">
        <v>209</v>
      </c>
      <c r="B8" s="115" t="s">
        <v>210</v>
      </c>
      <c r="C8" s="111" t="s">
        <v>211</v>
      </c>
      <c r="D8" s="111" t="e">
        <f t="shared" ref="D8:D15" si="0">ROUND($D$3*E8/$E$3,2)</f>
        <v>#DIV/0!</v>
      </c>
      <c r="E8" s="116">
        <f>SUMIF('数据-基础表'!BB10:BK10,"地上",'数据-基础表'!BB5:BK5)</f>
        <v>0</v>
      </c>
      <c r="F8" s="1969"/>
      <c r="G8" s="1971"/>
      <c r="H8" s="1971"/>
      <c r="I8" s="1969"/>
      <c r="J8" s="1969"/>
      <c r="K8" s="1969"/>
      <c r="L8" s="1969"/>
    </row>
    <row r="9" spans="1:16">
      <c r="A9" s="117"/>
      <c r="B9" s="118"/>
      <c r="C9" s="111" t="s">
        <v>212</v>
      </c>
      <c r="D9" s="111" t="e">
        <f t="shared" si="0"/>
        <v>#DIV/0!</v>
      </c>
      <c r="E9" s="119">
        <v>0</v>
      </c>
      <c r="F9" s="1969"/>
      <c r="G9" s="1971"/>
      <c r="H9" s="1971"/>
      <c r="I9" s="1969"/>
      <c r="J9" s="1969"/>
      <c r="K9" s="1969"/>
      <c r="L9" s="1969"/>
    </row>
    <row r="10" spans="1:16">
      <c r="A10" s="117"/>
      <c r="B10" s="118"/>
      <c r="C10" s="111" t="s">
        <v>213</v>
      </c>
      <c r="D10" s="111" t="e">
        <f t="shared" si="0"/>
        <v>#DIV/0!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t="e">
        <f t="shared" si="0"/>
        <v>#DIV/0!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t="e">
        <f t="shared" si="0"/>
        <v>#DIV/0!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t="e">
        <f t="shared" si="0"/>
        <v>#DIV/0!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t="e">
        <f t="shared" si="0"/>
        <v>#DIV/0!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t="e">
        <f t="shared" si="0"/>
        <v>#DIV/0!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t="e">
        <f>SUM(D8:D15)</f>
        <v>#DIV/0!</v>
      </c>
      <c r="E16" s="120">
        <f>SUM(E8:E15)</f>
        <v>0</v>
      </c>
      <c r="F16" s="1969"/>
      <c r="G16" s="1971"/>
      <c r="H16" s="968" t="s">
        <v>219</v>
      </c>
      <c r="I16" s="969"/>
      <c r="J16" s="1969"/>
      <c r="K16" s="3312" t="s">
        <v>2566</v>
      </c>
      <c r="L16" s="3313"/>
      <c r="M16" s="3313"/>
      <c r="N16" s="3313"/>
      <c r="O16" s="3313"/>
      <c r="P16" s="3314"/>
    </row>
    <row r="17" spans="1:19" ht="15">
      <c r="A17" s="121" t="s">
        <v>216</v>
      </c>
      <c r="B17" s="122" t="s">
        <v>217</v>
      </c>
      <c r="C17" s="2283" t="s">
        <v>2313</v>
      </c>
      <c r="D17" s="108" t="s">
        <v>204</v>
      </c>
      <c r="E17" s="124" t="s">
        <v>205</v>
      </c>
      <c r="F17" s="125"/>
      <c r="G17" s="1362"/>
      <c r="H17" s="970" t="s">
        <v>218</v>
      </c>
      <c r="I17" s="971" t="s">
        <v>2312</v>
      </c>
      <c r="J17" s="1969"/>
      <c r="K17" s="3315" t="s">
        <v>2567</v>
      </c>
      <c r="L17" s="3316"/>
      <c r="M17" s="3317"/>
      <c r="N17" s="3315" t="s">
        <v>2568</v>
      </c>
      <c r="O17" s="3316"/>
      <c r="P17" s="331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t="e">
        <f t="shared" ref="D19:D26" si="1">ROUND($D$3*E19/$E$3,2)</f>
        <v>#DIV/0!</v>
      </c>
      <c r="E19" s="134">
        <f t="shared" ref="E19:E26" si="2">SUM(F19:G19)</f>
        <v>0</v>
      </c>
      <c r="F19" s="135">
        <f>'数据-基础表'!I5</f>
        <v>0</v>
      </c>
      <c r="G19" s="1364"/>
      <c r="H19" s="974" t="e">
        <f>ROUND($D$3*I19/$E$3,2)</f>
        <v>#DIV/0!</v>
      </c>
      <c r="I19" s="116" t="e">
        <f>IF($I$17="自定义",P19,M19)</f>
        <v>#DIV/0!</v>
      </c>
      <c r="J19" s="1969"/>
      <c r="K19" s="2572" t="e">
        <f t="shared" ref="K19:K26" si="3">ROUND(E$28*E19/E$27,2)</f>
        <v>#DIV/0!</v>
      </c>
      <c r="L19" s="275">
        <f t="shared" ref="L19:L26" si="4">ROUND(IF(COUNTIF(C19,"*住宅*")&gt;0,E$29*E19/E$32,0),2)</f>
        <v>0</v>
      </c>
      <c r="M19" s="2573" t="e">
        <f>K19+L19</f>
        <v>#DIV/0!</v>
      </c>
      <c r="N19" s="2574"/>
      <c r="O19" s="2575"/>
      <c r="P19" s="2576">
        <f>N19+O19</f>
        <v>0</v>
      </c>
      <c r="R19" s="275" t="e">
        <f t="shared" ref="R19:S26" si="5">D19+H19</f>
        <v>#DIV/0!</v>
      </c>
      <c r="S19" s="2286" t="e">
        <f t="shared" si="5"/>
        <v>#DIV/0!</v>
      </c>
    </row>
    <row r="20" spans="1:19">
      <c r="A20" s="138"/>
      <c r="B20" s="115" t="s">
        <v>226</v>
      </c>
      <c r="C20" s="2976"/>
      <c r="D20" s="111" t="e">
        <f t="shared" si="1"/>
        <v>#DIV/0!</v>
      </c>
      <c r="E20" s="134">
        <f t="shared" si="2"/>
        <v>0</v>
      </c>
      <c r="F20" s="135"/>
      <c r="G20" s="1364"/>
      <c r="H20" s="974" t="e">
        <f t="shared" ref="H20:H26" si="6">ROUND($D$3*I20/$E$3,2)</f>
        <v>#DIV/0!</v>
      </c>
      <c r="I20" s="116" t="e">
        <f t="shared" ref="I20:I26" si="7">IF($I$17="自定义",P20,M20)</f>
        <v>#DIV/0!</v>
      </c>
      <c r="J20" s="1969"/>
      <c r="K20" s="2572" t="e">
        <f t="shared" si="3"/>
        <v>#DIV/0!</v>
      </c>
      <c r="L20" s="275">
        <f t="shared" si="4"/>
        <v>0</v>
      </c>
      <c r="M20" s="2573" t="e">
        <f t="shared" ref="M20:M26" si="8">K20+L20</f>
        <v>#DIV/0!</v>
      </c>
      <c r="N20" s="2574"/>
      <c r="O20" s="2575"/>
      <c r="P20" s="2576">
        <f t="shared" ref="P20:P26" si="9">N20+O20</f>
        <v>0</v>
      </c>
      <c r="R20" s="275" t="e">
        <f t="shared" si="5"/>
        <v>#DIV/0!</v>
      </c>
      <c r="S20" s="2286" t="e">
        <f t="shared" si="5"/>
        <v>#DIV/0!</v>
      </c>
    </row>
    <row r="21" spans="1:19">
      <c r="A21" s="138"/>
      <c r="B21" s="115" t="s">
        <v>226</v>
      </c>
      <c r="C21" s="2976"/>
      <c r="D21" s="111" t="e">
        <f t="shared" si="1"/>
        <v>#DIV/0!</v>
      </c>
      <c r="E21" s="134">
        <f t="shared" si="2"/>
        <v>0</v>
      </c>
      <c r="F21" s="135"/>
      <c r="G21" s="1364"/>
      <c r="H21" s="974" t="e">
        <f t="shared" si="6"/>
        <v>#DIV/0!</v>
      </c>
      <c r="I21" s="116" t="e">
        <f t="shared" si="7"/>
        <v>#DIV/0!</v>
      </c>
      <c r="J21" s="1969"/>
      <c r="K21" s="2572" t="e">
        <f t="shared" si="3"/>
        <v>#DIV/0!</v>
      </c>
      <c r="L21" s="275">
        <f t="shared" si="4"/>
        <v>0</v>
      </c>
      <c r="M21" s="2573" t="e">
        <f t="shared" si="8"/>
        <v>#DIV/0!</v>
      </c>
      <c r="N21" s="2574"/>
      <c r="O21" s="2575"/>
      <c r="P21" s="2576">
        <f t="shared" si="9"/>
        <v>0</v>
      </c>
      <c r="R21" s="275" t="e">
        <f t="shared" si="5"/>
        <v>#DIV/0!</v>
      </c>
      <c r="S21" s="2286" t="e">
        <f t="shared" si="5"/>
        <v>#DIV/0!</v>
      </c>
    </row>
    <row r="22" spans="1:19">
      <c r="A22" s="138"/>
      <c r="B22" s="115" t="s">
        <v>226</v>
      </c>
      <c r="C22" s="1361"/>
      <c r="D22" s="111" t="e">
        <f t="shared" si="1"/>
        <v>#DIV/0!</v>
      </c>
      <c r="E22" s="134">
        <f t="shared" si="2"/>
        <v>0</v>
      </c>
      <c r="F22" s="140"/>
      <c r="G22" s="1365"/>
      <c r="H22" s="974" t="e">
        <f t="shared" si="6"/>
        <v>#DIV/0!</v>
      </c>
      <c r="I22" s="116" t="e">
        <f t="shared" si="7"/>
        <v>#DIV/0!</v>
      </c>
      <c r="J22" s="1969"/>
      <c r="K22" s="2572" t="e">
        <f t="shared" si="3"/>
        <v>#DIV/0!</v>
      </c>
      <c r="L22" s="275">
        <f t="shared" si="4"/>
        <v>0</v>
      </c>
      <c r="M22" s="2573" t="e">
        <f t="shared" si="8"/>
        <v>#DIV/0!</v>
      </c>
      <c r="N22" s="2574"/>
      <c r="O22" s="2575"/>
      <c r="P22" s="2576">
        <f t="shared" si="9"/>
        <v>0</v>
      </c>
      <c r="R22" s="275" t="e">
        <f t="shared" si="5"/>
        <v>#DIV/0!</v>
      </c>
      <c r="S22" s="2286" t="e">
        <f t="shared" si="5"/>
        <v>#DIV/0!</v>
      </c>
    </row>
    <row r="23" spans="1:19">
      <c r="A23" s="138"/>
      <c r="B23" s="115" t="s">
        <v>226</v>
      </c>
      <c r="C23" s="139"/>
      <c r="D23" s="111" t="e">
        <f>ROUND($D$3*E23/$E$3,2)</f>
        <v>#DIV/0!</v>
      </c>
      <c r="E23" s="134">
        <f>SUM(F23:G23)</f>
        <v>0</v>
      </c>
      <c r="F23" s="140"/>
      <c r="G23" s="1365"/>
      <c r="H23" s="974" t="e">
        <f>ROUND($D$3*I23/$E$3,2)</f>
        <v>#DIV/0!</v>
      </c>
      <c r="I23" s="116" t="e">
        <f t="shared" si="7"/>
        <v>#DIV/0!</v>
      </c>
      <c r="J23" s="1969"/>
      <c r="K23" s="2572" t="e">
        <f t="shared" si="3"/>
        <v>#DIV/0!</v>
      </c>
      <c r="L23" s="275">
        <f t="shared" si="4"/>
        <v>0</v>
      </c>
      <c r="M23" s="2573" t="e">
        <f t="shared" si="8"/>
        <v>#DIV/0!</v>
      </c>
      <c r="N23" s="2574"/>
      <c r="O23" s="2575"/>
      <c r="P23" s="2576">
        <f t="shared" si="9"/>
        <v>0</v>
      </c>
      <c r="R23" s="275" t="e">
        <f t="shared" si="5"/>
        <v>#DIV/0!</v>
      </c>
      <c r="S23" s="2286" t="e">
        <f t="shared" si="5"/>
        <v>#DIV/0!</v>
      </c>
    </row>
    <row r="24" spans="1:19">
      <c r="A24" s="138"/>
      <c r="B24" s="115" t="s">
        <v>226</v>
      </c>
      <c r="C24" s="139"/>
      <c r="D24" s="111" t="e">
        <f>ROUND($D$3*E24/$E$3,2)</f>
        <v>#DIV/0!</v>
      </c>
      <c r="E24" s="134">
        <f>SUM(F24:G24)</f>
        <v>0</v>
      </c>
      <c r="F24" s="140"/>
      <c r="G24" s="1365"/>
      <c r="H24" s="974" t="e">
        <f>ROUND($D$3*I24/$E$3,2)</f>
        <v>#DIV/0!</v>
      </c>
      <c r="I24" s="116" t="e">
        <f t="shared" si="7"/>
        <v>#DIV/0!</v>
      </c>
      <c r="J24" s="1969"/>
      <c r="K24" s="2572" t="e">
        <f t="shared" si="3"/>
        <v>#DIV/0!</v>
      </c>
      <c r="L24" s="275">
        <f t="shared" si="4"/>
        <v>0</v>
      </c>
      <c r="M24" s="2573" t="e">
        <f t="shared" si="8"/>
        <v>#DIV/0!</v>
      </c>
      <c r="N24" s="2574"/>
      <c r="O24" s="2575"/>
      <c r="P24" s="2576">
        <f t="shared" si="9"/>
        <v>0</v>
      </c>
      <c r="R24" s="275" t="e">
        <f t="shared" si="5"/>
        <v>#DIV/0!</v>
      </c>
      <c r="S24" s="2286" t="e">
        <f t="shared" si="5"/>
        <v>#DIV/0!</v>
      </c>
    </row>
    <row r="25" spans="1:19">
      <c r="A25" s="138"/>
      <c r="B25" s="115" t="s">
        <v>226</v>
      </c>
      <c r="C25" s="139"/>
      <c r="D25" s="111" t="e">
        <f t="shared" si="1"/>
        <v>#DIV/0!</v>
      </c>
      <c r="E25" s="134">
        <f t="shared" si="2"/>
        <v>0</v>
      </c>
      <c r="F25" s="140"/>
      <c r="G25" s="1365"/>
      <c r="H25" s="110" t="e">
        <f t="shared" si="6"/>
        <v>#DIV/0!</v>
      </c>
      <c r="I25" s="116" t="e">
        <f t="shared" si="7"/>
        <v>#DIV/0!</v>
      </c>
      <c r="J25" s="1969"/>
      <c r="K25" s="2572" t="e">
        <f t="shared" si="3"/>
        <v>#DIV/0!</v>
      </c>
      <c r="L25" s="275">
        <f t="shared" si="4"/>
        <v>0</v>
      </c>
      <c r="M25" s="2573" t="e">
        <f t="shared" si="8"/>
        <v>#DIV/0!</v>
      </c>
      <c r="N25" s="2574"/>
      <c r="O25" s="2575"/>
      <c r="P25" s="2576">
        <f t="shared" si="9"/>
        <v>0</v>
      </c>
      <c r="R25" s="275" t="e">
        <f t="shared" si="5"/>
        <v>#DIV/0!</v>
      </c>
      <c r="S25" s="2286" t="e">
        <f t="shared" si="5"/>
        <v>#DIV/0!</v>
      </c>
    </row>
    <row r="26" spans="1:19">
      <c r="A26" s="138"/>
      <c r="B26" s="115" t="s">
        <v>226</v>
      </c>
      <c r="C26" s="142"/>
      <c r="D26" s="111" t="e">
        <f t="shared" si="1"/>
        <v>#DIV/0!</v>
      </c>
      <c r="E26" s="134">
        <f t="shared" si="2"/>
        <v>0</v>
      </c>
      <c r="F26" s="140"/>
      <c r="G26" s="1365"/>
      <c r="H26" s="110" t="e">
        <f t="shared" si="6"/>
        <v>#DIV/0!</v>
      </c>
      <c r="I26" s="116" t="e">
        <f t="shared" si="7"/>
        <v>#DIV/0!</v>
      </c>
      <c r="J26" s="1969"/>
      <c r="K26" s="2577" t="e">
        <f t="shared" si="3"/>
        <v>#DIV/0!</v>
      </c>
      <c r="L26" s="280">
        <f t="shared" si="4"/>
        <v>0</v>
      </c>
      <c r="M26" s="146" t="e">
        <f t="shared" si="8"/>
        <v>#DIV/0!</v>
      </c>
      <c r="N26" s="2578"/>
      <c r="O26" s="2579"/>
      <c r="P26" s="2580">
        <f t="shared" si="9"/>
        <v>0</v>
      </c>
      <c r="R26" s="275" t="e">
        <f t="shared" si="5"/>
        <v>#DIV/0!</v>
      </c>
      <c r="S26" s="2286" t="e">
        <f t="shared" si="5"/>
        <v>#DIV/0!</v>
      </c>
    </row>
    <row r="27" spans="1:19" ht="15.7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5" t="e">
        <f>SUM(H19:H26)</f>
        <v>#DIV/0!</v>
      </c>
      <c r="I27" s="976" t="e">
        <f>SUM(I19:I26)</f>
        <v>#DIV/0!</v>
      </c>
      <c r="J27" s="1969"/>
      <c r="K27" s="2581" t="e">
        <f>SUM(K19:K26)</f>
        <v>#DIV/0!</v>
      </c>
      <c r="L27" s="2582">
        <f>SUM(L19:L26)</f>
        <v>0</v>
      </c>
      <c r="M27" s="2583" t="e">
        <f>SUM(M19:M26)</f>
        <v>#DIV/0!</v>
      </c>
      <c r="N27" s="2581">
        <f t="shared" ref="N27:O27" si="10">SUM(N19:N26)</f>
        <v>0</v>
      </c>
      <c r="O27" s="2582">
        <f t="shared" si="10"/>
        <v>0</v>
      </c>
      <c r="P27" s="2584">
        <f>SUM(P19:P26)</f>
        <v>0</v>
      </c>
      <c r="R27" s="2290" t="e">
        <f>IF(SUM(R19:R26)=$D$3,SUM(R19:R26),SUM(R19:R26)&amp;"误差"&amp;ROUND(SUM(R19:R26)-$D$3,2))</f>
        <v>#DIV/0!</v>
      </c>
      <c r="S27" s="275" t="e">
        <f>IF(SUM(S19:S26)=$E$3,SUM(S19:S26),SUM(S19:S26)&amp;"误差"&amp;ROUND(SUM(S19:S26)-E3,2))</f>
        <v>#DIV/0!</v>
      </c>
    </row>
    <row r="28" spans="1:19">
      <c r="A28" s="138"/>
      <c r="B28" s="115" t="s">
        <v>227</v>
      </c>
      <c r="C28" s="136" t="s">
        <v>228</v>
      </c>
      <c r="D28" s="111" t="e">
        <f>ROUND($D$3*E28/$E$3,2)</f>
        <v>#DIV/0!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t="e">
        <f>ROUND($D$3*E29/$E$3,2)</f>
        <v>#DIV/0!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t="e">
        <f>SUM(D28:D29)</f>
        <v>#DIV/0!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t="e">
        <f>D27+D30</f>
        <v>#DIV/0!</v>
      </c>
      <c r="E31" s="1368">
        <f>E27+E30</f>
        <v>0</v>
      </c>
      <c r="F31" s="1369">
        <f>F27+F30</f>
        <v>0</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44827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22.92</v>
      </c>
      <c r="G6" s="175">
        <f>IF(ISERROR(ROUND(POWER(1+H6,D6-F6)*(POWER(1+H6,F6)-1)/(POWER(1+H6,D6)-1),3)),0,ROUND(POWER(1+H6,D6-F6)*(POWER(1+H6,F6)-1)/(POWER(1+H6,D6)-1),3))</f>
        <v>0.77900000000000003</v>
      </c>
      <c r="H6" s="2977">
        <v>0.06</v>
      </c>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t="e">
        <f>SUMIF('数据-汇总表'!C$19:C$33,A6,'数据-汇总表'!R$19:R$33)</f>
        <v>#DIV/0!</v>
      </c>
      <c r="S6" s="132" t="e">
        <f>IF('数据-汇总表'!$I$17="按面积比例",SUMIF('数据-汇总表'!C$19:C$33,A6,'数据-汇总表'!K$19:K$33),SUMIF('数据-汇总表'!C$19:C$33,A6,'数据-汇总表'!N$19:N$33))</f>
        <v>#DIV/0!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0.73699999999999999</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296" t="e">
        <f>SUM(R6:R13)</f>
        <v>#DIV/0!</v>
      </c>
      <c r="S16" s="209" t="e">
        <f>SUM(S6:S13)</f>
        <v>#DIV/0!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t="e">
        <f>ROUND(SUMPRODUCT(AP6:AP13,K6:K13)/SUMPRODUCT((AP6:AP13&gt;0)*(K6:K13)),3)</f>
        <v>#DIV/0!</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7" t="s">
        <v>1663</v>
      </c>
      <c r="B1" s="3328"/>
      <c r="C1" s="3328"/>
      <c r="D1" s="3328"/>
      <c r="E1" s="3328"/>
      <c r="F1" s="3328"/>
      <c r="G1" s="332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9" sqref="F9"/>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811.56</v>
      </c>
      <c r="C2" s="2997"/>
      <c r="D2" s="2997"/>
      <c r="E2" s="2997"/>
      <c r="F2" s="2997"/>
    </row>
    <row r="3" spans="1:10" ht="16.5">
      <c r="A3" s="2996" t="s">
        <v>2846</v>
      </c>
      <c r="B3" s="2998">
        <f>项目基本情况!D3</f>
        <v>44827</v>
      </c>
      <c r="C3" s="2997"/>
      <c r="D3" s="2997"/>
      <c r="E3" s="2997"/>
      <c r="F3" s="2997"/>
    </row>
    <row r="4" spans="1:10" ht="33">
      <c r="A4" s="2996" t="s">
        <v>2847</v>
      </c>
      <c r="B4" s="2996" t="s">
        <v>2848</v>
      </c>
      <c r="C4" s="2996" t="s">
        <v>2849</v>
      </c>
      <c r="D4" s="2996" t="s">
        <v>2850</v>
      </c>
      <c r="E4" s="2997"/>
      <c r="F4" s="2997"/>
    </row>
    <row r="5" spans="1:10" ht="16.5">
      <c r="A5" s="2996" t="s">
        <v>2851</v>
      </c>
      <c r="B5" s="2996">
        <f>SUM(D14:D23)</f>
        <v>68.982600000000005</v>
      </c>
      <c r="C5" s="2996" t="e">
        <f>ROUND(B5*10000/$B$1,0)</f>
        <v>#DIV/0!</v>
      </c>
      <c r="D5" s="2996">
        <f>ROUND(B5*10000/$B$2,0)</f>
        <v>850</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f>'成本逼近法（划拨)'!G1</f>
        <v>811.56</v>
      </c>
      <c r="D14" s="3000">
        <f>'成本逼近法（划拨)'!B2/10000</f>
        <v>68.982600000000005</v>
      </c>
      <c r="E14" s="3000" t="e">
        <f>ROUND(D14*10000/B14,0)</f>
        <v>#DIV/0!</v>
      </c>
      <c r="F14" s="3000">
        <f>ROUND(D14*10000/C14,0)</f>
        <v>850</v>
      </c>
      <c r="G14" s="3000" t="str">
        <f>结果表!C44</f>
        <v>——</v>
      </c>
      <c r="H14" s="3000" t="str">
        <f>结果表!C45</f>
        <v>——</v>
      </c>
      <c r="I14" s="3000" t="str">
        <f>结果表!C46</f>
        <v>——</v>
      </c>
      <c r="J14">
        <f>ROUND(F14*666.67/10000,2)</f>
        <v>56.67</v>
      </c>
    </row>
    <row r="15" spans="1:10" ht="16.5">
      <c r="A15" s="3003" t="s">
        <v>2861</v>
      </c>
      <c r="B15" s="3000"/>
      <c r="C15" s="3000"/>
      <c r="D15" s="3000"/>
      <c r="E15" s="3000" t="e">
        <f t="shared" ref="E15:E23" si="2">ROUND(D15*10000/B15,0)</f>
        <v>#DIV/0!</v>
      </c>
      <c r="F15" s="3000" t="e">
        <f t="shared" ref="F15:F23" si="3">ROUND(D15*10000/C15,0)</f>
        <v>#DIV/0!</v>
      </c>
      <c r="G15" s="3001"/>
      <c r="H15" s="3001"/>
      <c r="I15" s="3004"/>
      <c r="J15" t="e">
        <f t="shared" ref="J15:J17" si="4">ROUND(F15*666.67/10000,2)</f>
        <v>#DIV/0!</v>
      </c>
    </row>
    <row r="16" spans="1:10" ht="16.5">
      <c r="A16" s="3003" t="s">
        <v>2862</v>
      </c>
      <c r="B16" s="3000"/>
      <c r="C16" s="3000"/>
      <c r="D16" s="3000"/>
      <c r="E16" s="3000" t="e">
        <f t="shared" si="2"/>
        <v>#DIV/0!</v>
      </c>
      <c r="F16" s="3000" t="e">
        <f t="shared" si="3"/>
        <v>#DIV/0!</v>
      </c>
      <c r="G16" s="3001"/>
      <c r="H16" s="3001"/>
      <c r="I16" s="3004"/>
      <c r="J16" t="e">
        <f t="shared" si="4"/>
        <v>#DIV/0!</v>
      </c>
    </row>
    <row r="17" spans="1:10" ht="16.5">
      <c r="A17" s="3003" t="s">
        <v>2863</v>
      </c>
      <c r="B17" s="3000"/>
      <c r="C17" s="3000"/>
      <c r="D17" s="3000"/>
      <c r="E17" s="3000" t="e">
        <f t="shared" si="2"/>
        <v>#DIV/0!</v>
      </c>
      <c r="F17" s="3000" t="e">
        <f t="shared" si="3"/>
        <v>#DIV/0!</v>
      </c>
      <c r="G17" s="3001"/>
      <c r="H17" s="3001"/>
      <c r="I17" s="3004"/>
      <c r="J17" t="e">
        <f t="shared" si="4"/>
        <v>#DIV/0!</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74" t="str">
        <f>项目基本情况!K2</f>
        <v>出让国有建设用地使用权</v>
      </c>
      <c r="B2" s="3375"/>
      <c r="C2" s="3376"/>
      <c r="D2" s="3376"/>
      <c r="E2" s="3376"/>
      <c r="F2" s="3376"/>
      <c r="G2" s="3375"/>
      <c r="H2" s="3375"/>
      <c r="I2" s="3377"/>
      <c r="J2" s="2015"/>
      <c r="K2" s="2014"/>
      <c r="L2" s="2014"/>
      <c r="M2" s="2014"/>
      <c r="N2" s="2014"/>
      <c r="O2" s="2014"/>
      <c r="P2" s="2014"/>
      <c r="Q2" s="2014"/>
      <c r="R2" s="2014"/>
      <c r="S2" s="2014"/>
      <c r="T2" s="2014"/>
      <c r="U2" s="2014"/>
      <c r="V2" s="2014"/>
    </row>
    <row r="3" spans="1:22" ht="14.25">
      <c r="A3" s="3385" t="s">
        <v>298</v>
      </c>
      <c r="B3" s="3386"/>
      <c r="C3" s="3386"/>
      <c r="D3" s="3386"/>
      <c r="E3" s="3386"/>
      <c r="F3" s="3386"/>
      <c r="G3" s="3386"/>
      <c r="H3" s="3386"/>
      <c r="I3" s="3386"/>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49" t="s">
        <v>301</v>
      </c>
      <c r="F4" s="3391"/>
      <c r="G4" s="3391"/>
      <c r="H4" s="3391"/>
      <c r="I4" s="3350"/>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78" t="s">
        <v>302</v>
      </c>
      <c r="B5" s="3379">
        <v>25</v>
      </c>
      <c r="C5" s="3387"/>
      <c r="D5" s="3390"/>
      <c r="E5" s="261" t="s">
        <v>303</v>
      </c>
      <c r="F5" s="262"/>
      <c r="G5" s="262"/>
      <c r="H5" s="262"/>
      <c r="I5" s="263"/>
      <c r="J5" s="2015"/>
      <c r="K5" s="2014"/>
      <c r="L5" s="2014"/>
      <c r="M5" s="2014"/>
      <c r="N5" s="2014"/>
      <c r="O5" s="2014"/>
      <c r="P5" s="2014"/>
      <c r="Q5" s="2014"/>
      <c r="R5" s="2014"/>
      <c r="S5" s="2014"/>
      <c r="T5" s="2014"/>
      <c r="U5" s="2014"/>
      <c r="V5" s="2014"/>
    </row>
    <row r="6" spans="1:22" ht="14.25">
      <c r="A6" s="3378"/>
      <c r="B6" s="3379"/>
      <c r="C6" s="3388"/>
      <c r="D6" s="3390"/>
      <c r="E6" s="261" t="s">
        <v>304</v>
      </c>
      <c r="F6" s="262"/>
      <c r="G6" s="262"/>
      <c r="H6" s="262"/>
      <c r="I6" s="263"/>
      <c r="J6" s="2015"/>
      <c r="K6" s="2014"/>
      <c r="L6" s="2014"/>
      <c r="M6" s="2014"/>
      <c r="N6" s="2014"/>
      <c r="O6" s="2014"/>
      <c r="P6" s="2014"/>
      <c r="Q6" s="2014"/>
      <c r="R6" s="2014"/>
      <c r="S6" s="2014"/>
      <c r="T6" s="2014"/>
      <c r="U6" s="2014"/>
      <c r="V6" s="2014"/>
    </row>
    <row r="7" spans="1:22" ht="14.25">
      <c r="A7" s="3378"/>
      <c r="B7" s="3379"/>
      <c r="C7" s="3389"/>
      <c r="D7" s="3390"/>
      <c r="E7" s="261" t="s">
        <v>305</v>
      </c>
      <c r="F7" s="262"/>
      <c r="G7" s="262"/>
      <c r="H7" s="262"/>
      <c r="I7" s="263"/>
      <c r="J7" s="2015"/>
      <c r="K7" s="2014"/>
      <c r="L7" s="2014"/>
      <c r="M7" s="2014"/>
      <c r="N7" s="2014"/>
      <c r="O7" s="2014"/>
      <c r="P7" s="2014"/>
      <c r="Q7" s="2014"/>
      <c r="R7" s="2014"/>
      <c r="S7" s="2014"/>
      <c r="T7" s="2014"/>
      <c r="U7" s="2014"/>
      <c r="V7" s="2014"/>
    </row>
    <row r="8" spans="1:22" ht="14.25">
      <c r="A8" s="3378" t="s">
        <v>306</v>
      </c>
      <c r="B8" s="3379">
        <v>15</v>
      </c>
      <c r="C8" s="3387"/>
      <c r="D8" s="3390"/>
      <c r="E8" s="261" t="s">
        <v>307</v>
      </c>
      <c r="F8" s="262"/>
      <c r="G8" s="262"/>
      <c r="H8" s="262"/>
      <c r="I8" s="263"/>
      <c r="J8" s="2015"/>
      <c r="K8" s="2014"/>
      <c r="L8" s="2014"/>
      <c r="M8" s="2014"/>
      <c r="N8" s="2014"/>
      <c r="O8" s="2014"/>
      <c r="P8" s="2014"/>
      <c r="Q8" s="2014"/>
      <c r="R8" s="2014"/>
      <c r="S8" s="2014"/>
      <c r="T8" s="2014"/>
      <c r="U8" s="2014"/>
      <c r="V8" s="2014"/>
    </row>
    <row r="9" spans="1:22" ht="14.25">
      <c r="A9" s="3378"/>
      <c r="B9" s="3379"/>
      <c r="C9" s="3389"/>
      <c r="D9" s="3390"/>
      <c r="E9" s="261" t="s">
        <v>308</v>
      </c>
      <c r="F9" s="262"/>
      <c r="G9" s="262"/>
      <c r="H9" s="262"/>
      <c r="I9" s="263"/>
      <c r="J9" s="2015"/>
      <c r="K9" s="2014"/>
      <c r="L9" s="2014"/>
      <c r="M9" s="2014"/>
      <c r="N9" s="2014"/>
      <c r="O9" s="2014"/>
      <c r="P9" s="2014"/>
      <c r="Q9" s="2014"/>
      <c r="R9" s="2014"/>
      <c r="S9" s="2014"/>
      <c r="T9" s="2014"/>
      <c r="U9" s="2014"/>
      <c r="V9" s="2014"/>
    </row>
    <row r="10" spans="1:22" ht="14.25">
      <c r="A10" s="3378" t="s">
        <v>309</v>
      </c>
      <c r="B10" s="3379">
        <v>15</v>
      </c>
      <c r="C10" s="3387"/>
      <c r="D10" s="339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8"/>
      <c r="B11" s="3379"/>
      <c r="C11" s="3389"/>
      <c r="D11" s="339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8" t="s">
        <v>312</v>
      </c>
      <c r="B12" s="3379">
        <v>15</v>
      </c>
      <c r="C12" s="3387"/>
      <c r="D12" s="339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8"/>
      <c r="B13" s="3379"/>
      <c r="C13" s="3389"/>
      <c r="D13" s="339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8" t="s">
        <v>315</v>
      </c>
      <c r="B14" s="3379">
        <v>30</v>
      </c>
      <c r="C14" s="3387">
        <v>1</v>
      </c>
      <c r="D14" s="3390">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8"/>
      <c r="B15" s="3379"/>
      <c r="C15" s="3388"/>
      <c r="D15" s="339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8"/>
      <c r="B16" s="3379"/>
      <c r="C16" s="3389"/>
      <c r="D16" s="339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5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93"/>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5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5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53"/>
      <c r="F35" s="301" t="s">
        <v>342</v>
      </c>
      <c r="G35" s="982"/>
      <c r="H35" s="981" t="s">
        <v>343</v>
      </c>
      <c r="I35" s="311"/>
      <c r="J35" s="2014"/>
      <c r="K35" s="3357" t="s">
        <v>350</v>
      </c>
      <c r="L35" s="3357" t="s">
        <v>351</v>
      </c>
      <c r="M35" s="1260" t="s">
        <v>352</v>
      </c>
      <c r="N35" s="3357" t="s">
        <v>353</v>
      </c>
      <c r="O35" s="3357" t="s">
        <v>354</v>
      </c>
      <c r="P35" s="2014"/>
      <c r="V35" s="2014"/>
    </row>
    <row r="36" spans="1:26" ht="16.5" customHeight="1">
      <c r="A36" s="303" t="s">
        <v>344</v>
      </c>
      <c r="B36" s="304" t="s">
        <v>333</v>
      </c>
      <c r="C36" s="305" t="s">
        <v>345</v>
      </c>
      <c r="D36" s="305" t="s">
        <v>346</v>
      </c>
      <c r="E36" s="306" t="s">
        <v>347</v>
      </c>
      <c r="F36" s="311"/>
      <c r="G36" s="311"/>
      <c r="H36" s="311"/>
      <c r="I36" s="311"/>
      <c r="J36" s="2016"/>
      <c r="K36" s="3358"/>
      <c r="L36" s="3358"/>
      <c r="M36" s="1262" t="s">
        <v>355</v>
      </c>
      <c r="N36" s="3358"/>
      <c r="O36" s="3358"/>
      <c r="P36" s="2014"/>
      <c r="V36" s="2014"/>
    </row>
    <row r="37" spans="1:26" ht="16.5" customHeight="1" thickBot="1">
      <c r="A37" s="1256" t="s">
        <v>348</v>
      </c>
      <c r="B37" s="307"/>
      <c r="C37" s="294"/>
      <c r="D37" s="294"/>
      <c r="E37" s="295"/>
      <c r="F37" s="311"/>
      <c r="G37" s="311"/>
      <c r="H37" s="311"/>
      <c r="I37" s="311"/>
      <c r="J37" s="2016"/>
      <c r="K37" s="3359"/>
      <c r="L37" s="3359"/>
      <c r="M37" s="1263"/>
      <c r="N37" s="3359"/>
      <c r="O37" s="3359"/>
      <c r="P37" s="2014"/>
      <c r="V37" s="2014"/>
    </row>
    <row r="38" spans="1:26" ht="16.5" customHeight="1" thickBot="1">
      <c r="A38" s="1256" t="s">
        <v>349</v>
      </c>
      <c r="B38" s="307"/>
      <c r="C38" s="294"/>
      <c r="D38" s="294"/>
      <c r="E38" s="295"/>
      <c r="F38" s="311"/>
      <c r="G38" s="311"/>
      <c r="H38" s="311"/>
      <c r="I38" s="311"/>
      <c r="J38" s="2016"/>
      <c r="K38" s="1264" t="e">
        <f>'数据-汇总表'!D3</f>
        <v>#DIV/0!</v>
      </c>
      <c r="L38" s="1265">
        <f>'数据-汇总表'!E3</f>
        <v>0</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34" t="str">
        <f>MID(A44,3,LEN(A44)-2)</f>
        <v/>
      </c>
      <c r="L39" s="3335"/>
      <c r="M39" s="3335"/>
      <c r="N39" s="3336"/>
      <c r="O39" s="1389" t="str">
        <f>C44</f>
        <v>——</v>
      </c>
      <c r="P39" s="2014"/>
      <c r="V39" s="2014"/>
    </row>
    <row r="40" spans="1:26" ht="19.5" thickBot="1">
      <c r="A40" s="104" t="s">
        <v>873</v>
      </c>
      <c r="B40" s="311"/>
      <c r="C40" s="311"/>
      <c r="D40" s="311"/>
      <c r="E40" s="311"/>
      <c r="F40" s="311"/>
      <c r="G40" s="311"/>
      <c r="H40" s="311"/>
      <c r="I40" s="311"/>
      <c r="J40" s="2016"/>
      <c r="K40" s="3334" t="str">
        <f t="shared" ref="K40:K41" si="0">MID(A45,3,LEN(A45)-2)</f>
        <v/>
      </c>
      <c r="L40" s="3335"/>
      <c r="M40" s="3335"/>
      <c r="N40" s="333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34" t="str">
        <f t="shared" si="0"/>
        <v/>
      </c>
      <c r="L41" s="3335"/>
      <c r="M41" s="3335"/>
      <c r="N41" s="3336"/>
      <c r="O41" s="1389" t="str">
        <f>C46</f>
        <v>——</v>
      </c>
      <c r="P41" s="2014"/>
      <c r="V41" s="2014"/>
    </row>
    <row r="42" spans="1:26" ht="29.25">
      <c r="A42" s="3394" t="s">
        <v>2067</v>
      </c>
      <c r="B42" s="3395"/>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404" t="s">
        <v>2730</v>
      </c>
      <c r="B43" s="3405"/>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94" t="str">
        <f>IF(OR(项目基本情况!E8="抵押价格",项目基本情况!E8="已注销及未注销"),"3.抵押价格","——")</f>
        <v>——</v>
      </c>
      <c r="B44" s="3395"/>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99" t="str">
        <f>IF(项目基本情况!E8="已注销及未注销","4.抵押担保权已注销时的抵押价格",IF(项目基本情况!E8="已注销","3.抵押担保权已注销时的抵押价格","——"))</f>
        <v>——</v>
      </c>
      <c r="B45" s="340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96" t="str">
        <f>IF(项目基本情况!E9="抵押净值",IF(A45="——","4.抵押净值","5.抵押净值"),"——")</f>
        <v>——</v>
      </c>
      <c r="B46" s="339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2" t="s">
        <v>374</v>
      </c>
      <c r="B63" s="3363"/>
      <c r="C63" s="3364"/>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401" t="s">
        <v>378</v>
      </c>
      <c r="B64" s="3402"/>
      <c r="C64" s="3402"/>
      <c r="D64" s="3402"/>
      <c r="E64" s="3402"/>
      <c r="F64" s="3402"/>
      <c r="G64" s="340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8" t="s">
        <v>386</v>
      </c>
      <c r="B66" s="3369"/>
      <c r="C66" s="3369"/>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38" t="s">
        <v>385</v>
      </c>
      <c r="M66" s="3339"/>
      <c r="N66" s="2423"/>
      <c r="O66" s="2424"/>
      <c r="P66" s="2425"/>
      <c r="Q66" s="2014"/>
      <c r="R66" s="2014"/>
      <c r="S66" s="2014"/>
      <c r="T66" s="2014"/>
      <c r="U66" s="2014"/>
      <c r="V66" s="2014"/>
    </row>
    <row r="67" spans="1:22" ht="25.5" customHeight="1">
      <c r="A67" s="352" t="s">
        <v>390</v>
      </c>
      <c r="B67" s="3381" t="s">
        <v>391</v>
      </c>
      <c r="C67" s="3381"/>
      <c r="D67" s="353">
        <v>0</v>
      </c>
      <c r="E67" s="41" t="s">
        <v>392</v>
      </c>
      <c r="F67" s="62" t="s">
        <v>21</v>
      </c>
      <c r="G67" s="3365"/>
      <c r="H67" s="311"/>
      <c r="I67" s="1288"/>
      <c r="J67" s="2021"/>
      <c r="K67" s="1962">
        <v>2</v>
      </c>
      <c r="L67" s="3337" t="s">
        <v>389</v>
      </c>
      <c r="M67" s="3337"/>
      <c r="N67" s="1321">
        <f>'数据-取费表'!B2</f>
        <v>44827</v>
      </c>
      <c r="O67" s="1321"/>
      <c r="P67" s="1321"/>
      <c r="Q67" s="2014"/>
      <c r="R67" s="2014"/>
      <c r="S67" s="2014"/>
      <c r="T67" s="2014"/>
      <c r="U67" s="2014"/>
      <c r="V67" s="2014"/>
    </row>
    <row r="68" spans="1:22" ht="25.5" customHeight="1">
      <c r="A68" s="354"/>
      <c r="B68" s="3381" t="s">
        <v>394</v>
      </c>
      <c r="C68" s="3381"/>
      <c r="D68" s="355"/>
      <c r="E68" s="77"/>
      <c r="F68" s="356"/>
      <c r="G68" s="3366"/>
      <c r="H68" s="311"/>
      <c r="I68" s="1288"/>
      <c r="J68" s="2021"/>
      <c r="K68" s="1962">
        <v>3</v>
      </c>
      <c r="L68" s="3337" t="s">
        <v>393</v>
      </c>
      <c r="M68" s="3337"/>
      <c r="N68" s="1289" t="e">
        <f ca="1">C42</f>
        <v>#REF!</v>
      </c>
      <c r="O68" s="1289"/>
      <c r="P68" s="1289"/>
      <c r="Q68" s="2014"/>
      <c r="R68" s="2014"/>
      <c r="S68" s="2014"/>
      <c r="T68" s="2014"/>
      <c r="U68" s="2014"/>
      <c r="V68" s="2014"/>
    </row>
    <row r="69" spans="1:22" ht="12" customHeight="1">
      <c r="A69" s="357"/>
      <c r="B69" s="3381" t="s">
        <v>395</v>
      </c>
      <c r="C69" s="3381"/>
      <c r="D69" s="358"/>
      <c r="E69" s="73"/>
      <c r="F69" s="356"/>
      <c r="G69" s="3367"/>
      <c r="H69" s="311"/>
      <c r="I69" s="1288"/>
      <c r="J69" s="2021"/>
      <c r="K69" s="1290">
        <v>4</v>
      </c>
      <c r="L69" s="3343" t="s">
        <v>2883</v>
      </c>
      <c r="M69" s="3344"/>
      <c r="N69" s="1291" t="str">
        <f>C44</f>
        <v>——</v>
      </c>
      <c r="O69" s="1291"/>
      <c r="P69" s="1291"/>
      <c r="Q69" s="2014"/>
      <c r="R69" s="2014"/>
      <c r="S69" s="2014"/>
      <c r="T69" s="2014"/>
      <c r="U69" s="2014"/>
      <c r="V69" s="2014"/>
    </row>
    <row r="70" spans="1:22" ht="24" customHeight="1">
      <c r="A70" s="359" t="s">
        <v>396</v>
      </c>
      <c r="B70" s="3381" t="s">
        <v>397</v>
      </c>
      <c r="C70" s="3381"/>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80" t="s">
        <v>405</v>
      </c>
      <c r="C71" s="3392"/>
      <c r="D71" s="358" t="e">
        <f ca="1">ROUND(D63*'数据-取费表'!B41/(1+'数据-取费表'!C42),0)</f>
        <v>#REF!</v>
      </c>
      <c r="E71" s="17" t="s">
        <v>398</v>
      </c>
      <c r="F71" s="360">
        <f>'数据-取费表'!B41</f>
        <v>0</v>
      </c>
      <c r="G71" s="361"/>
      <c r="H71" s="311"/>
      <c r="I71" s="1288"/>
      <c r="J71" s="2021"/>
      <c r="K71" s="3012" t="s">
        <v>399</v>
      </c>
      <c r="L71" s="3345" t="s">
        <v>400</v>
      </c>
      <c r="M71" s="3345"/>
      <c r="N71" s="3012" t="s">
        <v>401</v>
      </c>
      <c r="O71" s="3012" t="s">
        <v>402</v>
      </c>
      <c r="P71" s="3012" t="s">
        <v>403</v>
      </c>
      <c r="Q71" s="2014"/>
      <c r="R71" s="2014"/>
      <c r="S71" s="2014"/>
      <c r="T71" s="2014"/>
      <c r="U71" s="2014"/>
      <c r="V71" s="2014"/>
    </row>
    <row r="72" spans="1:22" ht="12" customHeight="1">
      <c r="A72" s="359" t="s">
        <v>407</v>
      </c>
      <c r="B72" s="3380" t="s">
        <v>408</v>
      </c>
      <c r="C72" s="3392"/>
      <c r="D72" s="358" t="e">
        <f ca="1">C86</f>
        <v>#REF!</v>
      </c>
      <c r="E72" s="73" t="s">
        <v>409</v>
      </c>
      <c r="F72" s="360">
        <f>'数据-取费表'!B41</f>
        <v>0</v>
      </c>
      <c r="G72" s="361"/>
      <c r="H72" s="1294"/>
      <c r="I72" s="1288"/>
      <c r="J72" s="2021"/>
      <c r="K72" s="1962">
        <v>1</v>
      </c>
      <c r="L72" s="3342" t="s">
        <v>406</v>
      </c>
      <c r="M72" s="3342"/>
      <c r="N72" s="1292" t="e">
        <f ca="1">D66</f>
        <v>#REF!</v>
      </c>
      <c r="O72" s="1845" t="str">
        <f>E66</f>
        <v>销售额×税（费）率</v>
      </c>
      <c r="P72" s="1293">
        <f>F66</f>
        <v>0</v>
      </c>
      <c r="Q72" s="2014"/>
      <c r="R72" s="2014"/>
      <c r="S72" s="2014"/>
      <c r="T72" s="2014"/>
      <c r="U72" s="2014"/>
      <c r="V72" s="2014"/>
    </row>
    <row r="73" spans="1:22" ht="24" customHeight="1">
      <c r="A73" s="3368" t="s">
        <v>411</v>
      </c>
      <c r="B73" s="3369"/>
      <c r="C73" s="3369"/>
      <c r="D73" s="362">
        <f>IF(H73="个人住宅",0,ROUND(D63*I73,0))</f>
        <v>0</v>
      </c>
      <c r="E73" s="17" t="s">
        <v>412</v>
      </c>
      <c r="F73" s="360" t="str">
        <f>IF(H73="正常",I73,"免征")</f>
        <v>免征</v>
      </c>
      <c r="G73" s="361"/>
      <c r="H73" s="191" t="s">
        <v>2455</v>
      </c>
      <c r="I73" s="360">
        <f>'数据-取费表'!B49</f>
        <v>0</v>
      </c>
      <c r="J73" s="2021"/>
      <c r="K73" s="1962">
        <v>2</v>
      </c>
      <c r="L73" s="3342" t="s">
        <v>410</v>
      </c>
      <c r="M73" s="3342"/>
      <c r="N73" s="1292">
        <f t="shared" ref="N73:P74" si="1">D73</f>
        <v>0</v>
      </c>
      <c r="O73" s="1845" t="str">
        <f t="shared" si="1"/>
        <v>销售额×税（费）率</v>
      </c>
      <c r="P73" s="1293" t="str">
        <f t="shared" si="1"/>
        <v>免征</v>
      </c>
      <c r="Q73" s="2014"/>
      <c r="R73" s="2014"/>
      <c r="S73" s="2014"/>
      <c r="T73" s="2014"/>
      <c r="U73" s="2014"/>
      <c r="V73" s="2014"/>
    </row>
    <row r="74" spans="1:22" ht="24.75">
      <c r="A74" s="3368" t="s">
        <v>415</v>
      </c>
      <c r="B74" s="3369"/>
      <c r="C74" s="3369"/>
      <c r="D74" s="362" t="e">
        <f ca="1">IF(H74="个人住宅",D75,D76)</f>
        <v>#REF!</v>
      </c>
      <c r="E74" s="17" t="s">
        <v>416</v>
      </c>
      <c r="F74" s="360" t="str">
        <f>IF(H74="正常",F76,"免征")</f>
        <v>——</v>
      </c>
      <c r="G74" s="983" t="s">
        <v>417</v>
      </c>
      <c r="H74" s="363" t="s">
        <v>413</v>
      </c>
      <c r="I74" s="42"/>
      <c r="J74" s="2021"/>
      <c r="K74" s="1962">
        <v>3</v>
      </c>
      <c r="L74" s="3342" t="s">
        <v>414</v>
      </c>
      <c r="M74" s="3342"/>
      <c r="N74" s="1292" t="e">
        <f t="shared" ca="1" si="1"/>
        <v>#REF!</v>
      </c>
      <c r="O74" s="1845" t="str">
        <f t="shared" si="1"/>
        <v>增值额×税（费）率</v>
      </c>
      <c r="P74" s="1295" t="str">
        <f t="shared" si="1"/>
        <v>——</v>
      </c>
      <c r="Q74" s="2014"/>
      <c r="R74" s="2014"/>
      <c r="S74" s="2014"/>
      <c r="T74" s="2014"/>
      <c r="U74" s="2014"/>
      <c r="V74" s="2014"/>
    </row>
    <row r="75" spans="1:22" ht="24">
      <c r="A75" s="359" t="s">
        <v>418</v>
      </c>
      <c r="B75" s="3349" t="s">
        <v>419</v>
      </c>
      <c r="C75" s="3350"/>
      <c r="D75" s="364">
        <v>0</v>
      </c>
      <c r="E75" s="41" t="s">
        <v>420</v>
      </c>
      <c r="F75" s="365"/>
      <c r="G75" s="361"/>
      <c r="H75" s="42"/>
      <c r="I75" s="42"/>
      <c r="J75" s="2021"/>
      <c r="K75" s="3005">
        <f>IF(H77="非个人房产","",4)</f>
        <v>4</v>
      </c>
      <c r="L75" s="3342" t="str">
        <f>IF(H77="非个人房产","——","个人所得税")</f>
        <v>个人所得税</v>
      </c>
      <c r="M75" s="3342"/>
      <c r="N75" s="1296" t="e">
        <f ca="1">D77</f>
        <v>#REF!</v>
      </c>
      <c r="O75" s="1858" t="str">
        <f>E77</f>
        <v>销售额×税（费）率</v>
      </c>
      <c r="P75" s="1297">
        <f>F77</f>
        <v>0.01</v>
      </c>
      <c r="Q75" s="2014"/>
      <c r="R75" s="2014"/>
      <c r="S75" s="2014"/>
      <c r="T75" s="2014"/>
      <c r="U75" s="2014"/>
      <c r="V75" s="2014"/>
    </row>
    <row r="76" spans="1:22" ht="24.75">
      <c r="A76" s="359" t="s">
        <v>396</v>
      </c>
      <c r="B76" s="3349" t="s">
        <v>422</v>
      </c>
      <c r="C76" s="3391"/>
      <c r="D76" s="362" t="e">
        <f ca="1">IF(H76="转让取得",C99,C115)</f>
        <v>#REF!</v>
      </c>
      <c r="E76" s="17" t="s">
        <v>423</v>
      </c>
      <c r="F76" s="53" t="s">
        <v>21</v>
      </c>
      <c r="G76" s="361"/>
      <c r="H76" s="363" t="s">
        <v>424</v>
      </c>
      <c r="I76" s="42"/>
      <c r="J76" s="2021"/>
      <c r="K76" s="3005" t="str">
        <f>IF(项目基本情况!K6="上海银行",IF(K75="",4,K75+1),"")</f>
        <v/>
      </c>
      <c r="L76" s="3330" t="str">
        <f>IF(项目基本情况!K6="上海银行","其他处置费用","")</f>
        <v/>
      </c>
      <c r="M76" s="3331"/>
      <c r="N76" s="1292" t="str">
        <f>IF(项目基本情况!K6="上海银行",N89,"")</f>
        <v/>
      </c>
      <c r="O76" s="3332" t="str">
        <f>IF(项目基本情况!K6="上海银行","包含处置中涉及的律师、诉讼、拍卖、评估等费用","")</f>
        <v/>
      </c>
      <c r="P76" s="3333"/>
      <c r="Q76" s="2014"/>
      <c r="R76" s="2014"/>
      <c r="S76" s="2014"/>
      <c r="T76" s="2014"/>
      <c r="U76" s="2014"/>
      <c r="V76" s="2014"/>
    </row>
    <row r="77" spans="1:22" ht="26.25" thickBot="1">
      <c r="A77" s="3360" t="s">
        <v>426</v>
      </c>
      <c r="B77" s="3361"/>
      <c r="C77" s="3361"/>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56">
        <f>IF(AND(K75="",K76=""),4,IF(项目基本情况!K6="上海银行",K76+1,K75+1))</f>
        <v>5</v>
      </c>
      <c r="L77" s="3342"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56"/>
      <c r="L78" s="3342"/>
      <c r="M78" s="3011" t="s">
        <v>425</v>
      </c>
      <c r="N78" s="1298"/>
      <c r="O78" s="1299" t="str">
        <f ca="1">NUMBERSTRING(INT(O77*10000),2)&amp;"元整"</f>
        <v>零元整</v>
      </c>
      <c r="P78" s="1300"/>
      <c r="Q78" s="2014"/>
      <c r="R78" s="2014"/>
      <c r="S78" s="2014"/>
      <c r="T78" s="2014"/>
      <c r="U78" s="2014"/>
      <c r="V78" s="2014"/>
    </row>
    <row r="79" spans="1:22" ht="13.5" thickBot="1">
      <c r="A79" s="3346" t="s">
        <v>427</v>
      </c>
      <c r="B79" s="3346"/>
      <c r="C79" s="3346"/>
      <c r="D79" s="3346"/>
      <c r="E79" s="3346"/>
      <c r="F79" s="42"/>
      <c r="G79" s="42"/>
      <c r="H79" s="1003"/>
      <c r="I79" s="311"/>
      <c r="J79" s="2021"/>
      <c r="K79" s="3340">
        <f>K77+1</f>
        <v>6</v>
      </c>
      <c r="L79" s="3342" t="s">
        <v>2886</v>
      </c>
      <c r="M79" s="3011" t="s">
        <v>421</v>
      </c>
      <c r="N79" s="1298"/>
      <c r="O79" s="1299" t="e">
        <f ca="1">N69-O77</f>
        <v>#VALUE!</v>
      </c>
      <c r="P79" s="1300"/>
      <c r="Q79" s="2014"/>
      <c r="R79" s="2014"/>
      <c r="S79" s="2014"/>
      <c r="T79" s="2014"/>
      <c r="U79" s="2014"/>
      <c r="V79" s="2014"/>
    </row>
    <row r="80" spans="1:22" ht="12.75">
      <c r="A80" s="3347" t="s">
        <v>428</v>
      </c>
      <c r="B80" s="3348"/>
      <c r="C80" s="994"/>
      <c r="D80" s="994" t="s">
        <v>429</v>
      </c>
      <c r="E80" s="370" t="s">
        <v>430</v>
      </c>
      <c r="F80" s="42"/>
      <c r="G80" s="42"/>
      <c r="H80" s="1003"/>
      <c r="I80" s="311"/>
      <c r="J80" s="2014"/>
      <c r="K80" s="3341"/>
      <c r="L80" s="3342"/>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54" t="s">
        <v>2887</v>
      </c>
      <c r="M81" s="3355"/>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9"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29"/>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29"/>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29"/>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9"/>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83" t="s">
        <v>437</v>
      </c>
      <c r="B88" s="3384"/>
      <c r="C88" s="3384"/>
      <c r="D88" s="3384"/>
      <c r="E88" s="3384"/>
      <c r="F88" s="3384"/>
      <c r="G88" s="3384"/>
      <c r="H88" s="3384"/>
      <c r="I88" s="1311"/>
      <c r="J88" s="2022"/>
      <c r="K88" s="3329"/>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47" t="s">
        <v>428</v>
      </c>
      <c r="B89" s="3348"/>
      <c r="C89" s="994"/>
      <c r="D89" s="994" t="s">
        <v>429</v>
      </c>
      <c r="E89" s="391" t="s">
        <v>438</v>
      </c>
      <c r="F89" s="392"/>
      <c r="G89" s="392"/>
      <c r="H89" s="393"/>
      <c r="I89" s="1312"/>
      <c r="J89" s="2024"/>
      <c r="K89" s="3329"/>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80" t="s">
        <v>447</v>
      </c>
      <c r="F94" s="3381"/>
      <c r="G94" s="3381"/>
      <c r="H94" s="338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70" t="s">
        <v>2428</v>
      </c>
      <c r="F96" s="3371"/>
      <c r="G96" s="3371"/>
      <c r="H96" s="337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83" t="s">
        <v>454</v>
      </c>
      <c r="B101" s="3384"/>
      <c r="C101" s="3384"/>
      <c r="D101" s="3384"/>
      <c r="E101" s="3384"/>
      <c r="F101" s="3384"/>
      <c r="G101" s="3384"/>
      <c r="H101" s="338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7" t="s">
        <v>428</v>
      </c>
      <c r="B102" s="334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73" t="s">
        <v>462</v>
      </c>
      <c r="F109" s="3371"/>
      <c r="G109" s="3371"/>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73" t="s">
        <v>464</v>
      </c>
      <c r="F110" s="3371"/>
      <c r="G110" s="3371"/>
      <c r="H110" s="337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70" t="s">
        <v>2428</v>
      </c>
      <c r="F111" s="3371"/>
      <c r="G111" s="3371"/>
      <c r="H111" s="337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73" t="s">
        <v>2453</v>
      </c>
      <c r="F112" s="3371"/>
      <c r="G112" s="3371"/>
      <c r="H112" s="337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0</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0</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0</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41" t="str">
        <f>项目基本情况!B1</f>
        <v>出让国有建设用地使用权预评估</v>
      </c>
      <c r="C37" s="3241"/>
      <c r="D37" s="3241"/>
      <c r="E37" s="3241"/>
      <c r="F37" s="3241"/>
      <c r="G37" s="3241"/>
      <c r="H37" s="3241"/>
      <c r="I37" s="3241"/>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8" t="s">
        <v>522</v>
      </c>
      <c r="D6" s="3429"/>
      <c r="E6" s="3428" t="s">
        <v>523</v>
      </c>
      <c r="F6" s="3429"/>
      <c r="G6" s="3428" t="s">
        <v>524</v>
      </c>
      <c r="H6" s="3429"/>
      <c r="I6" s="3428" t="s">
        <v>525</v>
      </c>
      <c r="J6" s="3429"/>
      <c r="K6" s="514" t="s">
        <v>526</v>
      </c>
      <c r="L6" s="2119"/>
      <c r="M6" s="2118"/>
      <c r="N6" s="2118"/>
      <c r="O6" s="2120"/>
      <c r="P6" s="3430" t="s">
        <v>527</v>
      </c>
      <c r="Q6" s="3431"/>
      <c r="R6" s="3416" t="s">
        <v>523</v>
      </c>
      <c r="S6" s="3417"/>
      <c r="T6" s="3416" t="s">
        <v>524</v>
      </c>
      <c r="U6" s="3417"/>
      <c r="V6" s="3436" t="s">
        <v>525</v>
      </c>
      <c r="W6" s="3436"/>
      <c r="X6" s="1554"/>
      <c r="Y6" s="3416" t="s">
        <v>527</v>
      </c>
      <c r="Z6" s="3417"/>
      <c r="AA6" s="3411" t="s">
        <v>523</v>
      </c>
      <c r="AB6" s="3412" t="s">
        <v>524</v>
      </c>
      <c r="AC6" s="3411" t="s">
        <v>525</v>
      </c>
    </row>
    <row r="7" spans="1:30" ht="20.25">
      <c r="A7" s="515"/>
      <c r="B7" s="516"/>
      <c r="C7" s="3439" t="s">
        <v>2931</v>
      </c>
      <c r="D7" s="3440"/>
      <c r="E7" s="3439" t="s">
        <v>2932</v>
      </c>
      <c r="F7" s="3440"/>
      <c r="G7" s="3439" t="s">
        <v>2933</v>
      </c>
      <c r="H7" s="3440"/>
      <c r="I7" s="3439" t="s">
        <v>2934</v>
      </c>
      <c r="J7" s="3440"/>
      <c r="K7" s="514"/>
      <c r="L7" s="2119"/>
      <c r="M7" s="2118"/>
      <c r="N7" s="2118"/>
      <c r="O7" s="2120"/>
      <c r="P7" s="3432"/>
      <c r="Q7" s="3433"/>
      <c r="R7" s="3418"/>
      <c r="S7" s="3419"/>
      <c r="T7" s="3418"/>
      <c r="U7" s="3419"/>
      <c r="V7" s="3436"/>
      <c r="W7" s="3436"/>
      <c r="X7" s="1554"/>
      <c r="Y7" s="3418"/>
      <c r="Z7" s="3419"/>
      <c r="AA7" s="3412"/>
      <c r="AB7" s="3412"/>
      <c r="AC7" s="3412"/>
    </row>
    <row r="8" spans="1:30" ht="21" thickBot="1">
      <c r="A8" s="515"/>
      <c r="B8" s="516"/>
      <c r="C8" s="3441" t="s">
        <v>2935</v>
      </c>
      <c r="D8" s="3442"/>
      <c r="E8" s="3441" t="s">
        <v>2935</v>
      </c>
      <c r="F8" s="3442"/>
      <c r="G8" s="3437" t="s">
        <v>2935</v>
      </c>
      <c r="H8" s="3438"/>
      <c r="I8" s="3437" t="s">
        <v>2935</v>
      </c>
      <c r="J8" s="3438"/>
      <c r="K8" s="514" t="s">
        <v>528</v>
      </c>
      <c r="L8" s="2119"/>
      <c r="M8" s="2118"/>
      <c r="N8" s="2118"/>
      <c r="O8" s="2120"/>
      <c r="P8" s="3434"/>
      <c r="Q8" s="3435"/>
      <c r="R8" s="3418"/>
      <c r="S8" s="3419"/>
      <c r="T8" s="3420"/>
      <c r="U8" s="3421"/>
      <c r="V8" s="3436"/>
      <c r="W8" s="3436"/>
      <c r="X8" s="1554"/>
      <c r="Y8" s="3420"/>
      <c r="Z8" s="3421"/>
      <c r="AA8" s="3413"/>
      <c r="AB8" s="3413"/>
      <c r="AC8" s="3413"/>
    </row>
    <row r="9" spans="1:30" s="1216" customFormat="1" ht="21" thickBot="1">
      <c r="A9" s="2868"/>
      <c r="B9" s="2875" t="s">
        <v>529</v>
      </c>
      <c r="C9" s="2867">
        <f>'数据-取费表'!B2</f>
        <v>44827</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14" t="s">
        <v>530</v>
      </c>
      <c r="Q9" s="3423"/>
      <c r="R9" s="1555" t="s">
        <v>8</v>
      </c>
      <c r="S9" s="1556">
        <f t="shared" ref="S9:S17" si="0">F9</f>
        <v>0</v>
      </c>
      <c r="T9" s="1555" t="s">
        <v>8</v>
      </c>
      <c r="U9" s="1556">
        <f t="shared" ref="U9:U17" si="1">H9</f>
        <v>0</v>
      </c>
      <c r="V9" s="1555" t="s">
        <v>8</v>
      </c>
      <c r="W9" s="1556">
        <f t="shared" ref="W9:W17" si="2">J9</f>
        <v>0</v>
      </c>
      <c r="X9" s="1557"/>
      <c r="Y9" s="3414" t="s">
        <v>530</v>
      </c>
      <c r="Z9" s="3415"/>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14" t="s">
        <v>533</v>
      </c>
      <c r="Q10" s="3415"/>
      <c r="R10" s="1555" t="s">
        <v>8</v>
      </c>
      <c r="S10" s="1556">
        <f t="shared" si="0"/>
        <v>0</v>
      </c>
      <c r="T10" s="1555" t="s">
        <v>8</v>
      </c>
      <c r="U10" s="1556">
        <f t="shared" si="1"/>
        <v>0</v>
      </c>
      <c r="V10" s="1555" t="s">
        <v>8</v>
      </c>
      <c r="W10" s="1556">
        <f t="shared" si="2"/>
        <v>0</v>
      </c>
      <c r="X10" s="1557"/>
      <c r="Y10" s="3414" t="s">
        <v>533</v>
      </c>
      <c r="Z10" s="3415"/>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22" t="s">
        <v>535</v>
      </c>
      <c r="Q11" s="1147" t="str">
        <f t="shared" ref="Q11:Q17" si="6">B11</f>
        <v>用途</v>
      </c>
      <c r="R11" s="1555" t="s">
        <v>8</v>
      </c>
      <c r="S11" s="1556">
        <f t="shared" si="0"/>
        <v>100</v>
      </c>
      <c r="T11" s="1555" t="s">
        <v>8</v>
      </c>
      <c r="U11" s="1556">
        <f t="shared" si="1"/>
        <v>100</v>
      </c>
      <c r="V11" s="1555" t="s">
        <v>8</v>
      </c>
      <c r="W11" s="1556">
        <f t="shared" si="2"/>
        <v>100</v>
      </c>
      <c r="X11" s="1557"/>
      <c r="Y11" s="3379"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t="e">
        <f>ROUND(100/'数据-取费表'!G16,0)</f>
        <v>#DIV/0!</v>
      </c>
      <c r="G12" s="530"/>
      <c r="H12" s="255" t="e">
        <f>ROUND(100/'数据-取费表'!G16,0)</f>
        <v>#DIV/0!</v>
      </c>
      <c r="I12" s="530"/>
      <c r="J12" s="255" t="e">
        <f>ROUND(100/'数据-取费表'!G16,0)</f>
        <v>#DIV/0!</v>
      </c>
      <c r="K12" s="531"/>
      <c r="L12" s="2124"/>
      <c r="M12" s="2118"/>
      <c r="N12" s="2118"/>
      <c r="O12" s="2125"/>
      <c r="P12" s="3422"/>
      <c r="Q12" s="1147" t="str">
        <f t="shared" si="6"/>
        <v>土地使用年限（年）</v>
      </c>
      <c r="R12" s="1555" t="s">
        <v>8</v>
      </c>
      <c r="S12" s="1556" t="e">
        <f t="shared" si="0"/>
        <v>#DIV/0!</v>
      </c>
      <c r="T12" s="1555" t="s">
        <v>8</v>
      </c>
      <c r="U12" s="1556" t="e">
        <f t="shared" si="1"/>
        <v>#DIV/0!</v>
      </c>
      <c r="V12" s="1555" t="s">
        <v>8</v>
      </c>
      <c r="W12" s="1556" t="e">
        <f t="shared" si="2"/>
        <v>#DIV/0!</v>
      </c>
      <c r="X12" s="1557"/>
      <c r="Y12" s="3379"/>
      <c r="Z12" s="1146" t="str">
        <f t="shared" si="7"/>
        <v>土地使用年限（年）</v>
      </c>
      <c r="AA12" s="1558" t="e">
        <f t="shared" si="3"/>
        <v>#DIV/0!</v>
      </c>
      <c r="AB12" s="1558" t="e">
        <f t="shared" si="4"/>
        <v>#DIV/0!</v>
      </c>
      <c r="AC12" s="1558" t="e">
        <f t="shared" si="5"/>
        <v>#DIV/0!</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22"/>
      <c r="Q13" s="1147" t="str">
        <f t="shared" si="6"/>
        <v>容积率</v>
      </c>
      <c r="R13" s="1555" t="s">
        <v>8</v>
      </c>
      <c r="S13" s="1556" t="e">
        <f t="shared" si="0"/>
        <v>#N/A</v>
      </c>
      <c r="T13" s="1555" t="s">
        <v>8</v>
      </c>
      <c r="U13" s="1556" t="e">
        <f t="shared" si="1"/>
        <v>#N/A</v>
      </c>
      <c r="V13" s="1555" t="s">
        <v>8</v>
      </c>
      <c r="W13" s="1556" t="e">
        <f t="shared" si="2"/>
        <v>#N/A</v>
      </c>
      <c r="X13" s="1557"/>
      <c r="Y13" s="3379"/>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2"/>
      <c r="Q14" s="1147" t="str">
        <f t="shared" si="6"/>
        <v>配建</v>
      </c>
      <c r="R14" s="1555" t="s">
        <v>8</v>
      </c>
      <c r="S14" s="1556">
        <f t="shared" si="0"/>
        <v>100</v>
      </c>
      <c r="T14" s="1555" t="s">
        <v>8</v>
      </c>
      <c r="U14" s="1556">
        <f t="shared" si="1"/>
        <v>100</v>
      </c>
      <c r="V14" s="1555" t="s">
        <v>8</v>
      </c>
      <c r="W14" s="1556">
        <f t="shared" si="2"/>
        <v>100</v>
      </c>
      <c r="X14" s="1557"/>
      <c r="Y14" s="337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22"/>
      <c r="Q15" s="1147">
        <f t="shared" si="6"/>
        <v>111</v>
      </c>
      <c r="R15" s="1555" t="s">
        <v>8</v>
      </c>
      <c r="S15" s="1556">
        <f t="shared" si="0"/>
        <v>100</v>
      </c>
      <c r="T15" s="1555" t="s">
        <v>8</v>
      </c>
      <c r="U15" s="1556">
        <f t="shared" si="1"/>
        <v>100</v>
      </c>
      <c r="V15" s="1555" t="s">
        <v>8</v>
      </c>
      <c r="W15" s="1556">
        <f t="shared" si="2"/>
        <v>100</v>
      </c>
      <c r="X15" s="1557"/>
      <c r="Y15" s="337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2"/>
      <c r="Q16" s="1147">
        <f t="shared" si="6"/>
        <v>111</v>
      </c>
      <c r="R16" s="1555" t="s">
        <v>8</v>
      </c>
      <c r="S16" s="1556">
        <f t="shared" si="0"/>
        <v>100</v>
      </c>
      <c r="T16" s="1555" t="s">
        <v>8</v>
      </c>
      <c r="U16" s="1556">
        <f t="shared" si="1"/>
        <v>100</v>
      </c>
      <c r="V16" s="1555" t="s">
        <v>8</v>
      </c>
      <c r="W16" s="1556">
        <f t="shared" si="2"/>
        <v>100</v>
      </c>
      <c r="X16" s="1557"/>
      <c r="Y16" s="3379"/>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24" t="s">
        <v>540</v>
      </c>
      <c r="Q17" s="1559" t="str">
        <f t="shared" si="6"/>
        <v>居住社区成熟度</v>
      </c>
      <c r="R17" s="1560" t="s">
        <v>8</v>
      </c>
      <c r="S17" s="1561">
        <f t="shared" si="0"/>
        <v>100</v>
      </c>
      <c r="T17" s="1560" t="s">
        <v>8</v>
      </c>
      <c r="U17" s="1561">
        <f t="shared" si="1"/>
        <v>100</v>
      </c>
      <c r="V17" s="1560" t="s">
        <v>8</v>
      </c>
      <c r="W17" s="1561">
        <f t="shared" si="2"/>
        <v>100</v>
      </c>
      <c r="X17" s="1554"/>
      <c r="Y17" s="342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25"/>
      <c r="Q18" s="1559"/>
      <c r="R18" s="1560"/>
      <c r="S18" s="1561"/>
      <c r="T18" s="1560"/>
      <c r="U18" s="1561"/>
      <c r="V18" s="1560"/>
      <c r="W18" s="1561"/>
      <c r="X18" s="1554"/>
      <c r="Y18" s="342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25"/>
      <c r="Q19" s="1559" t="str">
        <f>B19</f>
        <v>商业繁华度</v>
      </c>
      <c r="R19" s="1560" t="s">
        <v>8</v>
      </c>
      <c r="S19" s="1561">
        <f>F19</f>
        <v>100</v>
      </c>
      <c r="T19" s="1560" t="s">
        <v>8</v>
      </c>
      <c r="U19" s="1561">
        <f>H19</f>
        <v>100</v>
      </c>
      <c r="V19" s="1560" t="s">
        <v>8</v>
      </c>
      <c r="W19" s="1561">
        <f>J19</f>
        <v>100</v>
      </c>
      <c r="X19" s="1554"/>
      <c r="Y19" s="342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25"/>
      <c r="Q20" s="1559"/>
      <c r="R20" s="1560"/>
      <c r="S20" s="1561"/>
      <c r="T20" s="1560"/>
      <c r="U20" s="1561"/>
      <c r="V20" s="1560"/>
      <c r="W20" s="1561"/>
      <c r="X20" s="1554"/>
      <c r="Y20" s="342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5"/>
      <c r="Q21" s="1559" t="str">
        <f>B21</f>
        <v>办公集聚程度</v>
      </c>
      <c r="R21" s="1560" t="s">
        <v>8</v>
      </c>
      <c r="S21" s="1561">
        <f>F21</f>
        <v>100</v>
      </c>
      <c r="T21" s="1560" t="s">
        <v>8</v>
      </c>
      <c r="U21" s="1561">
        <f>H21</f>
        <v>100</v>
      </c>
      <c r="V21" s="1560" t="s">
        <v>8</v>
      </c>
      <c r="W21" s="1561">
        <f>J21</f>
        <v>100</v>
      </c>
      <c r="X21" s="1554"/>
      <c r="Y21" s="342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25"/>
      <c r="Q22" s="1559"/>
      <c r="R22" s="1560"/>
      <c r="S22" s="1561"/>
      <c r="T22" s="1560"/>
      <c r="U22" s="1561"/>
      <c r="V22" s="1560"/>
      <c r="W22" s="1561"/>
      <c r="X22" s="1554"/>
      <c r="Y22" s="342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25"/>
      <c r="Q23" s="1559" t="str">
        <f>B23</f>
        <v>交通便捷度</v>
      </c>
      <c r="R23" s="1560" t="s">
        <v>8</v>
      </c>
      <c r="S23" s="1561">
        <f>F23</f>
        <v>100</v>
      </c>
      <c r="T23" s="1560" t="s">
        <v>8</v>
      </c>
      <c r="U23" s="1561">
        <f>H23</f>
        <v>100</v>
      </c>
      <c r="V23" s="1560" t="s">
        <v>8</v>
      </c>
      <c r="W23" s="1561">
        <f>J23</f>
        <v>100</v>
      </c>
      <c r="X23" s="1554"/>
      <c r="Y23" s="342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25"/>
      <c r="Q24" s="1559"/>
      <c r="R24" s="1560"/>
      <c r="S24" s="1561"/>
      <c r="T24" s="1560"/>
      <c r="U24" s="1561"/>
      <c r="V24" s="1560"/>
      <c r="W24" s="1561"/>
      <c r="X24" s="1554"/>
      <c r="Y24" s="342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25"/>
      <c r="Q25" s="1559" t="str">
        <f t="shared" ref="Q25:Q39" si="8">B25</f>
        <v>区域土地利用方向</v>
      </c>
      <c r="R25" s="1560" t="s">
        <v>8</v>
      </c>
      <c r="S25" s="1561">
        <f>F25</f>
        <v>100</v>
      </c>
      <c r="T25" s="1560" t="s">
        <v>8</v>
      </c>
      <c r="U25" s="1561">
        <f>H25</f>
        <v>100</v>
      </c>
      <c r="V25" s="1560" t="s">
        <v>8</v>
      </c>
      <c r="W25" s="1561">
        <f>J25</f>
        <v>100</v>
      </c>
      <c r="X25" s="1554"/>
      <c r="Y25" s="342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25"/>
      <c r="Q26" s="1559"/>
      <c r="R26" s="1560"/>
      <c r="S26" s="1561"/>
      <c r="T26" s="1560"/>
      <c r="U26" s="1561"/>
      <c r="V26" s="1560"/>
      <c r="W26" s="1561"/>
      <c r="X26" s="1554"/>
      <c r="Y26" s="342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25"/>
      <c r="Q27" s="1559" t="str">
        <f t="shared" si="8"/>
        <v>自然及人文环境状况</v>
      </c>
      <c r="R27" s="1560" t="s">
        <v>8</v>
      </c>
      <c r="S27" s="1561">
        <f>F27</f>
        <v>100</v>
      </c>
      <c r="T27" s="1560" t="s">
        <v>8</v>
      </c>
      <c r="U27" s="1561">
        <f>H27</f>
        <v>100</v>
      </c>
      <c r="V27" s="1560" t="s">
        <v>8</v>
      </c>
      <c r="W27" s="1561">
        <f>J27</f>
        <v>100</v>
      </c>
      <c r="X27" s="1554"/>
      <c r="Y27" s="342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25"/>
      <c r="Q28" s="1559"/>
      <c r="R28" s="1560"/>
      <c r="S28" s="1561"/>
      <c r="T28" s="1560"/>
      <c r="U28" s="1561"/>
      <c r="V28" s="1560"/>
      <c r="W28" s="1561"/>
      <c r="X28" s="1554"/>
      <c r="Y28" s="342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25"/>
      <c r="Q29" s="1147" t="str">
        <f t="shared" si="8"/>
        <v>公共配套设施</v>
      </c>
      <c r="R29" s="1555" t="s">
        <v>8</v>
      </c>
      <c r="S29" s="1556">
        <f>F29</f>
        <v>100</v>
      </c>
      <c r="T29" s="1555" t="s">
        <v>8</v>
      </c>
      <c r="U29" s="1556">
        <f>H29</f>
        <v>100</v>
      </c>
      <c r="V29" s="1555" t="s">
        <v>8</v>
      </c>
      <c r="W29" s="1556">
        <f>J29</f>
        <v>100</v>
      </c>
      <c r="X29" s="1557"/>
      <c r="Y29" s="342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25"/>
      <c r="Q30" s="1147"/>
      <c r="R30" s="1555"/>
      <c r="S30" s="1556"/>
      <c r="T30" s="1555"/>
      <c r="U30" s="1556"/>
      <c r="V30" s="1555"/>
      <c r="W30" s="1556"/>
      <c r="X30" s="1557"/>
      <c r="Y30" s="342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25"/>
      <c r="Q31" s="2543" t="str">
        <f t="shared" ref="Q31" si="9">B31</f>
        <v>基础设施水平</v>
      </c>
      <c r="R31" s="1555" t="s">
        <v>8</v>
      </c>
      <c r="S31" s="1556">
        <f>F31</f>
        <v>100</v>
      </c>
      <c r="T31" s="1555" t="s">
        <v>8</v>
      </c>
      <c r="U31" s="1556">
        <f>H31</f>
        <v>100</v>
      </c>
      <c r="V31" s="1555" t="s">
        <v>8</v>
      </c>
      <c r="W31" s="1556">
        <f>J31</f>
        <v>100</v>
      </c>
      <c r="X31" s="1557"/>
      <c r="Y31" s="3425"/>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25"/>
      <c r="Q32" s="2543"/>
      <c r="R32" s="1555"/>
      <c r="S32" s="1556"/>
      <c r="T32" s="1555"/>
      <c r="U32" s="1556"/>
      <c r="V32" s="1555"/>
      <c r="W32" s="1556"/>
      <c r="X32" s="1557"/>
      <c r="Y32" s="342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5"/>
      <c r="Q34" s="1559" t="str">
        <f t="shared" si="8"/>
        <v>毗邻道路的类型与等级</v>
      </c>
      <c r="R34" s="1560" t="s">
        <v>8</v>
      </c>
      <c r="S34" s="1561">
        <f t="shared" si="10"/>
        <v>100</v>
      </c>
      <c r="T34" s="1560" t="s">
        <v>8</v>
      </c>
      <c r="U34" s="1561">
        <f t="shared" si="11"/>
        <v>100</v>
      </c>
      <c r="V34" s="1560" t="s">
        <v>8</v>
      </c>
      <c r="W34" s="1561">
        <f t="shared" si="12"/>
        <v>100</v>
      </c>
      <c r="X34" s="1554"/>
      <c r="Y34" s="342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25"/>
      <c r="Q35" s="1559"/>
      <c r="R35" s="1560"/>
      <c r="S35" s="1561"/>
      <c r="T35" s="1560"/>
      <c r="U35" s="1561"/>
      <c r="V35" s="1560"/>
      <c r="W35" s="1561"/>
      <c r="X35" s="1554"/>
      <c r="Y35" s="342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5"/>
      <c r="Q36" s="1559" t="str">
        <f t="shared" si="8"/>
        <v>土地级别</v>
      </c>
      <c r="R36" s="1560" t="s">
        <v>8</v>
      </c>
      <c r="S36" s="1561">
        <f t="shared" si="10"/>
        <v>100</v>
      </c>
      <c r="T36" s="1560" t="s">
        <v>8</v>
      </c>
      <c r="U36" s="1561">
        <f t="shared" si="11"/>
        <v>100</v>
      </c>
      <c r="V36" s="1560" t="s">
        <v>8</v>
      </c>
      <c r="W36" s="1561">
        <f t="shared" si="12"/>
        <v>100</v>
      </c>
      <c r="X36" s="1554"/>
      <c r="Y36" s="342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5"/>
      <c r="Q37" s="1559">
        <f t="shared" si="8"/>
        <v>111</v>
      </c>
      <c r="R37" s="1560" t="s">
        <v>8</v>
      </c>
      <c r="S37" s="1561">
        <f t="shared" si="10"/>
        <v>100</v>
      </c>
      <c r="T37" s="1560" t="s">
        <v>8</v>
      </c>
      <c r="U37" s="1561">
        <f t="shared" si="11"/>
        <v>100</v>
      </c>
      <c r="V37" s="1560" t="s">
        <v>8</v>
      </c>
      <c r="W37" s="1561">
        <f t="shared" si="12"/>
        <v>100</v>
      </c>
      <c r="X37" s="1554"/>
      <c r="Y37" s="342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6" t="s">
        <v>550</v>
      </c>
      <c r="Q38" s="1559">
        <f t="shared" si="8"/>
        <v>111</v>
      </c>
      <c r="R38" s="1560" t="s">
        <v>8</v>
      </c>
      <c r="S38" s="1561">
        <f t="shared" si="10"/>
        <v>100</v>
      </c>
      <c r="T38" s="1560" t="s">
        <v>8</v>
      </c>
      <c r="U38" s="1561">
        <f t="shared" si="11"/>
        <v>100</v>
      </c>
      <c r="V38" s="1560" t="s">
        <v>8</v>
      </c>
      <c r="W38" s="1561">
        <f t="shared" si="12"/>
        <v>100</v>
      </c>
      <c r="X38" s="1554"/>
      <c r="Y38" s="342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7"/>
      <c r="Q39" s="1559">
        <f t="shared" si="8"/>
        <v>111</v>
      </c>
      <c r="R39" s="1564" t="s">
        <v>8</v>
      </c>
      <c r="S39" s="1565">
        <f t="shared" si="10"/>
        <v>100</v>
      </c>
      <c r="T39" s="1564" t="s">
        <v>8</v>
      </c>
      <c r="U39" s="1565">
        <f t="shared" si="11"/>
        <v>100</v>
      </c>
      <c r="V39" s="1564" t="s">
        <v>8</v>
      </c>
      <c r="W39" s="1565">
        <f t="shared" si="12"/>
        <v>100</v>
      </c>
      <c r="X39" s="1566"/>
      <c r="Y39" s="3427"/>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27"/>
      <c r="Q40" s="1559" t="str">
        <f>B40</f>
        <v>宗地面积</v>
      </c>
      <c r="R40" s="1560" t="s">
        <v>8</v>
      </c>
      <c r="S40" s="1561" t="e">
        <f t="shared" si="10"/>
        <v>#N/A</v>
      </c>
      <c r="T40" s="1560" t="s">
        <v>8</v>
      </c>
      <c r="U40" s="1561" t="e">
        <f t="shared" si="11"/>
        <v>#N/A</v>
      </c>
      <c r="V40" s="1560" t="s">
        <v>8</v>
      </c>
      <c r="W40" s="1561" t="e">
        <f t="shared" si="12"/>
        <v>#N/A</v>
      </c>
      <c r="X40" s="1554"/>
      <c r="Y40" s="3427"/>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27"/>
      <c r="Q41" s="1559" t="str">
        <f t="shared" ref="Q41:Q47" si="14">B41</f>
        <v>宗地形状</v>
      </c>
      <c r="R41" s="1560" t="s">
        <v>8</v>
      </c>
      <c r="S41" s="1561">
        <f t="shared" si="10"/>
        <v>100</v>
      </c>
      <c r="T41" s="1560" t="s">
        <v>8</v>
      </c>
      <c r="U41" s="1561">
        <f t="shared" si="11"/>
        <v>100</v>
      </c>
      <c r="V41" s="1560" t="s">
        <v>8</v>
      </c>
      <c r="W41" s="1561">
        <f t="shared" si="12"/>
        <v>100</v>
      </c>
      <c r="X41" s="1554"/>
      <c r="Y41" s="342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7"/>
      <c r="Q42" s="1559" t="str">
        <f t="shared" si="14"/>
        <v>临街宽度及深度</v>
      </c>
      <c r="R42" s="1560" t="s">
        <v>8</v>
      </c>
      <c r="S42" s="1561">
        <f t="shared" si="10"/>
        <v>100</v>
      </c>
      <c r="T42" s="1560" t="s">
        <v>8</v>
      </c>
      <c r="U42" s="1561">
        <f t="shared" si="11"/>
        <v>100</v>
      </c>
      <c r="V42" s="1560" t="s">
        <v>8</v>
      </c>
      <c r="W42" s="1561">
        <f t="shared" si="12"/>
        <v>100</v>
      </c>
      <c r="X42" s="1554"/>
      <c r="Y42" s="3427"/>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27"/>
      <c r="Q43" s="1559" t="str">
        <f t="shared" si="14"/>
        <v>宗地开发程度</v>
      </c>
      <c r="R43" s="1555" t="s">
        <v>8</v>
      </c>
      <c r="S43" s="1556">
        <f t="shared" si="10"/>
        <v>100</v>
      </c>
      <c r="T43" s="1555" t="s">
        <v>8</v>
      </c>
      <c r="U43" s="1556">
        <f t="shared" si="11"/>
        <v>100</v>
      </c>
      <c r="V43" s="1555" t="s">
        <v>8</v>
      </c>
      <c r="W43" s="1556">
        <f t="shared" si="12"/>
        <v>100</v>
      </c>
      <c r="X43" s="1557"/>
      <c r="Y43" s="342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7" t="s">
        <v>550</v>
      </c>
      <c r="Q44" s="1559" t="str">
        <f t="shared" si="14"/>
        <v>工程地质条件</v>
      </c>
      <c r="R44" s="1560" t="s">
        <v>8</v>
      </c>
      <c r="S44" s="1561">
        <f t="shared" si="10"/>
        <v>100</v>
      </c>
      <c r="T44" s="1560" t="s">
        <v>8</v>
      </c>
      <c r="U44" s="1561">
        <f t="shared" si="11"/>
        <v>100</v>
      </c>
      <c r="V44" s="1560" t="s">
        <v>8</v>
      </c>
      <c r="W44" s="1561">
        <f t="shared" si="12"/>
        <v>100</v>
      </c>
      <c r="X44" s="1554"/>
      <c r="Y44" s="342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7"/>
      <c r="Q45" s="1559">
        <f t="shared" si="14"/>
        <v>111</v>
      </c>
      <c r="R45" s="1560" t="s">
        <v>8</v>
      </c>
      <c r="S45" s="1561">
        <f t="shared" si="10"/>
        <v>100</v>
      </c>
      <c r="T45" s="1560" t="s">
        <v>8</v>
      </c>
      <c r="U45" s="1561">
        <f t="shared" si="11"/>
        <v>100</v>
      </c>
      <c r="V45" s="1560" t="s">
        <v>8</v>
      </c>
      <c r="W45" s="1561">
        <f t="shared" si="12"/>
        <v>100</v>
      </c>
      <c r="X45" s="1554"/>
      <c r="Y45" s="342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7"/>
      <c r="Q46" s="1559">
        <f t="shared" si="14"/>
        <v>111</v>
      </c>
      <c r="R46" s="1560" t="s">
        <v>8</v>
      </c>
      <c r="S46" s="1561">
        <f t="shared" si="10"/>
        <v>100</v>
      </c>
      <c r="T46" s="1560" t="s">
        <v>8</v>
      </c>
      <c r="U46" s="1561">
        <f t="shared" si="11"/>
        <v>100</v>
      </c>
      <c r="V46" s="1560" t="s">
        <v>8</v>
      </c>
      <c r="W46" s="1561">
        <f t="shared" si="12"/>
        <v>100</v>
      </c>
      <c r="X46" s="1554"/>
      <c r="Y46" s="342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7"/>
      <c r="Q47" s="1559">
        <f t="shared" si="14"/>
        <v>111</v>
      </c>
      <c r="R47" s="1564" t="s">
        <v>8</v>
      </c>
      <c r="S47" s="1565">
        <f t="shared" si="10"/>
        <v>100</v>
      </c>
      <c r="T47" s="1564" t="s">
        <v>8</v>
      </c>
      <c r="U47" s="1565">
        <f t="shared" si="11"/>
        <v>100</v>
      </c>
      <c r="V47" s="1564" t="s">
        <v>8</v>
      </c>
      <c r="W47" s="1565">
        <f t="shared" si="12"/>
        <v>100</v>
      </c>
      <c r="X47" s="1566"/>
      <c r="Y47" s="3427"/>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22" t="str">
        <f>A48</f>
        <v>成交单价</v>
      </c>
      <c r="Q48" s="3422"/>
      <c r="R48" s="3436">
        <f>E48</f>
        <v>0</v>
      </c>
      <c r="S48" s="3436"/>
      <c r="T48" s="3436">
        <f>G48</f>
        <v>0</v>
      </c>
      <c r="U48" s="3436"/>
      <c r="V48" s="3436">
        <f>I48</f>
        <v>0</v>
      </c>
      <c r="W48" s="3436"/>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22" t="str">
        <f>A49</f>
        <v>比较价格（元/平方米）</v>
      </c>
      <c r="Q49" s="3422"/>
      <c r="R49" s="3446" t="e">
        <f>ROUND(PRODUCT(R48,AA9:AA47),0)</f>
        <v>#DIV/0!</v>
      </c>
      <c r="S49" s="3446"/>
      <c r="T49" s="3446" t="e">
        <f>ROUND(PRODUCT(T48,AB9:AB47),0)</f>
        <v>#DIV/0!</v>
      </c>
      <c r="U49" s="3446"/>
      <c r="V49" s="3446" t="e">
        <f>ROUND(PRODUCT(V48,AC9:AC47),0)</f>
        <v>#DIV/0!</v>
      </c>
      <c r="W49" s="3446"/>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43" t="str">
        <f>A50</f>
        <v>估价对象XX用房的比较价格（楼面单价，元/平方米）</v>
      </c>
      <c r="Q50" s="3444"/>
      <c r="R50" s="3445" t="e">
        <f>ROUND(AVERAGE(R49:V49),0)</f>
        <v>#DIV/0!</v>
      </c>
      <c r="S50" s="3445"/>
      <c r="T50" s="3445"/>
      <c r="U50" s="3445"/>
      <c r="V50" s="3445"/>
      <c r="W50" s="344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06" t="s">
        <v>2281</v>
      </c>
      <c r="H57" s="340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0</v>
      </c>
      <c r="F58" s="636" t="e">
        <f t="shared" ref="F58:F67" si="15">ROUND(B58*E58/10000,0)</f>
        <v>#DIV/0!</v>
      </c>
      <c r="G58" s="3408"/>
      <c r="H58" s="340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1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1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1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1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t="e">
        <f>IF(B48="楼面地价",SUM(E58:E67),'数据-汇总表'!D3)</f>
        <v>#DIV/0!</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2022-9-1</v>
      </c>
      <c r="D70" s="2755">
        <f>EDATE(C70,-3)</f>
        <v>44713</v>
      </c>
      <c r="E70" s="2755">
        <f t="shared" ref="E70:N70" si="18">EDATE(D70,-3)</f>
        <v>44621</v>
      </c>
      <c r="F70" s="2755">
        <f t="shared" si="18"/>
        <v>44531</v>
      </c>
      <c r="G70" s="2755">
        <f t="shared" si="18"/>
        <v>44440</v>
      </c>
      <c r="H70" s="2755">
        <f t="shared" si="18"/>
        <v>44348</v>
      </c>
      <c r="I70" s="2755">
        <f t="shared" si="18"/>
        <v>44256</v>
      </c>
      <c r="J70" s="2755">
        <f t="shared" si="18"/>
        <v>44166</v>
      </c>
      <c r="K70" s="2755">
        <f t="shared" si="18"/>
        <v>44075</v>
      </c>
      <c r="L70" s="2755">
        <f t="shared" si="18"/>
        <v>43983</v>
      </c>
      <c r="M70" s="2755">
        <f t="shared" si="18"/>
        <v>43891</v>
      </c>
      <c r="N70" s="2755">
        <f t="shared" si="18"/>
        <v>43800</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2022-3</v>
      </c>
      <c r="D72" s="2757" t="str">
        <f>YEAR(D70)&amp;"-"&amp;ROUNDUP(MONTH(D70)/3,0)</f>
        <v>2022-2</v>
      </c>
      <c r="E72" s="2757" t="str">
        <f t="shared" ref="E72:N72" si="19">YEAR(E70)&amp;"-"&amp;ROUNDUP(MONTH(E70)/3,0)</f>
        <v>2022-1</v>
      </c>
      <c r="F72" s="2757" t="str">
        <f t="shared" si="19"/>
        <v>2021-4</v>
      </c>
      <c r="G72" s="2757" t="str">
        <f t="shared" si="19"/>
        <v>2021-3</v>
      </c>
      <c r="H72" s="2757" t="str">
        <f t="shared" si="19"/>
        <v>2021-2</v>
      </c>
      <c r="I72" s="2757" t="str">
        <f t="shared" si="19"/>
        <v>2021-1</v>
      </c>
      <c r="J72" s="2757" t="str">
        <f t="shared" si="19"/>
        <v>2020-4</v>
      </c>
      <c r="K72" s="2757" t="str">
        <f t="shared" si="19"/>
        <v>2020-3</v>
      </c>
      <c r="L72" s="2757" t="str">
        <f t="shared" si="19"/>
        <v>2020-2</v>
      </c>
      <c r="M72" s="2757" t="str">
        <f t="shared" si="19"/>
        <v>2020-1</v>
      </c>
      <c r="N72" s="2757" t="str">
        <f t="shared" si="19"/>
        <v>2019-4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8" t="s">
        <v>522</v>
      </c>
      <c r="D6" s="3429"/>
      <c r="E6" s="3452" t="s">
        <v>523</v>
      </c>
      <c r="F6" s="3453"/>
      <c r="G6" s="3428" t="s">
        <v>524</v>
      </c>
      <c r="H6" s="3429"/>
      <c r="I6" s="3428" t="s">
        <v>525</v>
      </c>
      <c r="J6" s="3429"/>
      <c r="K6" s="514" t="s">
        <v>526</v>
      </c>
      <c r="L6" s="2119"/>
      <c r="M6" s="2120"/>
      <c r="N6" s="2120"/>
      <c r="O6" s="2120"/>
      <c r="P6" s="3430" t="s">
        <v>527</v>
      </c>
      <c r="Q6" s="3431"/>
      <c r="R6" s="3416" t="s">
        <v>523</v>
      </c>
      <c r="S6" s="3417"/>
      <c r="T6" s="3416" t="s">
        <v>524</v>
      </c>
      <c r="U6" s="3417"/>
      <c r="V6" s="3436" t="s">
        <v>525</v>
      </c>
      <c r="W6" s="3436"/>
      <c r="X6" s="1554"/>
      <c r="Y6" s="3416" t="s">
        <v>527</v>
      </c>
      <c r="Z6" s="3417"/>
      <c r="AA6" s="3411" t="s">
        <v>523</v>
      </c>
      <c r="AB6" s="3412" t="s">
        <v>524</v>
      </c>
      <c r="AC6" s="3411" t="s">
        <v>525</v>
      </c>
    </row>
    <row r="7" spans="1:29" ht="15">
      <c r="A7" s="515"/>
      <c r="B7" s="516"/>
      <c r="C7" s="3439" t="s">
        <v>2931</v>
      </c>
      <c r="D7" s="3440"/>
      <c r="E7" s="3454" t="s">
        <v>2932</v>
      </c>
      <c r="F7" s="3455"/>
      <c r="G7" s="3439" t="s">
        <v>2933</v>
      </c>
      <c r="H7" s="3440"/>
      <c r="I7" s="3439" t="s">
        <v>2934</v>
      </c>
      <c r="J7" s="3440"/>
      <c r="K7" s="514"/>
      <c r="L7" s="2119"/>
      <c r="M7" s="2120"/>
      <c r="N7" s="2120"/>
      <c r="O7" s="2120"/>
      <c r="P7" s="3432"/>
      <c r="Q7" s="3433"/>
      <c r="R7" s="3418"/>
      <c r="S7" s="3419"/>
      <c r="T7" s="3418"/>
      <c r="U7" s="3419"/>
      <c r="V7" s="3436"/>
      <c r="W7" s="3436"/>
      <c r="X7" s="1554"/>
      <c r="Y7" s="3418"/>
      <c r="Z7" s="3419"/>
      <c r="AA7" s="3412"/>
      <c r="AB7" s="3412"/>
      <c r="AC7" s="3412"/>
    </row>
    <row r="8" spans="1:29" ht="15.75" thickBot="1">
      <c r="A8" s="517"/>
      <c r="B8" s="518"/>
      <c r="C8" s="3437" t="s">
        <v>2935</v>
      </c>
      <c r="D8" s="3438"/>
      <c r="E8" s="3456" t="s">
        <v>2935</v>
      </c>
      <c r="F8" s="3457"/>
      <c r="G8" s="3437" t="s">
        <v>2935</v>
      </c>
      <c r="H8" s="3438"/>
      <c r="I8" s="3437" t="s">
        <v>2935</v>
      </c>
      <c r="J8" s="3438"/>
      <c r="K8" s="514" t="s">
        <v>528</v>
      </c>
      <c r="L8" s="2119"/>
      <c r="M8" s="2120"/>
      <c r="N8" s="2120"/>
      <c r="O8" s="2120"/>
      <c r="P8" s="3434"/>
      <c r="Q8" s="3435"/>
      <c r="R8" s="3418"/>
      <c r="S8" s="3419"/>
      <c r="T8" s="3420"/>
      <c r="U8" s="3421"/>
      <c r="V8" s="3436"/>
      <c r="W8" s="3436"/>
      <c r="X8" s="1554"/>
      <c r="Y8" s="3420"/>
      <c r="Z8" s="3421"/>
      <c r="AA8" s="3413"/>
      <c r="AB8" s="3413"/>
      <c r="AC8" s="3413"/>
    </row>
    <row r="9" spans="1:29" s="1216" customFormat="1" ht="15.75" thickBot="1">
      <c r="A9" s="2868"/>
      <c r="B9" s="2875" t="s">
        <v>529</v>
      </c>
      <c r="C9" s="519">
        <f>'数据-取费表'!B2</f>
        <v>44827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4" t="s">
        <v>530</v>
      </c>
      <c r="Q9" s="3423"/>
      <c r="R9" s="1555" t="s">
        <v>8</v>
      </c>
      <c r="S9" s="1556">
        <f t="shared" ref="S9:S17" si="0">F9</f>
        <v>0</v>
      </c>
      <c r="T9" s="1555" t="s">
        <v>8</v>
      </c>
      <c r="U9" s="1556">
        <f t="shared" ref="U9:U17" si="1">H9</f>
        <v>0</v>
      </c>
      <c r="V9" s="1555" t="s">
        <v>8</v>
      </c>
      <c r="W9" s="1556">
        <f t="shared" ref="W9:W17" si="2">J9</f>
        <v>0</v>
      </c>
      <c r="X9" s="1557"/>
      <c r="Y9" s="3414" t="s">
        <v>530</v>
      </c>
      <c r="Z9" s="341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4" t="s">
        <v>533</v>
      </c>
      <c r="Q10" s="3415"/>
      <c r="R10" s="1555" t="s">
        <v>8</v>
      </c>
      <c r="S10" s="1556">
        <f t="shared" si="0"/>
        <v>0</v>
      </c>
      <c r="T10" s="1555" t="s">
        <v>8</v>
      </c>
      <c r="U10" s="1556">
        <f t="shared" si="1"/>
        <v>0</v>
      </c>
      <c r="V10" s="1555" t="s">
        <v>8</v>
      </c>
      <c r="W10" s="1556">
        <f t="shared" si="2"/>
        <v>0</v>
      </c>
      <c r="X10" s="1557"/>
      <c r="Y10" s="3414" t="s">
        <v>533</v>
      </c>
      <c r="Z10" s="3415"/>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22" t="s">
        <v>535</v>
      </c>
      <c r="Q11" s="1147" t="str">
        <f t="shared" ref="Q11:Q17" si="6">B11</f>
        <v>用途</v>
      </c>
      <c r="R11" s="1555" t="s">
        <v>8</v>
      </c>
      <c r="S11" s="1556">
        <f t="shared" si="0"/>
        <v>100</v>
      </c>
      <c r="T11" s="1555" t="s">
        <v>8</v>
      </c>
      <c r="U11" s="1556">
        <f t="shared" si="1"/>
        <v>100</v>
      </c>
      <c r="V11" s="1555" t="s">
        <v>8</v>
      </c>
      <c r="W11" s="1556">
        <f t="shared" si="2"/>
        <v>100</v>
      </c>
      <c r="X11" s="1557"/>
      <c r="Y11" s="3379"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t="e">
        <f>ROUND(100/'数据-取费表'!G16,0)</f>
        <v>#DIV/0!</v>
      </c>
      <c r="G12" s="528"/>
      <c r="H12" s="255" t="e">
        <f>ROUND(100/'数据-取费表'!G16,0)</f>
        <v>#DIV/0!</v>
      </c>
      <c r="I12" s="528"/>
      <c r="J12" s="255" t="e">
        <f>ROUND(100/'数据-取费表'!G16,0)</f>
        <v>#DIV/0!</v>
      </c>
      <c r="K12" s="531"/>
      <c r="L12" s="2124"/>
      <c r="M12" s="2164"/>
      <c r="N12" s="2164"/>
      <c r="O12" s="2125"/>
      <c r="P12" s="3422"/>
      <c r="Q12" s="1147" t="str">
        <f t="shared" si="6"/>
        <v>土地使用年限（年）</v>
      </c>
      <c r="R12" s="1555" t="s">
        <v>8</v>
      </c>
      <c r="S12" s="1556" t="e">
        <f t="shared" si="0"/>
        <v>#DIV/0!</v>
      </c>
      <c r="T12" s="1555" t="s">
        <v>8</v>
      </c>
      <c r="U12" s="1556" t="e">
        <f t="shared" si="1"/>
        <v>#DIV/0!</v>
      </c>
      <c r="V12" s="1555" t="s">
        <v>8</v>
      </c>
      <c r="W12" s="1556" t="e">
        <f t="shared" si="2"/>
        <v>#DIV/0!</v>
      </c>
      <c r="X12" s="1557"/>
      <c r="Y12" s="3379"/>
      <c r="Z12" s="1146" t="str">
        <f t="shared" si="7"/>
        <v>土地使用年限（年）</v>
      </c>
      <c r="AA12" s="1558" t="e">
        <f t="shared" si="3"/>
        <v>#DIV/0!</v>
      </c>
      <c r="AB12" s="1558" t="e">
        <f t="shared" si="4"/>
        <v>#DIV/0!</v>
      </c>
      <c r="AC12" s="1558" t="e">
        <f t="shared" si="5"/>
        <v>#DIV/0!</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22"/>
      <c r="Q13" s="1147" t="str">
        <f t="shared" si="6"/>
        <v>容积率</v>
      </c>
      <c r="R13" s="1555" t="s">
        <v>8</v>
      </c>
      <c r="S13" s="1556" t="e">
        <f t="shared" si="0"/>
        <v>#N/A</v>
      </c>
      <c r="T13" s="1555" t="s">
        <v>8</v>
      </c>
      <c r="U13" s="1556" t="e">
        <f t="shared" si="1"/>
        <v>#N/A</v>
      </c>
      <c r="V13" s="1555" t="s">
        <v>8</v>
      </c>
      <c r="W13" s="1556" t="e">
        <f t="shared" si="2"/>
        <v>#N/A</v>
      </c>
      <c r="X13" s="1557"/>
      <c r="Y13" s="337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22"/>
      <c r="Q14" s="1147">
        <f t="shared" si="6"/>
        <v>111</v>
      </c>
      <c r="R14" s="1555" t="s">
        <v>8</v>
      </c>
      <c r="S14" s="1556">
        <f t="shared" si="0"/>
        <v>100</v>
      </c>
      <c r="T14" s="1555" t="s">
        <v>8</v>
      </c>
      <c r="U14" s="1556">
        <f t="shared" si="1"/>
        <v>100</v>
      </c>
      <c r="V14" s="1555" t="s">
        <v>8</v>
      </c>
      <c r="W14" s="1556">
        <f t="shared" si="2"/>
        <v>100</v>
      </c>
      <c r="X14" s="1557"/>
      <c r="Y14" s="337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22"/>
      <c r="Q15" s="1147">
        <f t="shared" si="6"/>
        <v>111</v>
      </c>
      <c r="R15" s="1555" t="s">
        <v>8</v>
      </c>
      <c r="S15" s="1556">
        <f t="shared" si="0"/>
        <v>100</v>
      </c>
      <c r="T15" s="1555" t="s">
        <v>8</v>
      </c>
      <c r="U15" s="1556">
        <f t="shared" si="1"/>
        <v>100</v>
      </c>
      <c r="V15" s="1555" t="s">
        <v>8</v>
      </c>
      <c r="W15" s="1556">
        <f t="shared" si="2"/>
        <v>100</v>
      </c>
      <c r="X15" s="1557"/>
      <c r="Y15" s="337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22"/>
      <c r="Q16" s="1147">
        <f t="shared" si="6"/>
        <v>111</v>
      </c>
      <c r="R16" s="1555" t="s">
        <v>8</v>
      </c>
      <c r="S16" s="1556">
        <f t="shared" si="0"/>
        <v>100</v>
      </c>
      <c r="T16" s="1555" t="s">
        <v>8</v>
      </c>
      <c r="U16" s="1556">
        <f t="shared" si="1"/>
        <v>100</v>
      </c>
      <c r="V16" s="1555" t="s">
        <v>8</v>
      </c>
      <c r="W16" s="1556">
        <f t="shared" si="2"/>
        <v>100</v>
      </c>
      <c r="X16" s="1557"/>
      <c r="Y16" s="3379"/>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4" t="s">
        <v>540</v>
      </c>
      <c r="Q17" s="1559" t="str">
        <f t="shared" si="6"/>
        <v>产业集聚程度</v>
      </c>
      <c r="R17" s="1560" t="s">
        <v>8</v>
      </c>
      <c r="S17" s="1561">
        <f t="shared" si="0"/>
        <v>100</v>
      </c>
      <c r="T17" s="1560" t="s">
        <v>8</v>
      </c>
      <c r="U17" s="1561">
        <f t="shared" si="1"/>
        <v>100</v>
      </c>
      <c r="V17" s="1560" t="s">
        <v>8</v>
      </c>
      <c r="W17" s="1561">
        <f t="shared" si="2"/>
        <v>100</v>
      </c>
      <c r="X17" s="1554"/>
      <c r="Y17" s="342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5"/>
      <c r="Q18" s="1559"/>
      <c r="R18" s="1560"/>
      <c r="S18" s="1561"/>
      <c r="T18" s="1560"/>
      <c r="U18" s="1561"/>
      <c r="V18" s="1560"/>
      <c r="W18" s="1561"/>
      <c r="X18" s="1554"/>
      <c r="Y18" s="342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5"/>
      <c r="Q19" s="1559" t="str">
        <f>B19</f>
        <v>交通便捷度</v>
      </c>
      <c r="R19" s="1560" t="s">
        <v>8</v>
      </c>
      <c r="S19" s="1561">
        <f>F19</f>
        <v>100</v>
      </c>
      <c r="T19" s="1560" t="s">
        <v>8</v>
      </c>
      <c r="U19" s="1561">
        <f>H19</f>
        <v>100</v>
      </c>
      <c r="V19" s="1560" t="s">
        <v>8</v>
      </c>
      <c r="W19" s="1561">
        <f>J19</f>
        <v>100</v>
      </c>
      <c r="X19" s="1554"/>
      <c r="Y19" s="342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5"/>
      <c r="Q20" s="1559"/>
      <c r="R20" s="1560"/>
      <c r="S20" s="1561"/>
      <c r="T20" s="1560"/>
      <c r="U20" s="1561"/>
      <c r="V20" s="1560"/>
      <c r="W20" s="1561"/>
      <c r="X20" s="1554"/>
      <c r="Y20" s="342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5"/>
      <c r="Q21" s="1559" t="str">
        <f t="shared" ref="Q21:Q35" si="8">B21</f>
        <v>区域土地利用方向</v>
      </c>
      <c r="R21" s="1560" t="s">
        <v>8</v>
      </c>
      <c r="S21" s="1561">
        <f>F21</f>
        <v>100</v>
      </c>
      <c r="T21" s="1560" t="s">
        <v>8</v>
      </c>
      <c r="U21" s="1561">
        <f>H21</f>
        <v>100</v>
      </c>
      <c r="V21" s="1560" t="s">
        <v>8</v>
      </c>
      <c r="W21" s="1561">
        <f>J21</f>
        <v>100</v>
      </c>
      <c r="X21" s="1554"/>
      <c r="Y21" s="342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5"/>
      <c r="Q22" s="1559"/>
      <c r="R22" s="1560"/>
      <c r="S22" s="1561"/>
      <c r="T22" s="1560"/>
      <c r="U22" s="1561"/>
      <c r="V22" s="1560"/>
      <c r="W22" s="1561"/>
      <c r="X22" s="1554"/>
      <c r="Y22" s="342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5"/>
      <c r="Q23" s="1559" t="str">
        <f t="shared" si="8"/>
        <v>环境状况</v>
      </c>
      <c r="R23" s="1560" t="s">
        <v>8</v>
      </c>
      <c r="S23" s="1561">
        <f>F23</f>
        <v>100</v>
      </c>
      <c r="T23" s="1560" t="s">
        <v>8</v>
      </c>
      <c r="U23" s="1561">
        <f>H23</f>
        <v>100</v>
      </c>
      <c r="V23" s="1560" t="s">
        <v>8</v>
      </c>
      <c r="W23" s="1561">
        <f>J23</f>
        <v>100</v>
      </c>
      <c r="X23" s="1554"/>
      <c r="Y23" s="342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5"/>
      <c r="Q24" s="1559"/>
      <c r="R24" s="1560"/>
      <c r="S24" s="1561"/>
      <c r="T24" s="1560"/>
      <c r="U24" s="1561"/>
      <c r="V24" s="1560"/>
      <c r="W24" s="1561"/>
      <c r="X24" s="1554"/>
      <c r="Y24" s="342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5"/>
      <c r="Q25" s="1147" t="str">
        <f t="shared" si="8"/>
        <v>公共配套设施</v>
      </c>
      <c r="R25" s="1555" t="s">
        <v>8</v>
      </c>
      <c r="S25" s="1556">
        <f>F25</f>
        <v>100</v>
      </c>
      <c r="T25" s="1555" t="s">
        <v>8</v>
      </c>
      <c r="U25" s="1556">
        <f>H25</f>
        <v>100</v>
      </c>
      <c r="V25" s="1555" t="s">
        <v>8</v>
      </c>
      <c r="W25" s="1556">
        <f>J25</f>
        <v>100</v>
      </c>
      <c r="X25" s="1557"/>
      <c r="Y25" s="342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5"/>
      <c r="Q26" s="1147"/>
      <c r="R26" s="1555"/>
      <c r="S26" s="1556"/>
      <c r="T26" s="1555"/>
      <c r="U26" s="1556"/>
      <c r="V26" s="1555"/>
      <c r="W26" s="1556"/>
      <c r="X26" s="1557"/>
      <c r="Y26" s="342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5"/>
      <c r="Q27" s="2543" t="str">
        <f t="shared" ref="Q27" si="9">B27</f>
        <v>基础设施水平</v>
      </c>
      <c r="R27" s="1555" t="s">
        <v>8</v>
      </c>
      <c r="S27" s="1556">
        <f>F27</f>
        <v>100</v>
      </c>
      <c r="T27" s="1555" t="s">
        <v>8</v>
      </c>
      <c r="U27" s="1556">
        <f>H27</f>
        <v>100</v>
      </c>
      <c r="V27" s="1555" t="s">
        <v>8</v>
      </c>
      <c r="W27" s="1556">
        <f>J27</f>
        <v>100</v>
      </c>
      <c r="X27" s="1557"/>
      <c r="Y27" s="342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5"/>
      <c r="Q28" s="2543"/>
      <c r="R28" s="1555"/>
      <c r="S28" s="1556"/>
      <c r="T28" s="1555"/>
      <c r="U28" s="1556"/>
      <c r="V28" s="1555"/>
      <c r="W28" s="1556"/>
      <c r="X28" s="1557"/>
      <c r="Y28" s="342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5"/>
      <c r="Q30" s="1559" t="str">
        <f t="shared" si="8"/>
        <v>毗邻道路的类型与等级</v>
      </c>
      <c r="R30" s="1560" t="s">
        <v>8</v>
      </c>
      <c r="S30" s="1561">
        <f t="shared" si="10"/>
        <v>100</v>
      </c>
      <c r="T30" s="1560" t="s">
        <v>8</v>
      </c>
      <c r="U30" s="1561">
        <f t="shared" si="11"/>
        <v>100</v>
      </c>
      <c r="V30" s="1560" t="s">
        <v>8</v>
      </c>
      <c r="W30" s="1561">
        <f t="shared" si="12"/>
        <v>100</v>
      </c>
      <c r="X30" s="1554"/>
      <c r="Y30" s="342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5"/>
      <c r="Q31" s="1559"/>
      <c r="R31" s="1560"/>
      <c r="S31" s="1561"/>
      <c r="T31" s="1560"/>
      <c r="U31" s="1561"/>
      <c r="V31" s="1560"/>
      <c r="W31" s="1561"/>
      <c r="X31" s="1554"/>
      <c r="Y31" s="342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5"/>
      <c r="Q32" s="1559" t="str">
        <f t="shared" si="8"/>
        <v>土地级别</v>
      </c>
      <c r="R32" s="1560" t="s">
        <v>8</v>
      </c>
      <c r="S32" s="1561">
        <f t="shared" si="10"/>
        <v>100</v>
      </c>
      <c r="T32" s="1560" t="s">
        <v>8</v>
      </c>
      <c r="U32" s="1561">
        <f t="shared" si="11"/>
        <v>100</v>
      </c>
      <c r="V32" s="1560" t="s">
        <v>8</v>
      </c>
      <c r="W32" s="1561">
        <f t="shared" si="12"/>
        <v>100</v>
      </c>
      <c r="X32" s="1554"/>
      <c r="Y32" s="342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5"/>
      <c r="Q33" s="1559">
        <f t="shared" si="8"/>
        <v>111</v>
      </c>
      <c r="R33" s="1560" t="s">
        <v>8</v>
      </c>
      <c r="S33" s="1561">
        <f t="shared" si="10"/>
        <v>100</v>
      </c>
      <c r="T33" s="1560" t="s">
        <v>8</v>
      </c>
      <c r="U33" s="1561">
        <f t="shared" si="11"/>
        <v>100</v>
      </c>
      <c r="V33" s="1560" t="s">
        <v>8</v>
      </c>
      <c r="W33" s="1561">
        <f t="shared" si="12"/>
        <v>100</v>
      </c>
      <c r="X33" s="1554"/>
      <c r="Y33" s="342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6" t="s">
        <v>550</v>
      </c>
      <c r="Q34" s="1559">
        <f t="shared" si="8"/>
        <v>111</v>
      </c>
      <c r="R34" s="1560" t="s">
        <v>8</v>
      </c>
      <c r="S34" s="1561">
        <f t="shared" si="10"/>
        <v>100</v>
      </c>
      <c r="T34" s="1560" t="s">
        <v>8</v>
      </c>
      <c r="U34" s="1561">
        <f t="shared" si="11"/>
        <v>100</v>
      </c>
      <c r="V34" s="1560" t="s">
        <v>8</v>
      </c>
      <c r="W34" s="1561">
        <f t="shared" si="12"/>
        <v>100</v>
      </c>
      <c r="X34" s="1554"/>
      <c r="Y34" s="342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7"/>
      <c r="Q35" s="1559">
        <f t="shared" si="8"/>
        <v>111</v>
      </c>
      <c r="R35" s="1564" t="s">
        <v>8</v>
      </c>
      <c r="S35" s="1565">
        <f t="shared" si="10"/>
        <v>100</v>
      </c>
      <c r="T35" s="1564" t="s">
        <v>8</v>
      </c>
      <c r="U35" s="1565">
        <f t="shared" si="11"/>
        <v>100</v>
      </c>
      <c r="V35" s="1564" t="s">
        <v>8</v>
      </c>
      <c r="W35" s="1565">
        <f t="shared" si="12"/>
        <v>100</v>
      </c>
      <c r="X35" s="1566"/>
      <c r="Y35" s="342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7"/>
      <c r="Q36" s="1559" t="str">
        <f>B36</f>
        <v>宗地面积</v>
      </c>
      <c r="R36" s="1560" t="s">
        <v>8</v>
      </c>
      <c r="S36" s="1561" t="e">
        <f t="shared" si="10"/>
        <v>#N/A</v>
      </c>
      <c r="T36" s="1560" t="s">
        <v>8</v>
      </c>
      <c r="U36" s="1561" t="e">
        <f t="shared" si="11"/>
        <v>#N/A</v>
      </c>
      <c r="V36" s="1560" t="s">
        <v>8</v>
      </c>
      <c r="W36" s="1561" t="e">
        <f t="shared" si="12"/>
        <v>#N/A</v>
      </c>
      <c r="X36" s="1554"/>
      <c r="Y36" s="342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7"/>
      <c r="Q37" s="1559" t="str">
        <f t="shared" ref="Q37:Q42" si="14">B37</f>
        <v>宗地形状</v>
      </c>
      <c r="R37" s="1560" t="s">
        <v>8</v>
      </c>
      <c r="S37" s="1561">
        <f t="shared" si="10"/>
        <v>100</v>
      </c>
      <c r="T37" s="1560" t="s">
        <v>8</v>
      </c>
      <c r="U37" s="1561">
        <f t="shared" si="11"/>
        <v>100</v>
      </c>
      <c r="V37" s="1560" t="s">
        <v>8</v>
      </c>
      <c r="W37" s="1561">
        <f t="shared" si="12"/>
        <v>100</v>
      </c>
      <c r="X37" s="1554"/>
      <c r="Y37" s="342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7"/>
      <c r="Q38" s="1559" t="str">
        <f t="shared" si="14"/>
        <v>宗地开发程度</v>
      </c>
      <c r="R38" s="1555" t="s">
        <v>8</v>
      </c>
      <c r="S38" s="1556">
        <f t="shared" si="10"/>
        <v>100</v>
      </c>
      <c r="T38" s="1555" t="s">
        <v>8</v>
      </c>
      <c r="U38" s="1556">
        <f t="shared" si="11"/>
        <v>100</v>
      </c>
      <c r="V38" s="1555" t="s">
        <v>8</v>
      </c>
      <c r="W38" s="1556">
        <f t="shared" si="12"/>
        <v>100</v>
      </c>
      <c r="X38" s="1557"/>
      <c r="Y38" s="342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7" t="s">
        <v>601</v>
      </c>
      <c r="Q39" s="1559" t="str">
        <f t="shared" si="14"/>
        <v>工程地质条件</v>
      </c>
      <c r="R39" s="1560" t="s">
        <v>8</v>
      </c>
      <c r="S39" s="1561">
        <f t="shared" si="10"/>
        <v>100</v>
      </c>
      <c r="T39" s="1560" t="s">
        <v>8</v>
      </c>
      <c r="U39" s="1561">
        <f t="shared" si="11"/>
        <v>100</v>
      </c>
      <c r="V39" s="1560" t="s">
        <v>8</v>
      </c>
      <c r="W39" s="1561">
        <f t="shared" si="12"/>
        <v>100</v>
      </c>
      <c r="X39" s="1554"/>
      <c r="Y39" s="342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7"/>
      <c r="Q40" s="1559">
        <f t="shared" si="14"/>
        <v>111</v>
      </c>
      <c r="R40" s="1560" t="s">
        <v>8</v>
      </c>
      <c r="S40" s="1561">
        <f t="shared" si="10"/>
        <v>100</v>
      </c>
      <c r="T40" s="1560" t="s">
        <v>8</v>
      </c>
      <c r="U40" s="1561">
        <f t="shared" si="11"/>
        <v>100</v>
      </c>
      <c r="V40" s="1560" t="s">
        <v>8</v>
      </c>
      <c r="W40" s="1561">
        <f t="shared" si="12"/>
        <v>100</v>
      </c>
      <c r="X40" s="1554"/>
      <c r="Y40" s="342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7"/>
      <c r="Q41" s="1559">
        <f t="shared" si="14"/>
        <v>111</v>
      </c>
      <c r="R41" s="1560" t="s">
        <v>8</v>
      </c>
      <c r="S41" s="1561">
        <f t="shared" si="10"/>
        <v>100</v>
      </c>
      <c r="T41" s="1560" t="s">
        <v>8</v>
      </c>
      <c r="U41" s="1561">
        <f t="shared" si="11"/>
        <v>100</v>
      </c>
      <c r="V41" s="1560" t="s">
        <v>8</v>
      </c>
      <c r="W41" s="1561">
        <f t="shared" si="12"/>
        <v>100</v>
      </c>
      <c r="X41" s="1554"/>
      <c r="Y41" s="342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7"/>
      <c r="Q42" s="1559">
        <f t="shared" si="14"/>
        <v>111</v>
      </c>
      <c r="R42" s="1564" t="s">
        <v>8</v>
      </c>
      <c r="S42" s="1565">
        <f t="shared" si="10"/>
        <v>100</v>
      </c>
      <c r="T42" s="1564" t="s">
        <v>8</v>
      </c>
      <c r="U42" s="1565">
        <f t="shared" si="11"/>
        <v>100</v>
      </c>
      <c r="V42" s="1564" t="s">
        <v>8</v>
      </c>
      <c r="W42" s="1565">
        <f t="shared" si="12"/>
        <v>100</v>
      </c>
      <c r="X42" s="1566"/>
      <c r="Y42" s="342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22" t="str">
        <f>A43</f>
        <v>成交单价</v>
      </c>
      <c r="Q43" s="3422"/>
      <c r="R43" s="3436">
        <f>E43</f>
        <v>0</v>
      </c>
      <c r="S43" s="3436"/>
      <c r="T43" s="3436">
        <f>G43</f>
        <v>0</v>
      </c>
      <c r="U43" s="3436"/>
      <c r="V43" s="3436">
        <f>I43</f>
        <v>0</v>
      </c>
      <c r="W43" s="3436"/>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22" t="str">
        <f>A44</f>
        <v>比较价格（元/平方米）</v>
      </c>
      <c r="Q44" s="3422"/>
      <c r="R44" s="3446" t="e">
        <f>ROUND(PRODUCT(R43,AA9:AA42),0)</f>
        <v>#DIV/0!</v>
      </c>
      <c r="S44" s="3446"/>
      <c r="T44" s="3446" t="e">
        <f>ROUND(PRODUCT(T43,AB9:AB42),0)</f>
        <v>#DIV/0!</v>
      </c>
      <c r="U44" s="3446"/>
      <c r="V44" s="3446" t="e">
        <f>ROUND(PRODUCT(V43,AC9:AC42),0)</f>
        <v>#DIV/0!</v>
      </c>
      <c r="W44" s="3446"/>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43" t="str">
        <f>A45</f>
        <v>估价对象XX用房的比较价格（楼面单价，元/平方米）</v>
      </c>
      <c r="Q45" s="3444"/>
      <c r="R45" s="3445" t="e">
        <f>ROUND(AVERAGE(R44:V44),0)</f>
        <v>#DIV/0!</v>
      </c>
      <c r="S45" s="3445"/>
      <c r="T45" s="3445"/>
      <c r="U45" s="3445"/>
      <c r="V45" s="3445"/>
      <c r="W45" s="344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7" t="s">
        <v>2284</v>
      </c>
      <c r="H52" s="3448"/>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0</v>
      </c>
      <c r="F53" s="1936" t="e">
        <f t="shared" ref="F53:F62" si="15">ROUND(B53*E53/10000,0)</f>
        <v>#DIV/0!</v>
      </c>
      <c r="G53" s="3449"/>
      <c r="H53" s="345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1"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t="e">
        <f>IF(B43="楼面地价",SUM(E53:E62),'数据-汇总表'!D3)</f>
        <v>#DIV/0!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2022-9-1</v>
      </c>
      <c r="D65" s="2755">
        <f>EDATE(C65,-3)</f>
        <v>44713</v>
      </c>
      <c r="E65" s="2755">
        <f t="shared" ref="E65:N65" si="18">EDATE(D65,-3)</f>
        <v>44621</v>
      </c>
      <c r="F65" s="2755">
        <f t="shared" si="18"/>
        <v>44531</v>
      </c>
      <c r="G65" s="2755">
        <f t="shared" si="18"/>
        <v>44440</v>
      </c>
      <c r="H65" s="2755">
        <f t="shared" si="18"/>
        <v>44348</v>
      </c>
      <c r="I65" s="2755">
        <f t="shared" si="18"/>
        <v>44256</v>
      </c>
      <c r="J65" s="2755">
        <f t="shared" si="18"/>
        <v>44166</v>
      </c>
      <c r="K65" s="2755">
        <f t="shared" si="18"/>
        <v>44075</v>
      </c>
      <c r="L65" s="2755">
        <f t="shared" si="18"/>
        <v>43983</v>
      </c>
      <c r="M65" s="2755">
        <f t="shared" si="18"/>
        <v>43891</v>
      </c>
      <c r="N65" s="2755">
        <f t="shared" si="18"/>
        <v>43800</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2022-3</v>
      </c>
      <c r="D67" s="2757" t="str">
        <f t="shared" ref="D67:N67" si="19">YEAR(D65)&amp;"-"&amp;ROUNDUP(MONTH(D65)/3,0)</f>
        <v>2022-2</v>
      </c>
      <c r="E67" s="2757" t="str">
        <f t="shared" si="19"/>
        <v>2022-1</v>
      </c>
      <c r="F67" s="2757" t="str">
        <f t="shared" si="19"/>
        <v>2021-4</v>
      </c>
      <c r="G67" s="2757" t="str">
        <f t="shared" si="19"/>
        <v>2021-3</v>
      </c>
      <c r="H67" s="2757" t="str">
        <f t="shared" si="19"/>
        <v>2021-2</v>
      </c>
      <c r="I67" s="2757" t="str">
        <f t="shared" si="19"/>
        <v>2021-1</v>
      </c>
      <c r="J67" s="2757" t="str">
        <f t="shared" si="19"/>
        <v>2020-4</v>
      </c>
      <c r="K67" s="2757" t="str">
        <f t="shared" si="19"/>
        <v>2020-3</v>
      </c>
      <c r="L67" s="2757" t="str">
        <f t="shared" si="19"/>
        <v>2020-2</v>
      </c>
      <c r="M67" s="2757" t="str">
        <f t="shared" si="19"/>
        <v>2020-1</v>
      </c>
      <c r="N67" s="2757" t="str">
        <f t="shared" si="19"/>
        <v>2019-4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59"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60"/>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70" t="s">
        <v>2783</v>
      </c>
      <c r="X8" s="347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0"/>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69"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0"/>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6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0"/>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69"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9"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69"/>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1"/>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69"/>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61"/>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62"/>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59" t="s">
        <v>1838</v>
      </c>
      <c r="B16" s="1424" t="s">
        <v>950</v>
      </c>
      <c r="C16" s="1052" t="e">
        <f>ROUND(IF(F17="与级别开发程度一致",0,(G17-E17)/C17),0)</f>
        <v>#DIV/0!</v>
      </c>
      <c r="D16" s="3477" t="s">
        <v>954</v>
      </c>
      <c r="E16" s="3478"/>
      <c r="F16" s="3477" t="s">
        <v>951</v>
      </c>
      <c r="G16" s="3478"/>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63"/>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44827</v>
      </c>
      <c r="H19" s="1464" t="s">
        <v>3160</v>
      </c>
      <c r="I19" s="2741" t="str">
        <f>IF(H19="季度增幅（自定义）",SUMIF(N21:N24,E2,O21:O24),"")</f>
        <v/>
      </c>
      <c r="J19" s="1460"/>
      <c r="K19" s="3149"/>
      <c r="L19" s="2992" t="s">
        <v>2841</v>
      </c>
      <c r="M19" s="2993">
        <f>ROUND(SUMIF(地价!B2:F2,E2,地价!B27:F27),0)</f>
        <v>230</v>
      </c>
      <c r="N19" s="2743" t="s">
        <v>1676</v>
      </c>
      <c r="O19" s="2742">
        <f>ROUNDDOWN(DATEDIF(E19,G19,"M")/3,0)</f>
        <v>34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0.72840000000000005</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22.92</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6"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7"/>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7"/>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8"/>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64" t="s">
        <v>1633</v>
      </c>
      <c r="B90" s="3464"/>
      <c r="C90" s="3464"/>
      <c r="D90" s="3464"/>
      <c r="E90" s="3464"/>
      <c r="F90" s="3464"/>
      <c r="G90" s="3464"/>
      <c r="H90" s="3464"/>
      <c r="I90" s="3464"/>
      <c r="J90" s="3464"/>
      <c r="K90" s="2415"/>
      <c r="L90" s="2415"/>
      <c r="M90" s="2415"/>
      <c r="N90" s="2415"/>
    </row>
    <row r="91" spans="1:40">
      <c r="A91" s="3465" t="s">
        <v>1443</v>
      </c>
      <c r="B91" s="3465" t="s">
        <v>1634</v>
      </c>
      <c r="C91" s="1136" t="s">
        <v>1635</v>
      </c>
      <c r="D91" s="1137"/>
      <c r="E91" s="1137"/>
      <c r="F91" s="1137"/>
      <c r="G91" s="1137"/>
      <c r="H91" s="1137"/>
      <c r="I91" s="1137"/>
      <c r="J91" s="1138"/>
      <c r="K91" s="1130"/>
      <c r="L91" s="1130"/>
      <c r="M91" s="1130"/>
      <c r="N91" s="1130"/>
    </row>
    <row r="92" spans="1:40">
      <c r="A92" s="3465"/>
      <c r="B92" s="346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7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7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7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7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7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7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7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73"/>
      <c r="B108" s="347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4"/>
      <c r="B109" s="347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8" t="s">
        <v>1639</v>
      </c>
      <c r="B110" s="3458"/>
      <c r="C110" s="3458"/>
      <c r="D110" s="3458"/>
      <c r="E110" s="3458"/>
      <c r="F110" s="3458"/>
      <c r="G110" s="3458"/>
      <c r="H110" s="3458"/>
      <c r="I110" s="3458"/>
      <c r="J110" s="3458"/>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5" t="s">
        <v>1007</v>
      </c>
      <c r="B18" s="1150" t="s">
        <v>1446</v>
      </c>
      <c r="C18" s="1127" t="s">
        <v>1447</v>
      </c>
      <c r="D18" s="1128"/>
      <c r="E18" s="1150">
        <v>1</v>
      </c>
      <c r="F18" s="1129" t="s">
        <v>1448</v>
      </c>
      <c r="G18" s="1130"/>
      <c r="H18" s="1101"/>
      <c r="I18" s="1101"/>
    </row>
    <row r="19" spans="1:9" s="1585" customFormat="1" ht="19.5" customHeight="1">
      <c r="A19" s="3465"/>
      <c r="B19" s="3465" t="s">
        <v>1449</v>
      </c>
      <c r="C19" s="1127" t="s">
        <v>1450</v>
      </c>
      <c r="D19" s="1128"/>
      <c r="E19" s="1150">
        <v>0.9</v>
      </c>
      <c r="F19" s="1129" t="s">
        <v>1451</v>
      </c>
      <c r="G19" s="1130"/>
      <c r="H19" s="1101"/>
      <c r="I19" s="1101"/>
    </row>
    <row r="20" spans="1:9" s="1585" customFormat="1" ht="19.5" customHeight="1">
      <c r="A20" s="3465"/>
      <c r="B20" s="3465"/>
      <c r="C20" s="1127" t="s">
        <v>1452</v>
      </c>
      <c r="D20" s="1128"/>
      <c r="E20" s="1150">
        <v>1.1000000000000001</v>
      </c>
      <c r="F20" s="1129" t="s">
        <v>1453</v>
      </c>
      <c r="G20" s="1130"/>
      <c r="H20" s="1101"/>
      <c r="I20" s="1101"/>
    </row>
    <row r="21" spans="1:9" s="1585" customFormat="1" ht="19.5" customHeight="1">
      <c r="A21" s="3465"/>
      <c r="B21" s="3465"/>
      <c r="C21" s="1127" t="s">
        <v>1454</v>
      </c>
      <c r="D21" s="1128"/>
      <c r="E21" s="1150">
        <v>0.8</v>
      </c>
      <c r="F21" s="1129" t="s">
        <v>1455</v>
      </c>
      <c r="G21" s="1130"/>
      <c r="H21" s="1101"/>
      <c r="I21" s="1101"/>
    </row>
    <row r="22" spans="1:9" s="1585" customFormat="1" ht="19.5" customHeight="1">
      <c r="A22" s="3465"/>
      <c r="B22" s="3465"/>
      <c r="C22" s="1127" t="s">
        <v>1456</v>
      </c>
      <c r="D22" s="1128"/>
      <c r="E22" s="1150">
        <v>0.5</v>
      </c>
      <c r="F22" s="1129"/>
      <c r="G22" s="1130"/>
      <c r="H22" s="1101"/>
      <c r="I22" s="1101"/>
    </row>
    <row r="23" spans="1:9" s="1585" customFormat="1" ht="19.5" customHeight="1">
      <c r="A23" s="3465" t="s">
        <v>1029</v>
      </c>
      <c r="B23" s="1150" t="s">
        <v>1446</v>
      </c>
      <c r="C23" s="1127" t="s">
        <v>1457</v>
      </c>
      <c r="D23" s="1128"/>
      <c r="E23" s="1150">
        <v>1</v>
      </c>
      <c r="F23" s="1129" t="s">
        <v>1458</v>
      </c>
      <c r="G23" s="1130"/>
      <c r="H23" s="1101"/>
      <c r="I23" s="1101"/>
    </row>
    <row r="24" spans="1:9" s="1585" customFormat="1" ht="19.5" customHeight="1">
      <c r="A24" s="3465"/>
      <c r="B24" s="3465" t="s">
        <v>1449</v>
      </c>
      <c r="C24" s="1127" t="s">
        <v>1459</v>
      </c>
      <c r="D24" s="1128"/>
      <c r="E24" s="1150">
        <v>0.5</v>
      </c>
      <c r="F24" s="1129"/>
      <c r="G24" s="1130"/>
      <c r="H24" s="1101"/>
      <c r="I24" s="1101"/>
    </row>
    <row r="25" spans="1:9" s="1585" customFormat="1" ht="19.5" customHeight="1">
      <c r="A25" s="3465"/>
      <c r="B25" s="3465"/>
      <c r="C25" s="1127" t="s">
        <v>1460</v>
      </c>
      <c r="D25" s="1128"/>
      <c r="E25" s="1150">
        <v>1.1000000000000001</v>
      </c>
      <c r="F25" s="1129"/>
      <c r="G25" s="1130"/>
      <c r="H25" s="1101"/>
      <c r="I25" s="1101"/>
    </row>
    <row r="26" spans="1:9" s="1585" customFormat="1" ht="19.5" customHeight="1">
      <c r="A26" s="3465"/>
      <c r="B26" s="3465"/>
      <c r="C26" s="1127" t="s">
        <v>1461</v>
      </c>
      <c r="D26" s="1128"/>
      <c r="E26" s="1150">
        <v>1.1000000000000001</v>
      </c>
      <c r="F26" s="1129"/>
      <c r="G26" s="1130"/>
      <c r="H26" s="1101"/>
      <c r="I26" s="1101"/>
    </row>
    <row r="27" spans="1:9" s="1585" customFormat="1" ht="19.5" customHeight="1">
      <c r="A27" s="3465"/>
      <c r="B27" s="3465"/>
      <c r="C27" s="1127" t="s">
        <v>1462</v>
      </c>
      <c r="D27" s="1128"/>
      <c r="E27" s="1150">
        <v>0.9</v>
      </c>
      <c r="F27" s="1129" t="s">
        <v>1463</v>
      </c>
      <c r="G27" s="1130"/>
      <c r="H27" s="1101"/>
      <c r="I27" s="1101"/>
    </row>
    <row r="28" spans="1:9" s="1585" customFormat="1" ht="19.5" customHeight="1">
      <c r="A28" s="3465"/>
      <c r="B28" s="3465"/>
      <c r="C28" s="1127" t="s">
        <v>1464</v>
      </c>
      <c r="D28" s="1128"/>
      <c r="E28" s="1150">
        <v>0.9</v>
      </c>
      <c r="F28" s="1129" t="s">
        <v>1465</v>
      </c>
      <c r="G28" s="1130"/>
      <c r="H28" s="1101"/>
      <c r="I28" s="1101"/>
    </row>
    <row r="29" spans="1:9" s="1585" customFormat="1" ht="19.5" customHeight="1">
      <c r="A29" s="3465"/>
      <c r="B29" s="3465"/>
      <c r="C29" s="1127" t="s">
        <v>1466</v>
      </c>
      <c r="D29" s="1128"/>
      <c r="E29" s="1150">
        <v>0.9</v>
      </c>
      <c r="F29" s="1129" t="s">
        <v>1467</v>
      </c>
      <c r="G29" s="1130"/>
      <c r="H29" s="1101"/>
      <c r="I29" s="1101"/>
    </row>
    <row r="30" spans="1:9" s="1585" customFormat="1" ht="19.5" customHeight="1">
      <c r="A30" s="3465"/>
      <c r="B30" s="3465"/>
      <c r="C30" s="1127" t="s">
        <v>1468</v>
      </c>
      <c r="D30" s="1128"/>
      <c r="E30" s="1150">
        <v>0.9</v>
      </c>
      <c r="F30" s="1129" t="s">
        <v>1469</v>
      </c>
      <c r="G30" s="1130"/>
      <c r="H30" s="1101"/>
      <c r="I30" s="1101"/>
    </row>
    <row r="31" spans="1:9" s="1585" customFormat="1" ht="19.5" customHeight="1">
      <c r="A31" s="3465"/>
      <c r="B31" s="3465"/>
      <c r="C31" s="1127" t="s">
        <v>1470</v>
      </c>
      <c r="D31" s="1128"/>
      <c r="E31" s="1150">
        <v>0.8</v>
      </c>
      <c r="F31" s="1129" t="s">
        <v>1471</v>
      </c>
      <c r="G31" s="1130"/>
      <c r="H31" s="1101"/>
      <c r="I31" s="1101"/>
    </row>
    <row r="32" spans="1:9" s="1585" customFormat="1" ht="19.5" customHeight="1">
      <c r="A32" s="3465"/>
      <c r="B32" s="3465"/>
      <c r="C32" s="1127" t="s">
        <v>1472</v>
      </c>
      <c r="D32" s="1128"/>
      <c r="E32" s="1150">
        <v>0.8</v>
      </c>
      <c r="F32" s="1129" t="s">
        <v>1473</v>
      </c>
      <c r="G32" s="1130"/>
      <c r="H32" s="1101"/>
      <c r="I32" s="1101"/>
    </row>
    <row r="33" spans="1:9" s="1585" customFormat="1" ht="19.5" customHeight="1">
      <c r="A33" s="3465" t="s">
        <v>1474</v>
      </c>
      <c r="B33" s="1150" t="s">
        <v>1446</v>
      </c>
      <c r="C33" s="1127" t="s">
        <v>1475</v>
      </c>
      <c r="D33" s="1128"/>
      <c r="E33" s="1150">
        <v>1</v>
      </c>
      <c r="F33" s="1129" t="s">
        <v>1476</v>
      </c>
      <c r="G33" s="1130"/>
      <c r="H33" s="1101"/>
      <c r="I33" s="1101"/>
    </row>
    <row r="34" spans="1:9" s="1585" customFormat="1" ht="19.5" customHeight="1">
      <c r="A34" s="3465"/>
      <c r="B34" s="1150" t="s">
        <v>1449</v>
      </c>
      <c r="C34" s="1127" t="s">
        <v>1477</v>
      </c>
      <c r="D34" s="1128"/>
      <c r="E34" s="1150">
        <v>1.5</v>
      </c>
      <c r="F34" s="1129" t="s">
        <v>1478</v>
      </c>
      <c r="G34" s="1130"/>
      <c r="H34" s="1101"/>
      <c r="I34" s="1101"/>
    </row>
    <row r="35" spans="1:9" s="1585" customFormat="1" ht="19.5" customHeight="1">
      <c r="A35" s="3465" t="s">
        <v>1432</v>
      </c>
      <c r="B35" s="1150" t="s">
        <v>1446</v>
      </c>
      <c r="C35" s="1127" t="s">
        <v>1479</v>
      </c>
      <c r="D35" s="1128"/>
      <c r="E35" s="1150">
        <v>1</v>
      </c>
      <c r="F35" s="1129" t="s">
        <v>1480</v>
      </c>
      <c r="G35" s="1130"/>
      <c r="H35" s="1101"/>
      <c r="I35" s="1101"/>
    </row>
    <row r="36" spans="1:9" s="1585" customFormat="1" ht="19.5" customHeight="1">
      <c r="A36" s="3465"/>
      <c r="B36" s="3465" t="s">
        <v>1449</v>
      </c>
      <c r="C36" s="1127" t="s">
        <v>1481</v>
      </c>
      <c r="D36" s="1128"/>
      <c r="E36" s="1150">
        <v>1</v>
      </c>
      <c r="F36" s="1129" t="s">
        <v>1482</v>
      </c>
      <c r="G36" s="1130"/>
      <c r="H36" s="1101"/>
      <c r="I36" s="1101"/>
    </row>
    <row r="37" spans="1:9" s="1585" customFormat="1" ht="19.5" customHeight="1">
      <c r="A37" s="3465"/>
      <c r="B37" s="3465"/>
      <c r="C37" s="1127" t="s">
        <v>1483</v>
      </c>
      <c r="D37" s="1128"/>
      <c r="E37" s="1150">
        <v>1.5</v>
      </c>
      <c r="F37" s="1129" t="s">
        <v>1484</v>
      </c>
      <c r="G37" s="1130"/>
      <c r="H37" s="1101"/>
      <c r="I37" s="1101"/>
    </row>
    <row r="38" spans="1:9" s="1585" customFormat="1" ht="19.5" customHeight="1">
      <c r="A38" s="3465"/>
      <c r="B38" s="3465"/>
      <c r="C38" s="1127" t="s">
        <v>1485</v>
      </c>
      <c r="D38" s="1128"/>
      <c r="E38" s="1150">
        <v>1</v>
      </c>
      <c r="F38" s="1129" t="s">
        <v>1486</v>
      </c>
      <c r="G38" s="1130"/>
      <c r="H38" s="1101"/>
      <c r="I38" s="1101"/>
    </row>
    <row r="39" spans="1:9" s="1585" customFormat="1" ht="19.5" customHeight="1">
      <c r="A39" s="3465"/>
      <c r="B39" s="346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5" t="s">
        <v>1501</v>
      </c>
      <c r="C61" s="1064" t="s">
        <v>1502</v>
      </c>
      <c r="D61" s="1064" t="s">
        <v>1503</v>
      </c>
      <c r="E61" s="1135">
        <v>0.5</v>
      </c>
      <c r="F61" s="1150">
        <v>80</v>
      </c>
      <c r="H61" s="1101">
        <f>SUMIF(C59:C119,基准地价!C8,E59:E119)</f>
        <v>0</v>
      </c>
    </row>
    <row r="62" spans="1:8" s="1101" customFormat="1" ht="24">
      <c r="A62" s="1150">
        <v>2</v>
      </c>
      <c r="B62" s="3465"/>
      <c r="C62" s="1064" t="s">
        <v>1504</v>
      </c>
      <c r="D62" s="1064" t="s">
        <v>1505</v>
      </c>
      <c r="E62" s="1135">
        <v>0.5</v>
      </c>
      <c r="F62" s="1150">
        <v>80</v>
      </c>
    </row>
    <row r="63" spans="1:8" s="1101" customFormat="1" ht="36">
      <c r="A63" s="1150">
        <v>3</v>
      </c>
      <c r="B63" s="3465"/>
      <c r="C63" s="1064" t="s">
        <v>1506</v>
      </c>
      <c r="D63" s="1064" t="s">
        <v>1507</v>
      </c>
      <c r="E63" s="1135">
        <v>0.5</v>
      </c>
      <c r="F63" s="1150">
        <v>80</v>
      </c>
    </row>
    <row r="64" spans="1:8" s="1101" customFormat="1" ht="36">
      <c r="A64" s="1150">
        <v>4</v>
      </c>
      <c r="B64" s="3465"/>
      <c r="C64" s="1064" t="s">
        <v>1508</v>
      </c>
      <c r="D64" s="1064" t="s">
        <v>1509</v>
      </c>
      <c r="E64" s="1135">
        <v>0.4</v>
      </c>
      <c r="F64" s="1150">
        <v>60</v>
      </c>
    </row>
    <row r="65" spans="1:6" s="1101" customFormat="1" ht="36">
      <c r="A65" s="1150">
        <v>5</v>
      </c>
      <c r="B65" s="3465"/>
      <c r="C65" s="1064" t="s">
        <v>1510</v>
      </c>
      <c r="D65" s="1064" t="s">
        <v>1511</v>
      </c>
      <c r="E65" s="1135">
        <v>0.2</v>
      </c>
      <c r="F65" s="1150">
        <v>30</v>
      </c>
    </row>
    <row r="66" spans="1:6" s="1101" customFormat="1" ht="36">
      <c r="A66" s="1150">
        <v>6</v>
      </c>
      <c r="B66" s="3465"/>
      <c r="C66" s="1064" t="s">
        <v>1512</v>
      </c>
      <c r="D66" s="1064" t="s">
        <v>1513</v>
      </c>
      <c r="E66" s="1135">
        <v>0.3</v>
      </c>
      <c r="F66" s="1150">
        <v>50</v>
      </c>
    </row>
    <row r="67" spans="1:6" s="1101" customFormat="1" ht="36">
      <c r="A67" s="1150">
        <v>7</v>
      </c>
      <c r="B67" s="3465"/>
      <c r="C67" s="1064" t="s">
        <v>1514</v>
      </c>
      <c r="D67" s="1064" t="s">
        <v>1515</v>
      </c>
      <c r="E67" s="1135">
        <v>0.2</v>
      </c>
      <c r="F67" s="1150">
        <v>30</v>
      </c>
    </row>
    <row r="68" spans="1:6" s="1101" customFormat="1" ht="36">
      <c r="A68" s="1150">
        <v>8</v>
      </c>
      <c r="B68" s="3465"/>
      <c r="C68" s="1064" t="s">
        <v>1516</v>
      </c>
      <c r="D68" s="1064" t="s">
        <v>1517</v>
      </c>
      <c r="E68" s="1135">
        <v>0.2</v>
      </c>
      <c r="F68" s="1150">
        <v>30</v>
      </c>
    </row>
    <row r="69" spans="1:6" s="1101" customFormat="1" ht="36">
      <c r="A69" s="1150">
        <v>9</v>
      </c>
      <c r="B69" s="3465"/>
      <c r="C69" s="1064" t="s">
        <v>1518</v>
      </c>
      <c r="D69" s="1064" t="s">
        <v>1519</v>
      </c>
      <c r="E69" s="1135">
        <v>0.2</v>
      </c>
      <c r="F69" s="1150">
        <v>30</v>
      </c>
    </row>
    <row r="70" spans="1:6" s="1101" customFormat="1" ht="48">
      <c r="A70" s="1150">
        <v>10</v>
      </c>
      <c r="B70" s="3465"/>
      <c r="C70" s="1064" t="s">
        <v>1520</v>
      </c>
      <c r="D70" s="1064" t="s">
        <v>1521</v>
      </c>
      <c r="E70" s="1135">
        <v>0.2</v>
      </c>
      <c r="F70" s="1150">
        <v>30</v>
      </c>
    </row>
    <row r="71" spans="1:6" s="1101" customFormat="1" ht="48">
      <c r="A71" s="1150">
        <v>11</v>
      </c>
      <c r="B71" s="3465"/>
      <c r="C71" s="1064" t="s">
        <v>1522</v>
      </c>
      <c r="D71" s="1064" t="s">
        <v>1523</v>
      </c>
      <c r="E71" s="1135">
        <v>0.2</v>
      </c>
      <c r="F71" s="1150">
        <v>30</v>
      </c>
    </row>
    <row r="72" spans="1:6" s="1101" customFormat="1" ht="36">
      <c r="A72" s="1150">
        <v>12</v>
      </c>
      <c r="B72" s="3465"/>
      <c r="C72" s="1064" t="s">
        <v>1524</v>
      </c>
      <c r="D72" s="1064" t="s">
        <v>1525</v>
      </c>
      <c r="E72" s="1135">
        <v>0.5</v>
      </c>
      <c r="F72" s="1150">
        <v>80</v>
      </c>
    </row>
    <row r="73" spans="1:6" s="1101" customFormat="1" ht="24">
      <c r="A73" s="1150">
        <v>13</v>
      </c>
      <c r="B73" s="3465"/>
      <c r="C73" s="1064" t="s">
        <v>1526</v>
      </c>
      <c r="D73" s="1064" t="s">
        <v>1527</v>
      </c>
      <c r="E73" s="1135">
        <v>0.4</v>
      </c>
      <c r="F73" s="1150">
        <v>60</v>
      </c>
    </row>
    <row r="74" spans="1:6" s="1101" customFormat="1" ht="24">
      <c r="A74" s="1150">
        <v>14</v>
      </c>
      <c r="B74" s="3465"/>
      <c r="C74" s="1064" t="s">
        <v>1528</v>
      </c>
      <c r="D74" s="1064" t="s">
        <v>1529</v>
      </c>
      <c r="E74" s="1135">
        <v>0.2</v>
      </c>
      <c r="F74" s="1150">
        <v>30</v>
      </c>
    </row>
    <row r="75" spans="1:6" s="1101" customFormat="1" ht="24">
      <c r="A75" s="1150">
        <v>15</v>
      </c>
      <c r="B75" s="3465"/>
      <c r="C75" s="1064" t="s">
        <v>1530</v>
      </c>
      <c r="D75" s="1064" t="s">
        <v>1531</v>
      </c>
      <c r="E75" s="1135">
        <v>0.2</v>
      </c>
      <c r="F75" s="1150">
        <v>30</v>
      </c>
    </row>
    <row r="76" spans="1:6" s="1101" customFormat="1" ht="24">
      <c r="A76" s="1150">
        <v>16</v>
      </c>
      <c r="B76" s="3465" t="s">
        <v>1532</v>
      </c>
      <c r="C76" s="1064" t="s">
        <v>1533</v>
      </c>
      <c r="D76" s="1064" t="s">
        <v>1534</v>
      </c>
      <c r="E76" s="1135">
        <v>0.5</v>
      </c>
      <c r="F76" s="1150">
        <v>80</v>
      </c>
    </row>
    <row r="77" spans="1:6" s="1101" customFormat="1" ht="24">
      <c r="A77" s="1150">
        <v>17</v>
      </c>
      <c r="B77" s="3465"/>
      <c r="C77" s="1064" t="s">
        <v>1535</v>
      </c>
      <c r="D77" s="1064" t="s">
        <v>1536</v>
      </c>
      <c r="E77" s="1135">
        <v>0.5</v>
      </c>
      <c r="F77" s="1150">
        <v>80</v>
      </c>
    </row>
    <row r="78" spans="1:6" s="1101" customFormat="1" ht="24">
      <c r="A78" s="1150">
        <v>18</v>
      </c>
      <c r="B78" s="3465"/>
      <c r="C78" s="1064" t="s">
        <v>1537</v>
      </c>
      <c r="D78" s="1064" t="s">
        <v>1538</v>
      </c>
      <c r="E78" s="1135">
        <v>0.2</v>
      </c>
      <c r="F78" s="1150">
        <v>30</v>
      </c>
    </row>
    <row r="79" spans="1:6" s="1101" customFormat="1" ht="24">
      <c r="A79" s="1150">
        <v>19</v>
      </c>
      <c r="B79" s="3465"/>
      <c r="C79" s="1064" t="s">
        <v>1539</v>
      </c>
      <c r="D79" s="1064" t="s">
        <v>1540</v>
      </c>
      <c r="E79" s="1135">
        <v>0.5</v>
      </c>
      <c r="F79" s="1150">
        <v>80</v>
      </c>
    </row>
    <row r="80" spans="1:6" s="1101" customFormat="1" ht="36">
      <c r="A80" s="1150">
        <v>20</v>
      </c>
      <c r="B80" s="3465"/>
      <c r="C80" s="1064" t="s">
        <v>1541</v>
      </c>
      <c r="D80" s="1064" t="s">
        <v>1542</v>
      </c>
      <c r="E80" s="1135">
        <v>0.2</v>
      </c>
      <c r="F80" s="1150">
        <v>30</v>
      </c>
    </row>
    <row r="81" spans="1:6" s="1101" customFormat="1" ht="36">
      <c r="A81" s="1150">
        <v>21</v>
      </c>
      <c r="B81" s="3465"/>
      <c r="C81" s="1064" t="s">
        <v>1543</v>
      </c>
      <c r="D81" s="1064" t="s">
        <v>1544</v>
      </c>
      <c r="E81" s="1135">
        <v>0.2</v>
      </c>
      <c r="F81" s="1150">
        <v>30</v>
      </c>
    </row>
    <row r="82" spans="1:6" s="1101" customFormat="1" ht="48">
      <c r="A82" s="1150">
        <v>22</v>
      </c>
      <c r="B82" s="3465"/>
      <c r="C82" s="1064" t="s">
        <v>1545</v>
      </c>
      <c r="D82" s="1064" t="s">
        <v>1546</v>
      </c>
      <c r="E82" s="1135">
        <v>0.2</v>
      </c>
      <c r="F82" s="1150">
        <v>30</v>
      </c>
    </row>
    <row r="83" spans="1:6" s="1101" customFormat="1" ht="48">
      <c r="A83" s="1150">
        <v>23</v>
      </c>
      <c r="B83" s="3465"/>
      <c r="C83" s="1064" t="s">
        <v>1547</v>
      </c>
      <c r="D83" s="1064" t="s">
        <v>1548</v>
      </c>
      <c r="E83" s="1135">
        <v>0.2</v>
      </c>
      <c r="F83" s="1150">
        <v>30</v>
      </c>
    </row>
    <row r="84" spans="1:6" s="1101" customFormat="1" ht="36">
      <c r="A84" s="1150">
        <v>24</v>
      </c>
      <c r="B84" s="3465"/>
      <c r="C84" s="1064" t="s">
        <v>1549</v>
      </c>
      <c r="D84" s="1064" t="s">
        <v>1550</v>
      </c>
      <c r="E84" s="1135">
        <v>0.2</v>
      </c>
      <c r="F84" s="1150">
        <v>30</v>
      </c>
    </row>
    <row r="85" spans="1:6" s="1101" customFormat="1" ht="36">
      <c r="A85" s="1150">
        <v>25</v>
      </c>
      <c r="B85" s="3465"/>
      <c r="C85" s="1064" t="s">
        <v>1551</v>
      </c>
      <c r="D85" s="1064" t="s">
        <v>1552</v>
      </c>
      <c r="E85" s="1135">
        <v>0.5</v>
      </c>
      <c r="F85" s="1150">
        <v>80</v>
      </c>
    </row>
    <row r="86" spans="1:6" s="1101" customFormat="1" ht="36">
      <c r="A86" s="1150">
        <v>26</v>
      </c>
      <c r="B86" s="3465"/>
      <c r="C86" s="1064" t="s">
        <v>1553</v>
      </c>
      <c r="D86" s="1064" t="s">
        <v>1554</v>
      </c>
      <c r="E86" s="1135">
        <v>0.2</v>
      </c>
      <c r="F86" s="1150">
        <v>30</v>
      </c>
    </row>
    <row r="87" spans="1:6" s="1101" customFormat="1" ht="36">
      <c r="A87" s="1150">
        <v>27</v>
      </c>
      <c r="B87" s="3465"/>
      <c r="C87" s="1064" t="s">
        <v>1555</v>
      </c>
      <c r="D87" s="1064" t="s">
        <v>1556</v>
      </c>
      <c r="E87" s="1135">
        <v>0.2</v>
      </c>
      <c r="F87" s="1150">
        <v>30</v>
      </c>
    </row>
    <row r="88" spans="1:6" s="1101" customFormat="1" ht="36">
      <c r="A88" s="1150">
        <v>28</v>
      </c>
      <c r="B88" s="3465"/>
      <c r="C88" s="1064" t="s">
        <v>1557</v>
      </c>
      <c r="D88" s="1064" t="s">
        <v>1558</v>
      </c>
      <c r="E88" s="1135">
        <v>0.2</v>
      </c>
      <c r="F88" s="1150">
        <v>30</v>
      </c>
    </row>
    <row r="89" spans="1:6" s="1101" customFormat="1" ht="24">
      <c r="A89" s="1150">
        <v>29</v>
      </c>
      <c r="B89" s="3465"/>
      <c r="C89" s="1064" t="s">
        <v>1559</v>
      </c>
      <c r="D89" s="1064" t="s">
        <v>1560</v>
      </c>
      <c r="E89" s="1135">
        <v>0.2</v>
      </c>
      <c r="F89" s="1150">
        <v>30</v>
      </c>
    </row>
    <row r="90" spans="1:6" s="1101" customFormat="1" ht="24">
      <c r="A90" s="1150">
        <v>30</v>
      </c>
      <c r="B90" s="3465"/>
      <c r="C90" s="1064" t="s">
        <v>1561</v>
      </c>
      <c r="D90" s="1064" t="s">
        <v>1562</v>
      </c>
      <c r="E90" s="1135">
        <v>0.2</v>
      </c>
      <c r="F90" s="1150">
        <v>30</v>
      </c>
    </row>
    <row r="91" spans="1:6" s="1101" customFormat="1" ht="36">
      <c r="A91" s="1150">
        <v>31</v>
      </c>
      <c r="B91" s="3465"/>
      <c r="C91" s="1064" t="s">
        <v>1563</v>
      </c>
      <c r="D91" s="1064" t="s">
        <v>1564</v>
      </c>
      <c r="E91" s="1135">
        <v>0.2</v>
      </c>
      <c r="F91" s="1150">
        <v>30</v>
      </c>
    </row>
    <row r="92" spans="1:6" s="1101" customFormat="1" ht="24">
      <c r="A92" s="1150">
        <v>32</v>
      </c>
      <c r="B92" s="3465" t="s">
        <v>1565</v>
      </c>
      <c r="C92" s="1150" t="s">
        <v>1566</v>
      </c>
      <c r="D92" s="1064" t="s">
        <v>1567</v>
      </c>
      <c r="E92" s="1135">
        <v>0.2</v>
      </c>
      <c r="F92" s="1150">
        <v>30</v>
      </c>
    </row>
    <row r="93" spans="1:6" s="1101" customFormat="1" ht="36">
      <c r="A93" s="1150">
        <v>33</v>
      </c>
      <c r="B93" s="3465"/>
      <c r="C93" s="1150" t="s">
        <v>1568</v>
      </c>
      <c r="D93" s="1064" t="s">
        <v>1569</v>
      </c>
      <c r="E93" s="1135">
        <v>0.2</v>
      </c>
      <c r="F93" s="1150">
        <v>30</v>
      </c>
    </row>
    <row r="94" spans="1:6" s="1101" customFormat="1" ht="48">
      <c r="A94" s="1150">
        <v>34</v>
      </c>
      <c r="B94" s="3465"/>
      <c r="C94" s="1150" t="s">
        <v>1570</v>
      </c>
      <c r="D94" s="1064" t="s">
        <v>1571</v>
      </c>
      <c r="E94" s="1135">
        <v>0.2</v>
      </c>
      <c r="F94" s="1150">
        <v>30</v>
      </c>
    </row>
    <row r="95" spans="1:6" s="1101" customFormat="1" ht="36">
      <c r="A95" s="1150">
        <v>35</v>
      </c>
      <c r="B95" s="3465"/>
      <c r="C95" s="1150" t="s">
        <v>1572</v>
      </c>
      <c r="D95" s="1064" t="s">
        <v>1573</v>
      </c>
      <c r="E95" s="1135">
        <v>0.2</v>
      </c>
      <c r="F95" s="1150">
        <v>30</v>
      </c>
    </row>
    <row r="96" spans="1:6" s="1101" customFormat="1" ht="48">
      <c r="A96" s="1150">
        <v>36</v>
      </c>
      <c r="B96" s="3465"/>
      <c r="C96" s="1064" t="s">
        <v>1574</v>
      </c>
      <c r="D96" s="1064" t="s">
        <v>1575</v>
      </c>
      <c r="E96" s="1135">
        <v>0.2</v>
      </c>
      <c r="F96" s="1150">
        <v>30</v>
      </c>
    </row>
    <row r="97" spans="1:6" s="1101" customFormat="1" ht="36">
      <c r="A97" s="1150">
        <v>37</v>
      </c>
      <c r="B97" s="3465"/>
      <c r="C97" s="1150" t="s">
        <v>1576</v>
      </c>
      <c r="D97" s="1064" t="s">
        <v>1577</v>
      </c>
      <c r="E97" s="1135">
        <v>0.2</v>
      </c>
      <c r="F97" s="1150">
        <v>30</v>
      </c>
    </row>
    <row r="98" spans="1:6" s="1101" customFormat="1" ht="36">
      <c r="A98" s="1150">
        <v>38</v>
      </c>
      <c r="B98" s="3465"/>
      <c r="C98" s="1150" t="s">
        <v>1578</v>
      </c>
      <c r="D98" s="1064" t="s">
        <v>1579</v>
      </c>
      <c r="E98" s="1135">
        <v>0.2</v>
      </c>
      <c r="F98" s="1150">
        <v>30</v>
      </c>
    </row>
    <row r="99" spans="1:6" s="1101" customFormat="1" ht="36">
      <c r="A99" s="1150">
        <v>39</v>
      </c>
      <c r="B99" s="3465" t="s">
        <v>1580</v>
      </c>
      <c r="C99" s="1150" t="s">
        <v>1581</v>
      </c>
      <c r="D99" s="1064" t="s">
        <v>1582</v>
      </c>
      <c r="E99" s="1135">
        <v>0.3</v>
      </c>
      <c r="F99" s="1150">
        <v>50</v>
      </c>
    </row>
    <row r="100" spans="1:6" s="1101" customFormat="1" ht="24">
      <c r="A100" s="1150">
        <v>40</v>
      </c>
      <c r="B100" s="3465"/>
      <c r="C100" s="1150" t="s">
        <v>1583</v>
      </c>
      <c r="D100" s="1064" t="s">
        <v>1584</v>
      </c>
      <c r="E100" s="1135">
        <v>0.2</v>
      </c>
      <c r="F100" s="1150">
        <v>30</v>
      </c>
    </row>
    <row r="101" spans="1:6" s="1101" customFormat="1" ht="36">
      <c r="A101" s="1150">
        <v>41</v>
      </c>
      <c r="B101" s="346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5" t="s">
        <v>1595</v>
      </c>
      <c r="C105" s="1150" t="s">
        <v>1596</v>
      </c>
      <c r="D105" s="1064" t="s">
        <v>1597</v>
      </c>
      <c r="E105" s="1135">
        <v>0.2</v>
      </c>
      <c r="F105" s="1150">
        <v>30</v>
      </c>
    </row>
    <row r="106" spans="1:6" s="1101" customFormat="1" ht="36">
      <c r="A106" s="1150">
        <v>46</v>
      </c>
      <c r="B106" s="3465"/>
      <c r="C106" s="1150" t="s">
        <v>1598</v>
      </c>
      <c r="D106" s="1064" t="s">
        <v>1599</v>
      </c>
      <c r="E106" s="1135">
        <v>0.2</v>
      </c>
      <c r="F106" s="1150">
        <v>30</v>
      </c>
    </row>
    <row r="107" spans="1:6" s="1101" customFormat="1" ht="36">
      <c r="A107" s="1150">
        <v>47</v>
      </c>
      <c r="B107" s="3465" t="s">
        <v>1600</v>
      </c>
      <c r="C107" s="1150" t="s">
        <v>1601</v>
      </c>
      <c r="D107" s="1064" t="s">
        <v>1602</v>
      </c>
      <c r="E107" s="1135">
        <v>0.3</v>
      </c>
      <c r="F107" s="1150">
        <v>50</v>
      </c>
    </row>
    <row r="108" spans="1:6" s="1101" customFormat="1" ht="36">
      <c r="A108" s="1150">
        <v>48</v>
      </c>
      <c r="B108" s="346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5" t="s">
        <v>1611</v>
      </c>
      <c r="C111" s="1150" t="s">
        <v>1612</v>
      </c>
      <c r="D111" s="1064" t="s">
        <v>1613</v>
      </c>
      <c r="E111" s="1135">
        <v>0.2</v>
      </c>
      <c r="F111" s="1150">
        <v>30</v>
      </c>
    </row>
    <row r="112" spans="1:6" s="1101" customFormat="1" ht="24">
      <c r="A112" s="1150">
        <v>52</v>
      </c>
      <c r="B112" s="3465"/>
      <c r="C112" s="1150" t="s">
        <v>1614</v>
      </c>
      <c r="D112" s="1064" t="s">
        <v>1615</v>
      </c>
      <c r="E112" s="1135">
        <v>0.2</v>
      </c>
      <c r="F112" s="1150">
        <v>30</v>
      </c>
    </row>
    <row r="113" spans="1:14" s="1101" customFormat="1" ht="24">
      <c r="A113" s="1150">
        <v>53</v>
      </c>
      <c r="B113" s="346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5" t="s">
        <v>1624</v>
      </c>
      <c r="C116" s="1150" t="s">
        <v>1625</v>
      </c>
      <c r="D116" s="1064" t="s">
        <v>1626</v>
      </c>
      <c r="E116" s="1135">
        <v>0.2</v>
      </c>
      <c r="F116" s="1150">
        <v>30</v>
      </c>
    </row>
    <row r="117" spans="1:14" ht="36">
      <c r="A117" s="1150">
        <v>57</v>
      </c>
      <c r="B117" s="346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4" t="s">
        <v>1633</v>
      </c>
      <c r="B121" s="3464"/>
      <c r="C121" s="3464"/>
      <c r="D121" s="3464"/>
      <c r="E121" s="3464"/>
      <c r="F121" s="3464"/>
      <c r="G121" s="3464"/>
      <c r="H121" s="3464"/>
      <c r="I121" s="3464"/>
      <c r="J121" s="346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9" t="s">
        <v>1039</v>
      </c>
      <c r="B1" s="3479"/>
      <c r="C1" s="3479"/>
      <c r="D1" s="3479"/>
      <c r="E1" s="3479"/>
      <c r="F1" s="347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80" t="s">
        <v>1052</v>
      </c>
      <c r="B2" s="3480"/>
      <c r="C2" s="3480"/>
      <c r="D2" s="3480"/>
      <c r="E2" s="3480"/>
      <c r="F2" s="348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8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8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3" t="s">
        <v>2079</v>
      </c>
      <c r="B1" s="3483"/>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6" t="s">
        <v>2576</v>
      </c>
      <c r="C1" s="3486"/>
      <c r="D1" s="3486"/>
      <c r="E1" s="3486"/>
      <c r="F1" s="3486"/>
      <c r="G1" s="3485" t="s">
        <v>2577</v>
      </c>
      <c r="H1" s="3485"/>
      <c r="I1" s="3485"/>
      <c r="J1" s="3485"/>
      <c r="K1" s="3485"/>
      <c r="L1" s="3485"/>
      <c r="N1" s="3485" t="s">
        <v>2578</v>
      </c>
      <c r="O1" s="3485"/>
      <c r="P1" s="3485"/>
      <c r="Q1" s="3485"/>
      <c r="R1" s="2619"/>
      <c r="S1" s="3485" t="s">
        <v>2579</v>
      </c>
      <c r="T1" s="3485"/>
      <c r="U1" s="3485"/>
      <c r="V1" s="3485"/>
      <c r="X1" s="3484" t="s">
        <v>2639</v>
      </c>
      <c r="Y1" s="3485"/>
      <c r="Z1" s="3485"/>
      <c r="AA1" s="3485"/>
      <c r="AB1" s="3485"/>
      <c r="AD1" s="3484" t="s">
        <v>2643</v>
      </c>
      <c r="AE1" s="3485"/>
      <c r="AF1" s="3485"/>
      <c r="AG1" s="3485"/>
      <c r="AH1" s="3485"/>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88">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8"/>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8"/>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94"/>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93">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8"/>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88"/>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94"/>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93">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8"/>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88"/>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9"/>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87">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8"/>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88"/>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9"/>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87">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8"/>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88"/>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9"/>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90">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91"/>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91"/>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92"/>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87">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88"/>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88"/>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9"/>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87">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8">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88">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9">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87">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8">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88">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9">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87">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8">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88">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9">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87">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8">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88">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9">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87">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8">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88">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9">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87">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8">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88">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9">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87">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8">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88">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9">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87">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8">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88">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9">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87">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88">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88">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9">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87">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88">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88">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9">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t="e">
        <f ca="1">ROUND(B2*10000/'数据-汇总表'!E3,0)</f>
        <v>#DIV/0!</v>
      </c>
      <c r="C3" s="1347"/>
      <c r="D3" s="2041"/>
      <c r="E3" s="2042"/>
      <c r="F3" s="2042"/>
      <c r="G3" s="1577"/>
      <c r="H3" s="776" t="s">
        <v>695</v>
      </c>
      <c r="I3" s="2043"/>
      <c r="J3" s="2043"/>
      <c r="K3" s="2044"/>
      <c r="L3" s="2043"/>
      <c r="M3" s="2043"/>
    </row>
    <row r="4" spans="1:25" ht="18" customHeight="1">
      <c r="A4" s="1632" t="s">
        <v>696</v>
      </c>
      <c r="B4" s="1348" t="e">
        <f ca="1">ROUND(B2*10000/'数据-汇总表'!D3,0)</f>
        <v>#DIV/0!</v>
      </c>
      <c r="C4" s="428"/>
      <c r="D4" s="2041"/>
      <c r="E4" s="2042"/>
      <c r="F4" s="2042"/>
      <c r="G4" s="1577"/>
      <c r="H4" s="776"/>
      <c r="I4" s="2043"/>
      <c r="J4" s="2043"/>
      <c r="K4" s="2044"/>
      <c r="L4" s="2043"/>
      <c r="M4" s="2043"/>
    </row>
    <row r="5" spans="1:25" ht="18" customHeight="1" thickBot="1">
      <c r="A5" s="1633"/>
      <c r="B5" s="430" t="e">
        <f ca="1">ROUND(B2/('数据-汇总表'!D3/666.67),0)</f>
        <v>#DIV/0!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96" t="s">
        <v>2463</v>
      </c>
      <c r="C8" s="1811">
        <f ca="1">ROUND(F8*F10*F9*(1-F11)/10000,0)</f>
        <v>0</v>
      </c>
      <c r="D8" s="1808" t="s">
        <v>2534</v>
      </c>
      <c r="E8" s="61" t="s">
        <v>637</v>
      </c>
      <c r="F8" s="785">
        <f ca="1">INDIRECT("'数据-取费表'!u"&amp;$G$1)</f>
        <v>0</v>
      </c>
      <c r="G8" s="1579"/>
      <c r="H8" s="2469" t="s">
        <v>1824</v>
      </c>
      <c r="I8" s="3496" t="s">
        <v>2463</v>
      </c>
      <c r="J8" s="783">
        <f ca="1">ROUND(M8*M10*M9*(1-M11)/10000,0)</f>
        <v>0</v>
      </c>
      <c r="K8" s="341" t="s">
        <v>2534</v>
      </c>
      <c r="L8" s="784" t="s">
        <v>1738</v>
      </c>
      <c r="M8" s="785">
        <f ca="1">INDIRECT("'数据-取费表'!z"&amp;$G$1)</f>
        <v>0</v>
      </c>
    </row>
    <row r="9" spans="1:25" ht="18" customHeight="1">
      <c r="A9" s="2465"/>
      <c r="B9" s="3497"/>
      <c r="C9" s="1812"/>
      <c r="D9" s="1809"/>
      <c r="E9" s="61" t="s">
        <v>638</v>
      </c>
      <c r="F9" s="785">
        <f ca="1">IF(INDIRECT("'数据-取费表'!ah"&amp;$G$1)="",INDIRECT("'数据-取费表'!k"&amp;$G$1),INDIRECT("'数据-取费表'!ah"&amp;$G$1))</f>
        <v>0</v>
      </c>
      <c r="G9" s="1579"/>
      <c r="H9" s="2454"/>
      <c r="I9" s="3497"/>
      <c r="J9" s="788"/>
      <c r="K9" s="789"/>
      <c r="L9" s="784" t="s">
        <v>1739</v>
      </c>
      <c r="M9" s="785">
        <f ca="1">F9</f>
        <v>0</v>
      </c>
    </row>
    <row r="10" spans="1:25" ht="18" customHeight="1">
      <c r="A10" s="2458"/>
      <c r="B10" s="3498"/>
      <c r="C10" s="1812"/>
      <c r="D10" s="1809"/>
      <c r="E10" s="61" t="s">
        <v>639</v>
      </c>
      <c r="F10" s="785">
        <f ca="1">INDIRECT("'数据-取费表'!ai"&amp;$G$1)</f>
        <v>0</v>
      </c>
      <c r="G10" s="1579"/>
      <c r="H10" s="2454"/>
      <c r="I10" s="3498"/>
      <c r="J10" s="788"/>
      <c r="K10" s="789"/>
      <c r="L10" s="784" t="s">
        <v>1740</v>
      </c>
      <c r="M10" s="785">
        <f ca="1">INDIRECT("'数据-取费表'!ai"&amp;$G$1)</f>
        <v>0</v>
      </c>
    </row>
    <row r="11" spans="1:25" ht="18" customHeight="1">
      <c r="A11" s="786"/>
      <c r="B11" s="3499"/>
      <c r="C11" s="1812"/>
      <c r="D11" s="1809"/>
      <c r="E11" s="61" t="s">
        <v>640</v>
      </c>
      <c r="F11" s="794">
        <f ca="1">INDIRECT("'数据-取费表'!w"&amp;$G$1)</f>
        <v>0</v>
      </c>
      <c r="G11" s="1579"/>
      <c r="H11" s="2470"/>
      <c r="I11" s="3498"/>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95"/>
      <c r="J36" s="2065"/>
      <c r="K36" s="2066"/>
      <c r="L36" s="2065"/>
      <c r="M36" s="2065"/>
    </row>
    <row r="37" spans="1:18" ht="18" customHeight="1">
      <c r="A37" s="815"/>
      <c r="B37" s="793"/>
      <c r="C37" s="69"/>
      <c r="D37" s="816"/>
      <c r="E37" s="784" t="s">
        <v>674</v>
      </c>
      <c r="F37" s="785">
        <f ca="1">INDIRECT("'数据-取费表'!r"&amp;$G$1)</f>
        <v>0</v>
      </c>
      <c r="G37" s="2048"/>
      <c r="H37" s="2051"/>
      <c r="I37" s="3495"/>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500"/>
      <c r="L54" s="3501"/>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18.75">
      <c r="A6" s="1777"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2022年9月23日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18.75">
      <c r="A20" s="252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96" t="s">
        <v>2463</v>
      </c>
      <c r="C6" s="783">
        <f ca="1">ROUND(F6*F8*F7*(1-F9)/10000,0)</f>
        <v>0</v>
      </c>
      <c r="D6" s="2462" t="s">
        <v>2462</v>
      </c>
      <c r="E6" s="784" t="s">
        <v>1738</v>
      </c>
      <c r="F6" s="785">
        <f ca="1">INDIRECT("'数据-取费表'!u"&amp;$G$1)</f>
        <v>0</v>
      </c>
      <c r="G6" s="1579"/>
      <c r="H6" s="2469" t="s">
        <v>2468</v>
      </c>
      <c r="I6" s="3496" t="s">
        <v>2463</v>
      </c>
      <c r="J6" s="783">
        <f ca="1">ROUND(M6*M8*M7*(1-M9)/10000,0)</f>
        <v>0</v>
      </c>
      <c r="K6" s="341" t="s">
        <v>1737</v>
      </c>
      <c r="L6" s="784" t="s">
        <v>1738</v>
      </c>
      <c r="M6" s="785">
        <f ca="1">INDIRECT("'数据-取费表'!z"&amp;$G$1)</f>
        <v>0</v>
      </c>
    </row>
    <row r="7" spans="1:33" ht="18" customHeight="1">
      <c r="A7" s="2465"/>
      <c r="B7" s="3497"/>
      <c r="C7" s="788"/>
      <c r="D7" s="789"/>
      <c r="E7" s="784" t="s">
        <v>1739</v>
      </c>
      <c r="F7" s="785">
        <f ca="1">IF(INDIRECT("'数据-取费表'!ah"&amp;$G$1)="",INDIRECT("'数据-取费表'!k"&amp;$G$1),INDIRECT("'数据-取费表'!ah"&amp;$G$1))</f>
        <v>0</v>
      </c>
      <c r="G7" s="1579"/>
      <c r="H7" s="2454"/>
      <c r="I7" s="3497"/>
      <c r="J7" s="788"/>
      <c r="K7" s="789"/>
      <c r="L7" s="784" t="s">
        <v>1739</v>
      </c>
      <c r="M7" s="785">
        <f ca="1">F7</f>
        <v>0</v>
      </c>
    </row>
    <row r="8" spans="1:33" ht="18" customHeight="1">
      <c r="A8" s="2458"/>
      <c r="B8" s="3498"/>
      <c r="C8" s="788"/>
      <c r="D8" s="789"/>
      <c r="E8" s="784" t="s">
        <v>1740</v>
      </c>
      <c r="F8" s="785">
        <f ca="1">INDIRECT("'数据-取费表'!ai"&amp;$G$1)</f>
        <v>0</v>
      </c>
      <c r="G8" s="1579"/>
      <c r="H8" s="2454"/>
      <c r="I8" s="3498"/>
      <c r="J8" s="788"/>
      <c r="K8" s="789"/>
      <c r="L8" s="784" t="s">
        <v>1740</v>
      </c>
      <c r="M8" s="785">
        <f ca="1">INDIRECT("'数据-取费表'!ai"&amp;$G$1)</f>
        <v>0</v>
      </c>
    </row>
    <row r="9" spans="1:33" ht="18" customHeight="1">
      <c r="A9" s="786"/>
      <c r="B9" s="3499"/>
      <c r="C9" s="788"/>
      <c r="D9" s="789"/>
      <c r="E9" s="784" t="s">
        <v>1741</v>
      </c>
      <c r="F9" s="794">
        <f ca="1">INDIRECT("'数据-取费表'!w"&amp;$G$1)</f>
        <v>0</v>
      </c>
      <c r="G9" s="1579"/>
      <c r="H9" s="2470"/>
      <c r="I9" s="3498"/>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502" t="s">
        <v>2967</v>
      </c>
      <c r="L53" s="3503"/>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20" t="s">
        <v>2471</v>
      </c>
      <c r="B1" s="3521"/>
      <c r="C1" s="3522"/>
      <c r="D1" s="3523">
        <f>SUM(I10,I15,I20,I21,I23)</f>
        <v>0</v>
      </c>
      <c r="E1" s="3523"/>
      <c r="F1" s="3523"/>
      <c r="G1" s="3523"/>
      <c r="H1" s="3523"/>
      <c r="I1" s="3524"/>
    </row>
    <row r="2" spans="1:9">
      <c r="A2" s="3510" t="s">
        <v>2472</v>
      </c>
      <c r="B2" s="3511" t="s">
        <v>2473</v>
      </c>
      <c r="C2" s="3511"/>
      <c r="D2" s="2472" t="s">
        <v>2474</v>
      </c>
      <c r="E2" s="2472" t="s">
        <v>2475</v>
      </c>
      <c r="F2" s="2472" t="s">
        <v>2476</v>
      </c>
      <c r="G2" s="2472" t="s">
        <v>2477</v>
      </c>
      <c r="H2" s="2472" t="s">
        <v>2478</v>
      </c>
      <c r="I2" s="2473" t="s">
        <v>2479</v>
      </c>
    </row>
    <row r="3" spans="1:9">
      <c r="A3" s="3510"/>
      <c r="B3" s="3511" t="s">
        <v>2480</v>
      </c>
      <c r="C3" s="3511"/>
      <c r="D3" s="2474"/>
      <c r="E3" s="2472"/>
      <c r="F3" s="2475"/>
      <c r="G3" s="2475"/>
      <c r="H3" s="2476"/>
      <c r="I3" s="2477">
        <f>ROUND(D3*E3*F3*G3*H3/10000,0)</f>
        <v>0</v>
      </c>
    </row>
    <row r="4" spans="1:9">
      <c r="A4" s="3510"/>
      <c r="B4" s="3511" t="s">
        <v>2481</v>
      </c>
      <c r="C4" s="3511"/>
      <c r="D4" s="2474"/>
      <c r="E4" s="2472"/>
      <c r="F4" s="2475"/>
      <c r="G4" s="2475"/>
      <c r="H4" s="2476"/>
      <c r="I4" s="2477">
        <f t="shared" ref="I4:I9" si="0">ROUND(D4*E4*F4*G4*H4/10000,0)</f>
        <v>0</v>
      </c>
    </row>
    <row r="5" spans="1:9">
      <c r="A5" s="3510"/>
      <c r="B5" s="3511" t="s">
        <v>2482</v>
      </c>
      <c r="C5" s="3511"/>
      <c r="D5" s="2474"/>
      <c r="E5" s="2472"/>
      <c r="F5" s="2475"/>
      <c r="G5" s="2475"/>
      <c r="H5" s="2476"/>
      <c r="I5" s="2477">
        <f t="shared" si="0"/>
        <v>0</v>
      </c>
    </row>
    <row r="6" spans="1:9">
      <c r="A6" s="3510"/>
      <c r="B6" s="3511" t="s">
        <v>2483</v>
      </c>
      <c r="C6" s="3511"/>
      <c r="D6" s="2474"/>
      <c r="E6" s="2472"/>
      <c r="F6" s="2475"/>
      <c r="G6" s="2475"/>
      <c r="H6" s="2476"/>
      <c r="I6" s="2477">
        <f t="shared" si="0"/>
        <v>0</v>
      </c>
    </row>
    <row r="7" spans="1:9">
      <c r="A7" s="3510"/>
      <c r="B7" s="3511" t="s">
        <v>2484</v>
      </c>
      <c r="C7" s="3511"/>
      <c r="D7" s="2474"/>
      <c r="E7" s="2472"/>
      <c r="F7" s="2475"/>
      <c r="G7" s="2475"/>
      <c r="H7" s="2476"/>
      <c r="I7" s="2477">
        <f t="shared" si="0"/>
        <v>0</v>
      </c>
    </row>
    <row r="8" spans="1:9">
      <c r="A8" s="3510"/>
      <c r="B8" s="3511" t="s">
        <v>2485</v>
      </c>
      <c r="C8" s="3511"/>
      <c r="D8" s="2474"/>
      <c r="E8" s="2472"/>
      <c r="F8" s="2475"/>
      <c r="G8" s="2475"/>
      <c r="H8" s="2476"/>
      <c r="I8" s="2477">
        <f t="shared" si="0"/>
        <v>0</v>
      </c>
    </row>
    <row r="9" spans="1:9">
      <c r="A9" s="3510"/>
      <c r="B9" s="3511" t="s">
        <v>2486</v>
      </c>
      <c r="C9" s="3511"/>
      <c r="D9" s="2474"/>
      <c r="E9" s="2472"/>
      <c r="F9" s="2475"/>
      <c r="G9" s="2475"/>
      <c r="H9" s="2476"/>
      <c r="I9" s="2477">
        <f t="shared" si="0"/>
        <v>0</v>
      </c>
    </row>
    <row r="10" spans="1:9">
      <c r="A10" s="3510"/>
      <c r="B10" s="3512" t="s">
        <v>2487</v>
      </c>
      <c r="C10" s="3512"/>
      <c r="D10" s="2478">
        <v>527</v>
      </c>
      <c r="E10" s="2478" t="e">
        <f>ROUND(D1*10000/D10/H9,0)</f>
        <v>#DIV/0!</v>
      </c>
      <c r="F10" s="2479"/>
      <c r="G10" s="2479"/>
      <c r="H10" s="2480"/>
      <c r="I10" s="2481">
        <f>SUM(I3:I9)</f>
        <v>0</v>
      </c>
    </row>
    <row r="11" spans="1:9" ht="14.25">
      <c r="A11" s="3510" t="s">
        <v>2488</v>
      </c>
      <c r="B11" s="3511" t="s">
        <v>2489</v>
      </c>
      <c r="C11" s="3511"/>
      <c r="D11" s="2474" t="s">
        <v>2490</v>
      </c>
      <c r="E11" s="2474" t="s">
        <v>2491</v>
      </c>
      <c r="F11" s="2475" t="s">
        <v>2492</v>
      </c>
      <c r="G11" s="2475" t="s">
        <v>2493</v>
      </c>
      <c r="H11" s="2482" t="s">
        <v>2494</v>
      </c>
      <c r="I11" s="2473" t="s">
        <v>2495</v>
      </c>
    </row>
    <row r="12" spans="1:9">
      <c r="A12" s="3510"/>
      <c r="B12" s="3511" t="s">
        <v>2496</v>
      </c>
      <c r="C12" s="3511"/>
      <c r="D12" s="2474"/>
      <c r="E12" s="2474"/>
      <c r="F12" s="2475"/>
      <c r="G12" s="2476"/>
      <c r="H12" s="2483"/>
      <c r="I12" s="2473">
        <f>ROUND(D12*E12*F12*G12/10000,0)</f>
        <v>0</v>
      </c>
    </row>
    <row r="13" spans="1:9">
      <c r="A13" s="3510"/>
      <c r="B13" s="3511" t="s">
        <v>2497</v>
      </c>
      <c r="C13" s="3511"/>
      <c r="D13" s="2474"/>
      <c r="E13" s="2474"/>
      <c r="F13" s="2475"/>
      <c r="G13" s="2476"/>
      <c r="H13" s="2483"/>
      <c r="I13" s="2473">
        <f>ROUND(D13*E13*F13*G13/10000,0)</f>
        <v>0</v>
      </c>
    </row>
    <row r="14" spans="1:9">
      <c r="A14" s="3510"/>
      <c r="B14" s="3511" t="s">
        <v>2498</v>
      </c>
      <c r="C14" s="3511"/>
      <c r="D14" s="2474"/>
      <c r="E14" s="2474"/>
      <c r="F14" s="2475"/>
      <c r="G14" s="2476"/>
      <c r="H14" s="2483"/>
      <c r="I14" s="2473">
        <f>ROUND(D14*E14*F14*G14/10000,0)</f>
        <v>0</v>
      </c>
    </row>
    <row r="15" spans="1:9">
      <c r="A15" s="3510"/>
      <c r="B15" s="3512" t="s">
        <v>2487</v>
      </c>
      <c r="C15" s="3512"/>
      <c r="D15" s="2478"/>
      <c r="E15" s="2478">
        <f>SUM(E12:E14)</f>
        <v>0</v>
      </c>
      <c r="F15" s="2479"/>
      <c r="G15" s="2476"/>
      <c r="H15" s="2483"/>
      <c r="I15" s="2484">
        <f>SUM(I12:I14)</f>
        <v>0</v>
      </c>
    </row>
    <row r="16" spans="1:9" ht="24">
      <c r="A16" s="3510" t="s">
        <v>2499</v>
      </c>
      <c r="B16" s="3511" t="s">
        <v>2500</v>
      </c>
      <c r="C16" s="3511"/>
      <c r="D16" s="2474" t="s">
        <v>2501</v>
      </c>
      <c r="E16" s="2485" t="s">
        <v>2502</v>
      </c>
      <c r="F16" s="2475" t="s">
        <v>2503</v>
      </c>
      <c r="G16" s="2476" t="s">
        <v>2493</v>
      </c>
      <c r="H16" s="2482" t="s">
        <v>2494</v>
      </c>
      <c r="I16" s="2473" t="s">
        <v>2495</v>
      </c>
    </row>
    <row r="17" spans="1:9" ht="14.25">
      <c r="A17" s="3510"/>
      <c r="B17" s="3511" t="s">
        <v>2504</v>
      </c>
      <c r="C17" s="3511"/>
      <c r="D17" s="2474"/>
      <c r="E17" s="2474"/>
      <c r="F17" s="2475"/>
      <c r="G17" s="2476"/>
      <c r="H17" s="2486"/>
      <c r="I17" s="2487">
        <f>ROUND(D17*E17*F17*G17/10000,0)</f>
        <v>0</v>
      </c>
    </row>
    <row r="18" spans="1:9" ht="14.25">
      <c r="A18" s="3510"/>
      <c r="B18" s="3511" t="s">
        <v>2505</v>
      </c>
      <c r="C18" s="3511"/>
      <c r="D18" s="2474"/>
      <c r="E18" s="2474"/>
      <c r="F18" s="2475"/>
      <c r="G18" s="2476"/>
      <c r="H18" s="2486"/>
      <c r="I18" s="2487">
        <f>ROUND(D18*E18*F18*G18/10000,0)</f>
        <v>0</v>
      </c>
    </row>
    <row r="19" spans="1:9" ht="14.25">
      <c r="A19" s="3510"/>
      <c r="B19" s="3511" t="s">
        <v>2506</v>
      </c>
      <c r="C19" s="3511"/>
      <c r="D19" s="2474"/>
      <c r="E19" s="2474"/>
      <c r="F19" s="2475"/>
      <c r="G19" s="2476"/>
      <c r="H19" s="2486"/>
      <c r="I19" s="2487">
        <f>ROUND(D19*E19*F19*G19/10000,0)</f>
        <v>0</v>
      </c>
    </row>
    <row r="20" spans="1:9">
      <c r="A20" s="3510"/>
      <c r="B20" s="3512" t="s">
        <v>2487</v>
      </c>
      <c r="C20" s="3512"/>
      <c r="D20" s="2478">
        <f>SUM(D17:D19)</f>
        <v>0</v>
      </c>
      <c r="E20" s="2478"/>
      <c r="F20" s="2479"/>
      <c r="G20" s="2476"/>
      <c r="H20" s="2483"/>
      <c r="I20" s="2484">
        <f>SUM(I17:I19)</f>
        <v>0</v>
      </c>
    </row>
    <row r="21" spans="1:9">
      <c r="A21" s="3510" t="s">
        <v>2507</v>
      </c>
      <c r="B21" s="3513"/>
      <c r="C21" s="3513"/>
      <c r="D21" s="3513"/>
      <c r="E21" s="3513"/>
      <c r="F21" s="3513"/>
      <c r="G21" s="3513"/>
      <c r="H21" s="2488">
        <v>0.1</v>
      </c>
      <c r="I21" s="2481">
        <f>ROUND(I10*H21,0)</f>
        <v>0</v>
      </c>
    </row>
    <row r="22" spans="1:9" ht="14.25">
      <c r="A22" s="3514" t="s">
        <v>2508</v>
      </c>
      <c r="B22" s="3515"/>
      <c r="C22" s="3516"/>
      <c r="D22" s="2489" t="s">
        <v>2509</v>
      </c>
      <c r="E22" s="2489" t="s">
        <v>2510</v>
      </c>
      <c r="F22" s="2490" t="s">
        <v>2511</v>
      </c>
      <c r="G22" s="2490" t="s">
        <v>2512</v>
      </c>
      <c r="H22" s="2482" t="s">
        <v>2513</v>
      </c>
      <c r="I22" s="2473" t="s">
        <v>2514</v>
      </c>
    </row>
    <row r="23" spans="1:9" ht="14.25" thickBot="1">
      <c r="A23" s="3517"/>
      <c r="B23" s="3518"/>
      <c r="C23" s="3519"/>
      <c r="D23" s="2491"/>
      <c r="E23" s="2491"/>
      <c r="F23" s="2491"/>
      <c r="G23" s="2492"/>
      <c r="H23" s="2493"/>
      <c r="I23" s="2494">
        <f>ROUND(E23*D23*F23*(1-G23)/10000,0)</f>
        <v>0</v>
      </c>
    </row>
    <row r="26" spans="1:9">
      <c r="A26" s="2495" t="s">
        <v>2515</v>
      </c>
      <c r="B26" s="2495"/>
      <c r="C26" s="2495"/>
      <c r="D26" s="2495"/>
      <c r="E26" s="3507">
        <f>C27-C30-C31-C32</f>
        <v>0</v>
      </c>
      <c r="F26" s="3507"/>
      <c r="G26" s="3507"/>
      <c r="H26" s="2995" t="s">
        <v>2843</v>
      </c>
    </row>
    <row r="27" spans="1:9">
      <c r="A27" s="2496">
        <v>1</v>
      </c>
      <c r="B27" s="2497" t="s">
        <v>2516</v>
      </c>
      <c r="C27" s="2497"/>
      <c r="D27" s="2497"/>
      <c r="E27" s="3508"/>
      <c r="F27" s="3508"/>
      <c r="G27" s="3508"/>
    </row>
    <row r="28" spans="1:9">
      <c r="A28" s="2498" t="s">
        <v>2517</v>
      </c>
      <c r="B28" s="2497" t="s">
        <v>2518</v>
      </c>
      <c r="C28" s="2497"/>
      <c r="D28" s="2497"/>
      <c r="E28" s="3508"/>
      <c r="F28" s="3508"/>
      <c r="G28" s="3508"/>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9"/>
      <c r="F32" s="3509"/>
      <c r="G32" s="3509"/>
    </row>
    <row r="33" spans="1:7" hidden="1">
      <c r="A33" s="3504" t="s">
        <v>2526</v>
      </c>
      <c r="B33" s="3505"/>
      <c r="C33" s="3505"/>
      <c r="D33" s="3506"/>
      <c r="E33" s="3507"/>
      <c r="F33" s="3507"/>
      <c r="G33" s="3507"/>
    </row>
    <row r="34" spans="1:7" hidden="1">
      <c r="A34" s="2500">
        <v>1</v>
      </c>
      <c r="B34" s="2497" t="s">
        <v>2527</v>
      </c>
      <c r="C34" s="2497"/>
      <c r="D34" s="2497"/>
      <c r="E34" s="3508"/>
      <c r="F34" s="3508"/>
      <c r="G34" s="3508"/>
    </row>
    <row r="35" spans="1:7" hidden="1">
      <c r="A35" s="2500">
        <v>2</v>
      </c>
      <c r="B35" s="2497" t="s">
        <v>2528</v>
      </c>
      <c r="C35" s="2497"/>
      <c r="D35" s="2497"/>
      <c r="E35" s="3508"/>
      <c r="F35" s="3508"/>
      <c r="G35" s="3508"/>
    </row>
    <row r="36" spans="1:7" hidden="1">
      <c r="A36" s="2500">
        <v>3</v>
      </c>
      <c r="B36" s="2497" t="s">
        <v>2529</v>
      </c>
      <c r="C36" s="2497"/>
      <c r="D36" s="2497"/>
      <c r="E36" s="3508"/>
      <c r="F36" s="3508"/>
      <c r="G36" s="3508"/>
    </row>
    <row r="37" spans="1:7" hidden="1">
      <c r="A37" s="2500">
        <v>4</v>
      </c>
      <c r="B37" s="2497" t="s">
        <v>2530</v>
      </c>
      <c r="C37" s="2497"/>
      <c r="D37" s="2497"/>
      <c r="E37" s="3508"/>
      <c r="F37" s="3508"/>
      <c r="G37" s="3508"/>
    </row>
    <row r="38" spans="1:7" hidden="1">
      <c r="A38" s="3504" t="s">
        <v>2531</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0</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0</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t="e">
        <f>'数据-取费表'!AP16</f>
        <v>#DIV/0!</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8" t="s">
        <v>522</v>
      </c>
      <c r="D4" s="3429"/>
      <c r="E4" s="3452" t="s">
        <v>523</v>
      </c>
      <c r="F4" s="3453"/>
      <c r="G4" s="3428" t="s">
        <v>524</v>
      </c>
      <c r="H4" s="3429"/>
      <c r="I4" s="3428" t="s">
        <v>525</v>
      </c>
      <c r="J4" s="3429"/>
      <c r="K4" s="853" t="s">
        <v>526</v>
      </c>
      <c r="L4" s="2119"/>
      <c r="M4" s="2120"/>
      <c r="N4" s="2120"/>
      <c r="O4" s="2120"/>
      <c r="P4" s="3430" t="s">
        <v>527</v>
      </c>
      <c r="Q4" s="3431"/>
      <c r="R4" s="3416" t="s">
        <v>523</v>
      </c>
      <c r="S4" s="3417"/>
      <c r="T4" s="3416" t="s">
        <v>524</v>
      </c>
      <c r="U4" s="3417"/>
      <c r="V4" s="3436" t="s">
        <v>525</v>
      </c>
      <c r="W4" s="3436"/>
      <c r="X4" s="1554"/>
      <c r="Y4" s="3416" t="s">
        <v>527</v>
      </c>
      <c r="Z4" s="3417"/>
      <c r="AA4" s="3411" t="s">
        <v>523</v>
      </c>
      <c r="AB4" s="3411" t="s">
        <v>524</v>
      </c>
      <c r="AC4" s="3411" t="s">
        <v>525</v>
      </c>
    </row>
    <row r="5" spans="1:29" ht="15">
      <c r="A5" s="515"/>
      <c r="B5" s="516"/>
      <c r="C5" s="3439" t="s">
        <v>2931</v>
      </c>
      <c r="D5" s="3440"/>
      <c r="E5" s="3454" t="s">
        <v>2932</v>
      </c>
      <c r="F5" s="3455"/>
      <c r="G5" s="3439" t="s">
        <v>2933</v>
      </c>
      <c r="H5" s="3440"/>
      <c r="I5" s="3439" t="s">
        <v>2934</v>
      </c>
      <c r="J5" s="3440"/>
      <c r="K5" s="854"/>
      <c r="L5" s="2119"/>
      <c r="M5" s="2120"/>
      <c r="N5" s="2120"/>
      <c r="O5" s="2120"/>
      <c r="P5" s="3432"/>
      <c r="Q5" s="3433"/>
      <c r="R5" s="3418"/>
      <c r="S5" s="3419"/>
      <c r="T5" s="3418"/>
      <c r="U5" s="3419"/>
      <c r="V5" s="3436"/>
      <c r="W5" s="3436"/>
      <c r="X5" s="1554"/>
      <c r="Y5" s="3418"/>
      <c r="Z5" s="3419"/>
      <c r="AA5" s="3412"/>
      <c r="AB5" s="3412"/>
      <c r="AC5" s="3412"/>
    </row>
    <row r="6" spans="1:29" ht="15.75" thickBot="1">
      <c r="A6" s="517"/>
      <c r="B6" s="518"/>
      <c r="C6" s="3437" t="s">
        <v>2935</v>
      </c>
      <c r="D6" s="3438"/>
      <c r="E6" s="3456" t="s">
        <v>2935</v>
      </c>
      <c r="F6" s="3457"/>
      <c r="G6" s="3437" t="s">
        <v>2935</v>
      </c>
      <c r="H6" s="3438"/>
      <c r="I6" s="3437" t="s">
        <v>2935</v>
      </c>
      <c r="J6" s="3438"/>
      <c r="K6" s="854" t="s">
        <v>528</v>
      </c>
      <c r="L6" s="2119"/>
      <c r="M6" s="2120"/>
      <c r="N6" s="2120"/>
      <c r="O6" s="2120"/>
      <c r="P6" s="3434"/>
      <c r="Q6" s="3435"/>
      <c r="R6" s="3418"/>
      <c r="S6" s="3419"/>
      <c r="T6" s="3420"/>
      <c r="U6" s="3421"/>
      <c r="V6" s="3436"/>
      <c r="W6" s="3436"/>
      <c r="X6" s="1554"/>
      <c r="Y6" s="3420"/>
      <c r="Z6" s="3421"/>
      <c r="AA6" s="3413"/>
      <c r="AB6" s="3413"/>
      <c r="AC6" s="3413"/>
    </row>
    <row r="7" spans="1:29" s="1216" customFormat="1" ht="15.75" thickBot="1">
      <c r="A7" s="2868"/>
      <c r="B7" s="2875" t="s">
        <v>529</v>
      </c>
      <c r="C7" s="519">
        <f>'数据-取费表'!B2</f>
        <v>44827</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14" t="s">
        <v>530</v>
      </c>
      <c r="Q7" s="3423"/>
      <c r="R7" s="1555" t="s">
        <v>13</v>
      </c>
      <c r="S7" s="1556">
        <f t="shared" ref="S7:S15" si="0">F7</f>
        <v>0</v>
      </c>
      <c r="T7" s="1555" t="s">
        <v>13</v>
      </c>
      <c r="U7" s="1556">
        <f t="shared" ref="U7:U15" si="1">H7</f>
        <v>0</v>
      </c>
      <c r="V7" s="1555" t="s">
        <v>13</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14" t="s">
        <v>533</v>
      </c>
      <c r="Q8" s="3415"/>
      <c r="R8" s="1555" t="s">
        <v>13</v>
      </c>
      <c r="S8" s="1556">
        <f t="shared" si="0"/>
        <v>0</v>
      </c>
      <c r="T8" s="1555" t="s">
        <v>13</v>
      </c>
      <c r="U8" s="1556">
        <f t="shared" si="1"/>
        <v>0</v>
      </c>
      <c r="V8" s="1555" t="s">
        <v>13</v>
      </c>
      <c r="W8" s="1556">
        <f t="shared" si="2"/>
        <v>0</v>
      </c>
      <c r="X8" s="1557"/>
      <c r="Y8" s="3414" t="s">
        <v>533</v>
      </c>
      <c r="Z8" s="3415"/>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22" t="s">
        <v>535</v>
      </c>
      <c r="Q9" s="1147" t="str">
        <f t="shared" ref="Q9:Q15" si="6">B9</f>
        <v>用途</v>
      </c>
      <c r="R9" s="1555" t="s">
        <v>8</v>
      </c>
      <c r="S9" s="1556">
        <f t="shared" si="0"/>
        <v>100</v>
      </c>
      <c r="T9" s="1555" t="s">
        <v>8</v>
      </c>
      <c r="U9" s="1556">
        <f t="shared" si="1"/>
        <v>100</v>
      </c>
      <c r="V9" s="1555" t="s">
        <v>8</v>
      </c>
      <c r="W9" s="1556">
        <f t="shared" si="2"/>
        <v>100</v>
      </c>
      <c r="X9" s="1557"/>
      <c r="Y9" s="337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22"/>
      <c r="Q10" s="1147" t="str">
        <f t="shared" si="6"/>
        <v>土地使用年限（年）</v>
      </c>
      <c r="R10" s="1555" t="s">
        <v>8</v>
      </c>
      <c r="S10" s="1556">
        <f t="shared" si="0"/>
        <v>100</v>
      </c>
      <c r="T10" s="1555" t="s">
        <v>8</v>
      </c>
      <c r="U10" s="1556">
        <f t="shared" si="1"/>
        <v>100</v>
      </c>
      <c r="V10" s="1555" t="s">
        <v>8</v>
      </c>
      <c r="W10" s="1556">
        <f t="shared" si="2"/>
        <v>100</v>
      </c>
      <c r="X10" s="1557"/>
      <c r="Y10" s="3379"/>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22"/>
      <c r="Q11" s="1147" t="str">
        <f t="shared" si="6"/>
        <v>容积率</v>
      </c>
      <c r="R11" s="1555" t="s">
        <v>11</v>
      </c>
      <c r="S11" s="1556" t="e">
        <f t="shared" si="0"/>
        <v>#N/A</v>
      </c>
      <c r="T11" s="1555" t="s">
        <v>11</v>
      </c>
      <c r="U11" s="1556" t="e">
        <f t="shared" si="1"/>
        <v>#N/A</v>
      </c>
      <c r="V11" s="1555" t="s">
        <v>11</v>
      </c>
      <c r="W11" s="1556" t="e">
        <f t="shared" si="2"/>
        <v>#N/A</v>
      </c>
      <c r="X11" s="1557"/>
      <c r="Y11" s="337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22"/>
      <c r="Q12" s="1147">
        <f t="shared" si="6"/>
        <v>111</v>
      </c>
      <c r="R12" s="1555" t="s">
        <v>11</v>
      </c>
      <c r="S12" s="1556">
        <f t="shared" si="0"/>
        <v>100</v>
      </c>
      <c r="T12" s="1555" t="s">
        <v>11</v>
      </c>
      <c r="U12" s="1556">
        <f t="shared" si="1"/>
        <v>100</v>
      </c>
      <c r="V12" s="1555" t="s">
        <v>11</v>
      </c>
      <c r="W12" s="1556">
        <f t="shared" si="2"/>
        <v>100</v>
      </c>
      <c r="X12" s="1557"/>
      <c r="Y12" s="337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22"/>
      <c r="Q13" s="1147">
        <f t="shared" si="6"/>
        <v>111</v>
      </c>
      <c r="R13" s="1555" t="s">
        <v>11</v>
      </c>
      <c r="S13" s="1556">
        <f t="shared" si="0"/>
        <v>100</v>
      </c>
      <c r="T13" s="1555" t="s">
        <v>11</v>
      </c>
      <c r="U13" s="1556">
        <f t="shared" si="1"/>
        <v>100</v>
      </c>
      <c r="V13" s="1555" t="s">
        <v>11</v>
      </c>
      <c r="W13" s="1556">
        <f t="shared" si="2"/>
        <v>100</v>
      </c>
      <c r="X13" s="1557"/>
      <c r="Y13" s="337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22"/>
      <c r="Q14" s="1147">
        <f t="shared" si="6"/>
        <v>111</v>
      </c>
      <c r="R14" s="1555" t="s">
        <v>11</v>
      </c>
      <c r="S14" s="1556">
        <f t="shared" si="0"/>
        <v>100</v>
      </c>
      <c r="T14" s="1555" t="s">
        <v>11</v>
      </c>
      <c r="U14" s="1556">
        <f t="shared" si="1"/>
        <v>100</v>
      </c>
      <c r="V14" s="1555" t="s">
        <v>11</v>
      </c>
      <c r="W14" s="1556">
        <f t="shared" si="2"/>
        <v>100</v>
      </c>
      <c r="X14" s="1557"/>
      <c r="Y14" s="3379"/>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24" t="s">
        <v>540</v>
      </c>
      <c r="Q15" s="1559" t="str">
        <f t="shared" si="6"/>
        <v>居住社区成熟度</v>
      </c>
      <c r="R15" s="1560" t="s">
        <v>11</v>
      </c>
      <c r="S15" s="1561">
        <f t="shared" si="0"/>
        <v>100</v>
      </c>
      <c r="T15" s="1560" t="s">
        <v>11</v>
      </c>
      <c r="U15" s="1561">
        <f t="shared" si="1"/>
        <v>100</v>
      </c>
      <c r="V15" s="1560" t="s">
        <v>11</v>
      </c>
      <c r="W15" s="1561">
        <f t="shared" si="2"/>
        <v>100</v>
      </c>
      <c r="X15" s="1554"/>
      <c r="Y15" s="342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25"/>
      <c r="Q16" s="1559"/>
      <c r="R16" s="1560"/>
      <c r="S16" s="1561"/>
      <c r="T16" s="1560"/>
      <c r="U16" s="1561"/>
      <c r="V16" s="1560"/>
      <c r="W16" s="1561"/>
      <c r="X16" s="1554"/>
      <c r="Y16" s="342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25"/>
      <c r="Q17" s="1559" t="str">
        <f>B17</f>
        <v>交通便捷度</v>
      </c>
      <c r="R17" s="1560" t="s">
        <v>11</v>
      </c>
      <c r="S17" s="1561">
        <f>F17</f>
        <v>100</v>
      </c>
      <c r="T17" s="1560" t="s">
        <v>11</v>
      </c>
      <c r="U17" s="1561">
        <f>H17</f>
        <v>100</v>
      </c>
      <c r="V17" s="1560" t="s">
        <v>11</v>
      </c>
      <c r="W17" s="1561">
        <f>J17</f>
        <v>100</v>
      </c>
      <c r="X17" s="1554"/>
      <c r="Y17" s="342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25"/>
      <c r="Q18" s="1559"/>
      <c r="R18" s="1560"/>
      <c r="S18" s="1561"/>
      <c r="T18" s="1560"/>
      <c r="U18" s="1561"/>
      <c r="V18" s="1560"/>
      <c r="W18" s="1561"/>
      <c r="X18" s="1554"/>
      <c r="Y18" s="342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25"/>
      <c r="Q19" s="1559" t="str">
        <f>B19</f>
        <v>公共配套设施</v>
      </c>
      <c r="R19" s="1560" t="s">
        <v>11</v>
      </c>
      <c r="S19" s="1561">
        <f>F19</f>
        <v>100</v>
      </c>
      <c r="T19" s="1560" t="s">
        <v>11</v>
      </c>
      <c r="U19" s="1561">
        <f>H19</f>
        <v>100</v>
      </c>
      <c r="V19" s="1560" t="s">
        <v>11</v>
      </c>
      <c r="W19" s="1561">
        <f>J19</f>
        <v>100</v>
      </c>
      <c r="X19" s="1554"/>
      <c r="Y19" s="342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25"/>
      <c r="Q20" s="1559"/>
      <c r="R20" s="1560"/>
      <c r="S20" s="1561"/>
      <c r="T20" s="1560"/>
      <c r="U20" s="1561"/>
      <c r="V20" s="1560"/>
      <c r="W20" s="1561"/>
      <c r="X20" s="1554"/>
      <c r="Y20" s="342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25"/>
      <c r="Q21" s="2544" t="str">
        <f>B21</f>
        <v>基础设施水平</v>
      </c>
      <c r="R21" s="1560" t="s">
        <v>11</v>
      </c>
      <c r="S21" s="1561">
        <f>F21</f>
        <v>100</v>
      </c>
      <c r="T21" s="1560" t="s">
        <v>11</v>
      </c>
      <c r="U21" s="1561">
        <f>H21</f>
        <v>100</v>
      </c>
      <c r="V21" s="1560" t="s">
        <v>11</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25"/>
      <c r="Q22" s="2544"/>
      <c r="R22" s="1560"/>
      <c r="S22" s="1561"/>
      <c r="T22" s="1560"/>
      <c r="U22" s="1561"/>
      <c r="V22" s="1560"/>
      <c r="W22" s="1561"/>
      <c r="X22" s="2546"/>
      <c r="Y22" s="342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25"/>
      <c r="Q23" s="1559" t="str">
        <f>B23</f>
        <v>自然及人文环境</v>
      </c>
      <c r="R23" s="1560" t="s">
        <v>11</v>
      </c>
      <c r="S23" s="1561">
        <f>F23</f>
        <v>100</v>
      </c>
      <c r="T23" s="1560" t="s">
        <v>11</v>
      </c>
      <c r="U23" s="1561">
        <f>H23</f>
        <v>100</v>
      </c>
      <c r="V23" s="1560" t="s">
        <v>11</v>
      </c>
      <c r="W23" s="1561">
        <f>J23</f>
        <v>100</v>
      </c>
      <c r="X23" s="1554"/>
      <c r="Y23" s="342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25"/>
      <c r="Q24" s="1559"/>
      <c r="R24" s="1560"/>
      <c r="S24" s="1561"/>
      <c r="T24" s="1560"/>
      <c r="U24" s="1561"/>
      <c r="V24" s="1560"/>
      <c r="W24" s="1561"/>
      <c r="X24" s="1554"/>
      <c r="Y24" s="342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5"/>
      <c r="Q25" s="1559" t="str">
        <f t="shared" ref="Q25:Q46" si="11">B25</f>
        <v>楼层-1</v>
      </c>
      <c r="R25" s="1560" t="s">
        <v>11</v>
      </c>
      <c r="S25" s="1561">
        <f>F25</f>
        <v>100</v>
      </c>
      <c r="T25" s="1560" t="s">
        <v>11</v>
      </c>
      <c r="U25" s="1561">
        <f>H25</f>
        <v>100</v>
      </c>
      <c r="V25" s="1560" t="s">
        <v>11</v>
      </c>
      <c r="W25" s="1561">
        <f>J25</f>
        <v>100</v>
      </c>
      <c r="X25" s="1554"/>
      <c r="Y25" s="342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5"/>
      <c r="Q26" s="1559" t="str">
        <f t="shared" si="11"/>
        <v>朝向</v>
      </c>
      <c r="R26" s="1560" t="s">
        <v>11</v>
      </c>
      <c r="S26" s="1561">
        <f>F26</f>
        <v>100</v>
      </c>
      <c r="T26" s="1560" t="s">
        <v>11</v>
      </c>
      <c r="U26" s="1561">
        <f>H26</f>
        <v>100</v>
      </c>
      <c r="V26" s="1560" t="s">
        <v>11</v>
      </c>
      <c r="W26" s="1561">
        <f>J26</f>
        <v>100</v>
      </c>
      <c r="X26" s="1554"/>
      <c r="Y26" s="342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5"/>
      <c r="Q27" s="1147" t="str">
        <f t="shared" si="11"/>
        <v>道路级别</v>
      </c>
      <c r="R27" s="1555" t="s">
        <v>11</v>
      </c>
      <c r="S27" s="1556">
        <f>F27</f>
        <v>100</v>
      </c>
      <c r="T27" s="1555" t="s">
        <v>11</v>
      </c>
      <c r="U27" s="1556">
        <f>H27</f>
        <v>100</v>
      </c>
      <c r="V27" s="1555" t="s">
        <v>11</v>
      </c>
      <c r="W27" s="1556">
        <f>J27</f>
        <v>100</v>
      </c>
      <c r="X27" s="1557"/>
      <c r="Y27" s="342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5"/>
      <c r="Q29" s="1559">
        <f t="shared" si="11"/>
        <v>111</v>
      </c>
      <c r="R29" s="1560" t="s">
        <v>11</v>
      </c>
      <c r="S29" s="1561">
        <f t="shared" si="12"/>
        <v>100</v>
      </c>
      <c r="T29" s="1560" t="s">
        <v>11</v>
      </c>
      <c r="U29" s="1561">
        <f t="shared" si="13"/>
        <v>100</v>
      </c>
      <c r="V29" s="1560" t="s">
        <v>11</v>
      </c>
      <c r="W29" s="1561">
        <f t="shared" si="14"/>
        <v>100</v>
      </c>
      <c r="X29" s="1554"/>
      <c r="Y29" s="342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5"/>
      <c r="Q30" s="1559">
        <f t="shared" si="11"/>
        <v>111</v>
      </c>
      <c r="R30" s="1560" t="s">
        <v>11</v>
      </c>
      <c r="S30" s="1561">
        <f t="shared" si="12"/>
        <v>100</v>
      </c>
      <c r="T30" s="1560" t="s">
        <v>11</v>
      </c>
      <c r="U30" s="1561">
        <f t="shared" si="13"/>
        <v>100</v>
      </c>
      <c r="V30" s="1560" t="s">
        <v>11</v>
      </c>
      <c r="W30" s="1561">
        <f t="shared" si="14"/>
        <v>100</v>
      </c>
      <c r="X30" s="1554"/>
      <c r="Y30" s="342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5"/>
      <c r="Q31" s="1559">
        <f t="shared" si="11"/>
        <v>111</v>
      </c>
      <c r="R31" s="1560" t="s">
        <v>11</v>
      </c>
      <c r="S31" s="1561">
        <f t="shared" si="12"/>
        <v>100</v>
      </c>
      <c r="T31" s="1560" t="s">
        <v>11</v>
      </c>
      <c r="U31" s="1561">
        <f t="shared" si="13"/>
        <v>100</v>
      </c>
      <c r="V31" s="1560" t="s">
        <v>11</v>
      </c>
      <c r="W31" s="1561">
        <f t="shared" si="14"/>
        <v>100</v>
      </c>
      <c r="X31" s="1554"/>
      <c r="Y31" s="3425"/>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6" t="s">
        <v>550</v>
      </c>
      <c r="Q32" s="1559" t="str">
        <f t="shared" si="11"/>
        <v>建筑类型</v>
      </c>
      <c r="R32" s="1560" t="s">
        <v>11</v>
      </c>
      <c r="S32" s="1561">
        <f t="shared" si="12"/>
        <v>100</v>
      </c>
      <c r="T32" s="1560" t="s">
        <v>11</v>
      </c>
      <c r="U32" s="1561">
        <f t="shared" si="13"/>
        <v>100</v>
      </c>
      <c r="V32" s="1560" t="s">
        <v>11</v>
      </c>
      <c r="W32" s="1561">
        <f t="shared" si="14"/>
        <v>100</v>
      </c>
      <c r="X32" s="1554"/>
      <c r="Y32" s="342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27"/>
      <c r="Q33" s="1591" t="str">
        <f t="shared" si="11"/>
        <v>项目建筑规模</v>
      </c>
      <c r="R33" s="1564" t="s">
        <v>11</v>
      </c>
      <c r="S33" s="1565" t="e">
        <f t="shared" si="12"/>
        <v>#N/A</v>
      </c>
      <c r="T33" s="1564" t="s">
        <v>11</v>
      </c>
      <c r="U33" s="1565" t="e">
        <f t="shared" si="13"/>
        <v>#N/A</v>
      </c>
      <c r="V33" s="1564" t="s">
        <v>11</v>
      </c>
      <c r="W33" s="1565" t="e">
        <f t="shared" si="14"/>
        <v>#N/A</v>
      </c>
      <c r="X33" s="1566"/>
      <c r="Y33" s="342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7"/>
      <c r="Q34" s="1559" t="str">
        <f t="shared" si="11"/>
        <v>建筑结构</v>
      </c>
      <c r="R34" s="1560" t="s">
        <v>11</v>
      </c>
      <c r="S34" s="1561">
        <f t="shared" si="12"/>
        <v>100</v>
      </c>
      <c r="T34" s="1560" t="s">
        <v>11</v>
      </c>
      <c r="U34" s="1561">
        <f t="shared" si="13"/>
        <v>100</v>
      </c>
      <c r="V34" s="1560" t="s">
        <v>11</v>
      </c>
      <c r="W34" s="1561">
        <f t="shared" si="14"/>
        <v>100</v>
      </c>
      <c r="X34" s="1554"/>
      <c r="Y34" s="342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7"/>
      <c r="Q35" s="1559" t="str">
        <f t="shared" si="11"/>
        <v>建筑品质</v>
      </c>
      <c r="R35" s="1560" t="s">
        <v>11</v>
      </c>
      <c r="S35" s="1561">
        <f t="shared" si="12"/>
        <v>100</v>
      </c>
      <c r="T35" s="1560" t="s">
        <v>11</v>
      </c>
      <c r="U35" s="1561">
        <f t="shared" si="13"/>
        <v>100</v>
      </c>
      <c r="V35" s="1560" t="s">
        <v>11</v>
      </c>
      <c r="W35" s="1561">
        <f t="shared" si="14"/>
        <v>100</v>
      </c>
      <c r="X35" s="1554"/>
      <c r="Y35" s="342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7"/>
      <c r="Q36" s="1559" t="str">
        <f t="shared" si="11"/>
        <v>公共部分装修</v>
      </c>
      <c r="R36" s="1560" t="s">
        <v>11</v>
      </c>
      <c r="S36" s="1561">
        <f t="shared" si="12"/>
        <v>100</v>
      </c>
      <c r="T36" s="1560" t="s">
        <v>11</v>
      </c>
      <c r="U36" s="1561">
        <f t="shared" si="13"/>
        <v>100</v>
      </c>
      <c r="V36" s="1560" t="s">
        <v>11</v>
      </c>
      <c r="W36" s="1561">
        <f t="shared" si="14"/>
        <v>100</v>
      </c>
      <c r="X36" s="1554"/>
      <c r="Y36" s="342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27"/>
      <c r="Q37" s="1147" t="str">
        <f t="shared" si="11"/>
        <v>成新度</v>
      </c>
      <c r="R37" s="1555" t="s">
        <v>11</v>
      </c>
      <c r="S37" s="1556" t="e">
        <f t="shared" si="12"/>
        <v>#N/A</v>
      </c>
      <c r="T37" s="1555" t="s">
        <v>11</v>
      </c>
      <c r="U37" s="1556" t="e">
        <f t="shared" si="13"/>
        <v>#N/A</v>
      </c>
      <c r="V37" s="1555" t="s">
        <v>11</v>
      </c>
      <c r="W37" s="1556" t="e">
        <f t="shared" si="14"/>
        <v>#N/A</v>
      </c>
      <c r="X37" s="1557"/>
      <c r="Y37" s="342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7" t="s">
        <v>550</v>
      </c>
      <c r="Q38" s="1559" t="str">
        <f t="shared" si="11"/>
        <v>物业管理</v>
      </c>
      <c r="R38" s="1560" t="s">
        <v>11</v>
      </c>
      <c r="S38" s="1561">
        <f t="shared" si="12"/>
        <v>100</v>
      </c>
      <c r="T38" s="1560" t="s">
        <v>11</v>
      </c>
      <c r="U38" s="1561">
        <f t="shared" si="13"/>
        <v>100</v>
      </c>
      <c r="V38" s="1560" t="s">
        <v>11</v>
      </c>
      <c r="W38" s="1561">
        <f t="shared" si="14"/>
        <v>100</v>
      </c>
      <c r="X38" s="1554"/>
      <c r="Y38" s="342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7"/>
      <c r="Q39" s="1559" t="str">
        <f t="shared" si="11"/>
        <v>市政基础设施</v>
      </c>
      <c r="R39" s="1560" t="s">
        <v>11</v>
      </c>
      <c r="S39" s="1561">
        <f t="shared" si="12"/>
        <v>100</v>
      </c>
      <c r="T39" s="1560" t="s">
        <v>11</v>
      </c>
      <c r="U39" s="1561">
        <f t="shared" si="13"/>
        <v>100</v>
      </c>
      <c r="V39" s="1560" t="s">
        <v>11</v>
      </c>
      <c r="W39" s="1561">
        <f t="shared" si="14"/>
        <v>100</v>
      </c>
      <c r="X39" s="1554"/>
      <c r="Y39" s="342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7"/>
      <c r="Q40" s="1559" t="str">
        <f t="shared" si="11"/>
        <v>房型</v>
      </c>
      <c r="R40" s="1560" t="s">
        <v>11</v>
      </c>
      <c r="S40" s="1561">
        <f t="shared" si="12"/>
        <v>100</v>
      </c>
      <c r="T40" s="1560" t="s">
        <v>11</v>
      </c>
      <c r="U40" s="1561">
        <f t="shared" si="13"/>
        <v>100</v>
      </c>
      <c r="V40" s="1560" t="s">
        <v>11</v>
      </c>
      <c r="W40" s="1561">
        <f t="shared" si="14"/>
        <v>100</v>
      </c>
      <c r="X40" s="1554"/>
      <c r="Y40" s="342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7"/>
      <c r="Q41" s="1591" t="str">
        <f t="shared" si="11"/>
        <v>单套/主力户型建筑面积</v>
      </c>
      <c r="R41" s="1564" t="s">
        <v>11</v>
      </c>
      <c r="S41" s="1565">
        <f t="shared" si="12"/>
        <v>100</v>
      </c>
      <c r="T41" s="1564" t="s">
        <v>11</v>
      </c>
      <c r="U41" s="1565">
        <f t="shared" si="13"/>
        <v>100</v>
      </c>
      <c r="V41" s="1564" t="s">
        <v>11</v>
      </c>
      <c r="W41" s="1565">
        <f t="shared" si="14"/>
        <v>100</v>
      </c>
      <c r="X41" s="1566"/>
      <c r="Y41" s="342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7"/>
      <c r="Q42" s="1559" t="str">
        <f t="shared" si="11"/>
        <v>内部装修</v>
      </c>
      <c r="R42" s="1560" t="s">
        <v>11</v>
      </c>
      <c r="S42" s="1561">
        <f t="shared" si="12"/>
        <v>100</v>
      </c>
      <c r="T42" s="1560" t="s">
        <v>11</v>
      </c>
      <c r="U42" s="1561">
        <f t="shared" si="13"/>
        <v>100</v>
      </c>
      <c r="V42" s="1560" t="s">
        <v>11</v>
      </c>
      <c r="W42" s="1561">
        <f t="shared" si="14"/>
        <v>100</v>
      </c>
      <c r="X42" s="1554"/>
      <c r="Y42" s="342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7"/>
      <c r="Q43" s="1559" t="str">
        <f t="shared" si="11"/>
        <v>内部装修维护情况</v>
      </c>
      <c r="R43" s="1560" t="s">
        <v>11</v>
      </c>
      <c r="S43" s="1561">
        <f t="shared" si="12"/>
        <v>100</v>
      </c>
      <c r="T43" s="1560" t="s">
        <v>11</v>
      </c>
      <c r="U43" s="1561">
        <f t="shared" si="13"/>
        <v>100</v>
      </c>
      <c r="V43" s="1560" t="s">
        <v>11</v>
      </c>
      <c r="W43" s="1561">
        <f t="shared" si="14"/>
        <v>100</v>
      </c>
      <c r="X43" s="1554"/>
      <c r="Y43" s="342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7"/>
      <c r="Q44" s="1147">
        <f t="shared" si="11"/>
        <v>111</v>
      </c>
      <c r="R44" s="1555" t="s">
        <v>11</v>
      </c>
      <c r="S44" s="1556">
        <f t="shared" si="12"/>
        <v>100</v>
      </c>
      <c r="T44" s="1555" t="s">
        <v>11</v>
      </c>
      <c r="U44" s="1556">
        <f t="shared" si="13"/>
        <v>100</v>
      </c>
      <c r="V44" s="1555" t="s">
        <v>11</v>
      </c>
      <c r="W44" s="1556">
        <f t="shared" si="14"/>
        <v>100</v>
      </c>
      <c r="X44" s="1557"/>
      <c r="Y44" s="342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7"/>
      <c r="Q45" s="1559">
        <f t="shared" si="11"/>
        <v>111</v>
      </c>
      <c r="R45" s="1560" t="s">
        <v>11</v>
      </c>
      <c r="S45" s="1561">
        <f t="shared" si="12"/>
        <v>100</v>
      </c>
      <c r="T45" s="1560" t="s">
        <v>11</v>
      </c>
      <c r="U45" s="1561">
        <f t="shared" si="13"/>
        <v>100</v>
      </c>
      <c r="V45" s="1560" t="s">
        <v>11</v>
      </c>
      <c r="W45" s="1561">
        <f t="shared" si="14"/>
        <v>100</v>
      </c>
      <c r="X45" s="1554"/>
      <c r="Y45" s="342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7"/>
      <c r="Q46" s="1559">
        <f t="shared" si="11"/>
        <v>111</v>
      </c>
      <c r="R46" s="1560" t="s">
        <v>10</v>
      </c>
      <c r="S46" s="1561">
        <f t="shared" si="12"/>
        <v>100</v>
      </c>
      <c r="T46" s="1560" t="s">
        <v>10</v>
      </c>
      <c r="U46" s="1561">
        <f t="shared" si="13"/>
        <v>100</v>
      </c>
      <c r="V46" s="1560" t="s">
        <v>10</v>
      </c>
      <c r="W46" s="1561">
        <f t="shared" si="14"/>
        <v>100</v>
      </c>
      <c r="X46" s="1554"/>
      <c r="Y46" s="352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22" t="str">
        <f>A47</f>
        <v>成交单价（元/平方米）</v>
      </c>
      <c r="Q47" s="3422"/>
      <c r="R47" s="3526">
        <f>E47</f>
        <v>0</v>
      </c>
      <c r="S47" s="3526"/>
      <c r="T47" s="3526">
        <f>G47</f>
        <v>0</v>
      </c>
      <c r="U47" s="3526"/>
      <c r="V47" s="3526">
        <f>I47</f>
        <v>0</v>
      </c>
      <c r="W47" s="3526"/>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22" t="str">
        <f>A48</f>
        <v>比较价格（元/平方米）</v>
      </c>
      <c r="Q48" s="3422"/>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43" t="str">
        <f>A49</f>
        <v>估价对象XX用房的比较价格（楼面单价，元/平方米）</v>
      </c>
      <c r="Q49" s="3444"/>
      <c r="R49" s="3525" t="e">
        <f>IF(F1="售价",ROUND(AVERAGE(R48:V48),0),ROUND(AVERAGE(R48:V48),1))</f>
        <v>#DIV/0!</v>
      </c>
      <c r="S49" s="3525"/>
      <c r="T49" s="3525"/>
      <c r="U49" s="3525"/>
      <c r="V49" s="3525"/>
      <c r="W49" s="352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2022-9</v>
      </c>
      <c r="D58" s="2760">
        <f>EDATE(C58,-1)</f>
        <v>44774</v>
      </c>
      <c r="E58" s="2760">
        <f t="shared" ref="E58:O58" si="16">EDATE(D58,-1)</f>
        <v>44743</v>
      </c>
      <c r="F58" s="2760">
        <f t="shared" si="16"/>
        <v>44713</v>
      </c>
      <c r="G58" s="2760">
        <f t="shared" si="16"/>
        <v>44682</v>
      </c>
      <c r="H58" s="2760">
        <f t="shared" si="16"/>
        <v>44652</v>
      </c>
      <c r="I58" s="2760">
        <f t="shared" si="16"/>
        <v>44621</v>
      </c>
      <c r="J58" s="2760">
        <f t="shared" si="16"/>
        <v>44593</v>
      </c>
      <c r="K58" s="2760">
        <f t="shared" si="16"/>
        <v>44562</v>
      </c>
      <c r="L58" s="2760">
        <f t="shared" si="16"/>
        <v>44531</v>
      </c>
      <c r="M58" s="2760">
        <f t="shared" si="16"/>
        <v>44501</v>
      </c>
      <c r="N58" s="2760">
        <f t="shared" si="16"/>
        <v>44470</v>
      </c>
      <c r="O58" s="2760">
        <f t="shared" si="16"/>
        <v>44440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8" t="s">
        <v>522</v>
      </c>
      <c r="D4" s="3429"/>
      <c r="E4" s="3452" t="s">
        <v>523</v>
      </c>
      <c r="F4" s="3453"/>
      <c r="G4" s="3428" t="s">
        <v>524</v>
      </c>
      <c r="H4" s="3429"/>
      <c r="I4" s="3428" t="s">
        <v>525</v>
      </c>
      <c r="J4" s="3429"/>
      <c r="K4" s="514" t="s">
        <v>526</v>
      </c>
      <c r="L4" s="2119"/>
      <c r="M4" s="2120"/>
      <c r="N4" s="2120"/>
      <c r="O4" s="2120"/>
      <c r="P4" s="3430" t="s">
        <v>527</v>
      </c>
      <c r="Q4" s="3431"/>
      <c r="R4" s="3416" t="s">
        <v>523</v>
      </c>
      <c r="S4" s="3417"/>
      <c r="T4" s="3416" t="s">
        <v>524</v>
      </c>
      <c r="U4" s="3417"/>
      <c r="V4" s="3436" t="s">
        <v>525</v>
      </c>
      <c r="W4" s="3436"/>
      <c r="X4" s="1554"/>
      <c r="Y4" s="3416" t="s">
        <v>527</v>
      </c>
      <c r="Z4" s="3417"/>
      <c r="AA4" s="3411" t="s">
        <v>523</v>
      </c>
      <c r="AB4" s="3436" t="s">
        <v>524</v>
      </c>
      <c r="AC4" s="3411" t="s">
        <v>525</v>
      </c>
    </row>
    <row r="5" spans="1:29" ht="15">
      <c r="A5" s="515"/>
      <c r="B5" s="516"/>
      <c r="C5" s="3439" t="s">
        <v>2931</v>
      </c>
      <c r="D5" s="3440"/>
      <c r="E5" s="3454" t="s">
        <v>2932</v>
      </c>
      <c r="F5" s="3455"/>
      <c r="G5" s="3439" t="s">
        <v>2933</v>
      </c>
      <c r="H5" s="3440"/>
      <c r="I5" s="3439" t="s">
        <v>2934</v>
      </c>
      <c r="J5" s="3440"/>
      <c r="K5" s="514"/>
      <c r="L5" s="2119"/>
      <c r="M5" s="2120"/>
      <c r="N5" s="2120"/>
      <c r="O5" s="2120"/>
      <c r="P5" s="3432"/>
      <c r="Q5" s="3433"/>
      <c r="R5" s="3418"/>
      <c r="S5" s="3419"/>
      <c r="T5" s="3418"/>
      <c r="U5" s="3419"/>
      <c r="V5" s="3436"/>
      <c r="W5" s="3436"/>
      <c r="X5" s="1554"/>
      <c r="Y5" s="3418"/>
      <c r="Z5" s="3419"/>
      <c r="AA5" s="3412"/>
      <c r="AB5" s="3436"/>
      <c r="AC5" s="3412"/>
    </row>
    <row r="6" spans="1:29" ht="15.75" thickBot="1">
      <c r="A6" s="517"/>
      <c r="B6" s="518"/>
      <c r="C6" s="3437" t="s">
        <v>2935</v>
      </c>
      <c r="D6" s="3438"/>
      <c r="E6" s="3456" t="s">
        <v>2935</v>
      </c>
      <c r="F6" s="3457"/>
      <c r="G6" s="3437" t="s">
        <v>2935</v>
      </c>
      <c r="H6" s="3438"/>
      <c r="I6" s="3437" t="s">
        <v>2935</v>
      </c>
      <c r="J6" s="3438"/>
      <c r="K6" s="514" t="s">
        <v>528</v>
      </c>
      <c r="L6" s="2119"/>
      <c r="M6" s="2120"/>
      <c r="N6" s="2120"/>
      <c r="O6" s="2120"/>
      <c r="P6" s="3434"/>
      <c r="Q6" s="3435"/>
      <c r="R6" s="3418"/>
      <c r="S6" s="3419"/>
      <c r="T6" s="3420"/>
      <c r="U6" s="3421"/>
      <c r="V6" s="3436"/>
      <c r="W6" s="3436"/>
      <c r="X6" s="1554"/>
      <c r="Y6" s="3420"/>
      <c r="Z6" s="3421"/>
      <c r="AA6" s="3413"/>
      <c r="AB6" s="3436"/>
      <c r="AC6" s="3413"/>
    </row>
    <row r="7" spans="1:29" s="1216" customFormat="1" ht="15.75" thickBot="1">
      <c r="A7" s="2868"/>
      <c r="B7" s="2875" t="s">
        <v>529</v>
      </c>
      <c r="C7" s="519">
        <f>'数据-取费表'!B2</f>
        <v>44827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4" t="s">
        <v>530</v>
      </c>
      <c r="Q7" s="3423"/>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22" t="s">
        <v>535</v>
      </c>
      <c r="Q9" s="1147" t="str">
        <f t="shared" ref="Q9:Q15" si="6">B9</f>
        <v>用途</v>
      </c>
      <c r="R9" s="1555" t="s">
        <v>8</v>
      </c>
      <c r="S9" s="1556">
        <f t="shared" si="0"/>
        <v>100</v>
      </c>
      <c r="T9" s="1555" t="s">
        <v>8</v>
      </c>
      <c r="U9" s="1556">
        <f t="shared" si="1"/>
        <v>100</v>
      </c>
      <c r="V9" s="1555" t="s">
        <v>8</v>
      </c>
      <c r="W9" s="1556">
        <f t="shared" si="2"/>
        <v>100</v>
      </c>
      <c r="X9" s="1557"/>
      <c r="Y9" s="337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22"/>
      <c r="Q10" s="1147" t="str">
        <f t="shared" si="6"/>
        <v>土地使用年限（年）</v>
      </c>
      <c r="R10" s="1555" t="s">
        <v>8</v>
      </c>
      <c r="S10" s="1556">
        <f t="shared" si="0"/>
        <v>100</v>
      </c>
      <c r="T10" s="1555" t="s">
        <v>8</v>
      </c>
      <c r="U10" s="1556">
        <f t="shared" si="1"/>
        <v>100</v>
      </c>
      <c r="V10" s="1555" t="s">
        <v>8</v>
      </c>
      <c r="W10" s="1556">
        <f t="shared" si="2"/>
        <v>100</v>
      </c>
      <c r="X10" s="1557"/>
      <c r="Y10" s="337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22"/>
      <c r="Q11" s="1147" t="str">
        <f t="shared" si="6"/>
        <v>容积率</v>
      </c>
      <c r="R11" s="1555" t="s">
        <v>8</v>
      </c>
      <c r="S11" s="1556" t="e">
        <f t="shared" si="0"/>
        <v>#N/A</v>
      </c>
      <c r="T11" s="1555" t="s">
        <v>8</v>
      </c>
      <c r="U11" s="1556" t="e">
        <f t="shared" si="1"/>
        <v>#N/A</v>
      </c>
      <c r="V11" s="1555" t="s">
        <v>8</v>
      </c>
      <c r="W11" s="1556" t="e">
        <f t="shared" si="2"/>
        <v>#N/A</v>
      </c>
      <c r="X11" s="1557"/>
      <c r="Y11" s="337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22"/>
      <c r="Q12" s="1147">
        <f t="shared" si="6"/>
        <v>111</v>
      </c>
      <c r="R12" s="1555" t="s">
        <v>8</v>
      </c>
      <c r="S12" s="1556">
        <f t="shared" si="0"/>
        <v>100</v>
      </c>
      <c r="T12" s="1555" t="s">
        <v>8</v>
      </c>
      <c r="U12" s="1556">
        <f t="shared" si="1"/>
        <v>100</v>
      </c>
      <c r="V12" s="1555" t="s">
        <v>8</v>
      </c>
      <c r="W12" s="1556">
        <f t="shared" si="2"/>
        <v>100</v>
      </c>
      <c r="X12" s="1557"/>
      <c r="Y12" s="337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22"/>
      <c r="Q13" s="1147">
        <f t="shared" si="6"/>
        <v>111</v>
      </c>
      <c r="R13" s="1555" t="s">
        <v>8</v>
      </c>
      <c r="S13" s="1556">
        <f t="shared" si="0"/>
        <v>100</v>
      </c>
      <c r="T13" s="1555" t="s">
        <v>8</v>
      </c>
      <c r="U13" s="1556">
        <f t="shared" si="1"/>
        <v>100</v>
      </c>
      <c r="V13" s="1555" t="s">
        <v>8</v>
      </c>
      <c r="W13" s="1556">
        <f t="shared" si="2"/>
        <v>100</v>
      </c>
      <c r="X13" s="1557"/>
      <c r="Y13" s="337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22"/>
      <c r="Q14" s="1147">
        <f t="shared" si="6"/>
        <v>111</v>
      </c>
      <c r="R14" s="1555" t="s">
        <v>8</v>
      </c>
      <c r="S14" s="1556">
        <f t="shared" si="0"/>
        <v>100</v>
      </c>
      <c r="T14" s="1555" t="s">
        <v>8</v>
      </c>
      <c r="U14" s="1556">
        <f t="shared" si="1"/>
        <v>100</v>
      </c>
      <c r="V14" s="1555" t="s">
        <v>8</v>
      </c>
      <c r="W14" s="1556">
        <f t="shared" si="2"/>
        <v>100</v>
      </c>
      <c r="X14" s="1557"/>
      <c r="Y14" s="3379"/>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4" t="s">
        <v>540</v>
      </c>
      <c r="Q15" s="1559" t="str">
        <f t="shared" si="6"/>
        <v>商业繁华度</v>
      </c>
      <c r="R15" s="1560" t="s">
        <v>8</v>
      </c>
      <c r="S15" s="1561">
        <f t="shared" si="0"/>
        <v>100</v>
      </c>
      <c r="T15" s="1560" t="s">
        <v>8</v>
      </c>
      <c r="U15" s="1561">
        <f t="shared" si="1"/>
        <v>100</v>
      </c>
      <c r="V15" s="1560" t="s">
        <v>8</v>
      </c>
      <c r="W15" s="1561">
        <f t="shared" si="2"/>
        <v>100</v>
      </c>
      <c r="X15" s="1554"/>
      <c r="Y15" s="342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5"/>
      <c r="Q16" s="1559"/>
      <c r="R16" s="1560"/>
      <c r="S16" s="1561"/>
      <c r="T16" s="1560"/>
      <c r="U16" s="1561"/>
      <c r="V16" s="1560"/>
      <c r="W16" s="1561"/>
      <c r="X16" s="1554"/>
      <c r="Y16" s="342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5"/>
      <c r="Q17" s="1559" t="str">
        <f>B17</f>
        <v>交通便捷度</v>
      </c>
      <c r="R17" s="1560" t="s">
        <v>8</v>
      </c>
      <c r="S17" s="1561">
        <f>F17</f>
        <v>100</v>
      </c>
      <c r="T17" s="1560" t="s">
        <v>8</v>
      </c>
      <c r="U17" s="1561">
        <f>H17</f>
        <v>100</v>
      </c>
      <c r="V17" s="1560" t="s">
        <v>8</v>
      </c>
      <c r="W17" s="1561">
        <f>J17</f>
        <v>100</v>
      </c>
      <c r="X17" s="1554"/>
      <c r="Y17" s="342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5"/>
      <c r="Q18" s="1559"/>
      <c r="R18" s="1560"/>
      <c r="S18" s="1561"/>
      <c r="T18" s="1560"/>
      <c r="U18" s="1561"/>
      <c r="V18" s="1560"/>
      <c r="W18" s="1561"/>
      <c r="X18" s="1554"/>
      <c r="Y18" s="342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5"/>
      <c r="Q19" s="1559" t="str">
        <f>B19</f>
        <v>公共配套设施</v>
      </c>
      <c r="R19" s="1560" t="s">
        <v>8</v>
      </c>
      <c r="S19" s="1561">
        <f>F19</f>
        <v>100</v>
      </c>
      <c r="T19" s="1560" t="s">
        <v>8</v>
      </c>
      <c r="U19" s="1561">
        <f>H19</f>
        <v>100</v>
      </c>
      <c r="V19" s="1560" t="s">
        <v>8</v>
      </c>
      <c r="W19" s="1561">
        <f>J19</f>
        <v>100</v>
      </c>
      <c r="X19" s="1554"/>
      <c r="Y19" s="342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5"/>
      <c r="Q20" s="1559"/>
      <c r="R20" s="1560"/>
      <c r="S20" s="1561"/>
      <c r="T20" s="1560"/>
      <c r="U20" s="1561"/>
      <c r="V20" s="1560"/>
      <c r="W20" s="1561"/>
      <c r="X20" s="1554"/>
      <c r="Y20" s="342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5"/>
      <c r="Q21" s="2544" t="str">
        <f>B21</f>
        <v>基础设施水平</v>
      </c>
      <c r="R21" s="1560" t="s">
        <v>8</v>
      </c>
      <c r="S21" s="1561">
        <f>F21</f>
        <v>100</v>
      </c>
      <c r="T21" s="1560" t="s">
        <v>8</v>
      </c>
      <c r="U21" s="1561">
        <f>H21</f>
        <v>100</v>
      </c>
      <c r="V21" s="1560" t="s">
        <v>8</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5"/>
      <c r="Q22" s="2544"/>
      <c r="R22" s="1560"/>
      <c r="S22" s="1561"/>
      <c r="T22" s="1560"/>
      <c r="U22" s="1561"/>
      <c r="V22" s="1560"/>
      <c r="W22" s="1561"/>
      <c r="X22" s="2546"/>
      <c r="Y22" s="342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5"/>
      <c r="Q23" s="1559" t="str">
        <f>B23</f>
        <v>自然及人文环境</v>
      </c>
      <c r="R23" s="1560" t="s">
        <v>8</v>
      </c>
      <c r="S23" s="1561">
        <f>F23</f>
        <v>100</v>
      </c>
      <c r="T23" s="1560" t="s">
        <v>8</v>
      </c>
      <c r="U23" s="1561">
        <f>H23</f>
        <v>100</v>
      </c>
      <c r="V23" s="1560" t="s">
        <v>8</v>
      </c>
      <c r="W23" s="1561">
        <f>J23</f>
        <v>100</v>
      </c>
      <c r="X23" s="1554"/>
      <c r="Y23" s="342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5"/>
      <c r="Q24" s="1559"/>
      <c r="R24" s="1560"/>
      <c r="S24" s="1561"/>
      <c r="T24" s="1560"/>
      <c r="U24" s="1561"/>
      <c r="V24" s="1560"/>
      <c r="W24" s="1561"/>
      <c r="X24" s="1554"/>
      <c r="Y24" s="342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5"/>
      <c r="Q25" s="1559" t="str">
        <f t="shared" ref="Q25:Q46" si="11">B25</f>
        <v>临街状况</v>
      </c>
      <c r="R25" s="1560" t="s">
        <v>8</v>
      </c>
      <c r="S25" s="1561">
        <f>F25</f>
        <v>100</v>
      </c>
      <c r="T25" s="1560" t="s">
        <v>8</v>
      </c>
      <c r="U25" s="1561">
        <f>H25</f>
        <v>100</v>
      </c>
      <c r="V25" s="1560" t="s">
        <v>8</v>
      </c>
      <c r="W25" s="1561">
        <f>J25</f>
        <v>100</v>
      </c>
      <c r="X25" s="1554"/>
      <c r="Y25" s="342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5"/>
      <c r="Q26" s="1559" t="str">
        <f t="shared" si="11"/>
        <v>平面位置/可视性</v>
      </c>
      <c r="R26" s="1560" t="s">
        <v>8</v>
      </c>
      <c r="S26" s="1561">
        <f>F26</f>
        <v>100</v>
      </c>
      <c r="T26" s="1560" t="s">
        <v>8</v>
      </c>
      <c r="U26" s="1561">
        <f>H26</f>
        <v>100</v>
      </c>
      <c r="V26" s="1560" t="s">
        <v>8</v>
      </c>
      <c r="W26" s="1561">
        <f>J26</f>
        <v>100</v>
      </c>
      <c r="X26" s="1554"/>
      <c r="Y26" s="342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5"/>
      <c r="Q27" s="1147" t="str">
        <f t="shared" si="11"/>
        <v>人流量</v>
      </c>
      <c r="R27" s="1555" t="s">
        <v>8</v>
      </c>
      <c r="S27" s="1556">
        <f>F27</f>
        <v>100</v>
      </c>
      <c r="T27" s="1555" t="s">
        <v>8</v>
      </c>
      <c r="U27" s="1556">
        <f>H27</f>
        <v>100</v>
      </c>
      <c r="V27" s="1555" t="s">
        <v>8</v>
      </c>
      <c r="W27" s="1556">
        <f>J27</f>
        <v>100</v>
      </c>
      <c r="X27" s="1557"/>
      <c r="Y27" s="342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5"/>
      <c r="Q29" s="1559">
        <f t="shared" si="11"/>
        <v>111</v>
      </c>
      <c r="R29" s="1560" t="s">
        <v>8</v>
      </c>
      <c r="S29" s="1561">
        <f t="shared" si="12"/>
        <v>100</v>
      </c>
      <c r="T29" s="1560" t="s">
        <v>8</v>
      </c>
      <c r="U29" s="1561">
        <f t="shared" si="13"/>
        <v>100</v>
      </c>
      <c r="V29" s="1560" t="s">
        <v>8</v>
      </c>
      <c r="W29" s="1561">
        <f t="shared" si="14"/>
        <v>100</v>
      </c>
      <c r="X29" s="1554"/>
      <c r="Y29" s="342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5"/>
      <c r="Q30" s="1559">
        <f t="shared" si="11"/>
        <v>111</v>
      </c>
      <c r="R30" s="1560" t="s">
        <v>8</v>
      </c>
      <c r="S30" s="1561">
        <f t="shared" si="12"/>
        <v>100</v>
      </c>
      <c r="T30" s="1560" t="s">
        <v>8</v>
      </c>
      <c r="U30" s="1561">
        <f t="shared" si="13"/>
        <v>100</v>
      </c>
      <c r="V30" s="1560" t="s">
        <v>8</v>
      </c>
      <c r="W30" s="1561">
        <f t="shared" si="14"/>
        <v>100</v>
      </c>
      <c r="X30" s="1554"/>
      <c r="Y30" s="342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5"/>
      <c r="Q31" s="1559">
        <f t="shared" si="11"/>
        <v>111</v>
      </c>
      <c r="R31" s="1560" t="s">
        <v>8</v>
      </c>
      <c r="S31" s="1561">
        <f t="shared" si="12"/>
        <v>100</v>
      </c>
      <c r="T31" s="1560" t="s">
        <v>8</v>
      </c>
      <c r="U31" s="1561">
        <f t="shared" si="13"/>
        <v>100</v>
      </c>
      <c r="V31" s="1560" t="s">
        <v>8</v>
      </c>
      <c r="W31" s="1561">
        <f t="shared" si="14"/>
        <v>100</v>
      </c>
      <c r="X31" s="1554"/>
      <c r="Y31" s="342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6" t="s">
        <v>550</v>
      </c>
      <c r="Q32" s="1559" t="str">
        <f t="shared" si="11"/>
        <v>商业类型</v>
      </c>
      <c r="R32" s="1560" t="s">
        <v>8</v>
      </c>
      <c r="S32" s="1561">
        <f t="shared" si="12"/>
        <v>100</v>
      </c>
      <c r="T32" s="1560" t="s">
        <v>8</v>
      </c>
      <c r="U32" s="1561">
        <f t="shared" si="13"/>
        <v>100</v>
      </c>
      <c r="V32" s="1560" t="s">
        <v>8</v>
      </c>
      <c r="W32" s="1561">
        <f t="shared" si="14"/>
        <v>100</v>
      </c>
      <c r="X32" s="1554"/>
      <c r="Y32" s="342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7"/>
      <c r="Q33" s="1591" t="str">
        <f t="shared" si="11"/>
        <v>项目建筑规模</v>
      </c>
      <c r="R33" s="1564" t="s">
        <v>8</v>
      </c>
      <c r="S33" s="1565" t="e">
        <f t="shared" si="12"/>
        <v>#N/A</v>
      </c>
      <c r="T33" s="1564" t="s">
        <v>8</v>
      </c>
      <c r="U33" s="1565" t="e">
        <f t="shared" si="13"/>
        <v>#N/A</v>
      </c>
      <c r="V33" s="1564" t="s">
        <v>8</v>
      </c>
      <c r="W33" s="1565" t="e">
        <f t="shared" si="14"/>
        <v>#N/A</v>
      </c>
      <c r="X33" s="1566"/>
      <c r="Y33" s="342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7"/>
      <c r="Q34" s="1559" t="str">
        <f t="shared" si="11"/>
        <v>建筑结构</v>
      </c>
      <c r="R34" s="1560" t="s">
        <v>8</v>
      </c>
      <c r="S34" s="1561">
        <f t="shared" si="12"/>
        <v>100</v>
      </c>
      <c r="T34" s="1560" t="s">
        <v>8</v>
      </c>
      <c r="U34" s="1561">
        <f t="shared" si="13"/>
        <v>100</v>
      </c>
      <c r="V34" s="1560" t="s">
        <v>8</v>
      </c>
      <c r="W34" s="1561">
        <f t="shared" si="14"/>
        <v>100</v>
      </c>
      <c r="X34" s="1554"/>
      <c r="Y34" s="342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7"/>
      <c r="Q35" s="1559" t="str">
        <f t="shared" si="11"/>
        <v>公共部分装修</v>
      </c>
      <c r="R35" s="1560" t="s">
        <v>8</v>
      </c>
      <c r="S35" s="1561">
        <f t="shared" si="12"/>
        <v>100</v>
      </c>
      <c r="T35" s="1560" t="s">
        <v>8</v>
      </c>
      <c r="U35" s="1561">
        <f t="shared" si="13"/>
        <v>100</v>
      </c>
      <c r="V35" s="1560" t="s">
        <v>8</v>
      </c>
      <c r="W35" s="1561">
        <f t="shared" si="14"/>
        <v>100</v>
      </c>
      <c r="X35" s="1554"/>
      <c r="Y35" s="342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7"/>
      <c r="Q36" s="1559" t="str">
        <f t="shared" si="11"/>
        <v>成新度</v>
      </c>
      <c r="R36" s="1560" t="s">
        <v>8</v>
      </c>
      <c r="S36" s="1561" t="e">
        <f t="shared" si="12"/>
        <v>#N/A</v>
      </c>
      <c r="T36" s="1560" t="s">
        <v>8</v>
      </c>
      <c r="U36" s="1561" t="e">
        <f t="shared" si="13"/>
        <v>#N/A</v>
      </c>
      <c r="V36" s="1560" t="s">
        <v>8</v>
      </c>
      <c r="W36" s="1561" t="e">
        <f t="shared" si="14"/>
        <v>#N/A</v>
      </c>
      <c r="X36" s="1554"/>
      <c r="Y36" s="342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7"/>
      <c r="Q37" s="1147" t="str">
        <f t="shared" si="11"/>
        <v>市政基础设施</v>
      </c>
      <c r="R37" s="1555" t="s">
        <v>8</v>
      </c>
      <c r="S37" s="1556">
        <f t="shared" si="12"/>
        <v>100</v>
      </c>
      <c r="T37" s="1555" t="s">
        <v>8</v>
      </c>
      <c r="U37" s="1556">
        <f t="shared" si="13"/>
        <v>100</v>
      </c>
      <c r="V37" s="1555" t="s">
        <v>8</v>
      </c>
      <c r="W37" s="1556">
        <f t="shared" si="14"/>
        <v>100</v>
      </c>
      <c r="X37" s="1557"/>
      <c r="Y37" s="342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7" t="s">
        <v>766</v>
      </c>
      <c r="Q38" s="1559" t="str">
        <f t="shared" si="11"/>
        <v>业态</v>
      </c>
      <c r="R38" s="1560" t="s">
        <v>8</v>
      </c>
      <c r="S38" s="1561">
        <f t="shared" si="12"/>
        <v>100</v>
      </c>
      <c r="T38" s="1560" t="s">
        <v>8</v>
      </c>
      <c r="U38" s="1561">
        <f t="shared" si="13"/>
        <v>100</v>
      </c>
      <c r="V38" s="1560" t="s">
        <v>8</v>
      </c>
      <c r="W38" s="1561">
        <f t="shared" si="14"/>
        <v>100</v>
      </c>
      <c r="X38" s="1554"/>
      <c r="Y38" s="342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7"/>
      <c r="Q39" s="1559" t="str">
        <f t="shared" si="11"/>
        <v>层高</v>
      </c>
      <c r="R39" s="1560" t="s">
        <v>8</v>
      </c>
      <c r="S39" s="1561">
        <f t="shared" si="12"/>
        <v>100</v>
      </c>
      <c r="T39" s="1560" t="s">
        <v>8</v>
      </c>
      <c r="U39" s="1561">
        <f t="shared" si="13"/>
        <v>100</v>
      </c>
      <c r="V39" s="1560" t="s">
        <v>8</v>
      </c>
      <c r="W39" s="1561">
        <f t="shared" si="14"/>
        <v>100</v>
      </c>
      <c r="X39" s="1554"/>
      <c r="Y39" s="342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7"/>
      <c r="Q40" s="1559" t="str">
        <f t="shared" si="11"/>
        <v>单套建筑面积</v>
      </c>
      <c r="R40" s="1560" t="s">
        <v>8</v>
      </c>
      <c r="S40" s="1561">
        <f t="shared" si="12"/>
        <v>100</v>
      </c>
      <c r="T40" s="1560" t="s">
        <v>8</v>
      </c>
      <c r="U40" s="1561">
        <f t="shared" si="13"/>
        <v>100</v>
      </c>
      <c r="V40" s="1560" t="s">
        <v>8</v>
      </c>
      <c r="W40" s="1561">
        <f t="shared" si="14"/>
        <v>100</v>
      </c>
      <c r="X40" s="1554"/>
      <c r="Y40" s="342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7"/>
      <c r="Q41" s="1591" t="str">
        <f t="shared" si="11"/>
        <v>进深比</v>
      </c>
      <c r="R41" s="1564" t="s">
        <v>8</v>
      </c>
      <c r="S41" s="1565">
        <f t="shared" si="12"/>
        <v>100</v>
      </c>
      <c r="T41" s="1564" t="s">
        <v>8</v>
      </c>
      <c r="U41" s="1565">
        <f t="shared" si="13"/>
        <v>100</v>
      </c>
      <c r="V41" s="1564" t="s">
        <v>8</v>
      </c>
      <c r="W41" s="1565">
        <f t="shared" si="14"/>
        <v>100</v>
      </c>
      <c r="X41" s="1566"/>
      <c r="Y41" s="342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7"/>
      <c r="Q42" s="1559" t="str">
        <f t="shared" si="11"/>
        <v>内部装修</v>
      </c>
      <c r="R42" s="1560" t="s">
        <v>8</v>
      </c>
      <c r="S42" s="1561">
        <f t="shared" si="12"/>
        <v>100</v>
      </c>
      <c r="T42" s="1560" t="s">
        <v>8</v>
      </c>
      <c r="U42" s="1561">
        <f t="shared" si="13"/>
        <v>100</v>
      </c>
      <c r="V42" s="1560" t="s">
        <v>8</v>
      </c>
      <c r="W42" s="1561">
        <f t="shared" si="14"/>
        <v>100</v>
      </c>
      <c r="X42" s="1554"/>
      <c r="Y42" s="342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7"/>
      <c r="Q43" s="1559" t="str">
        <f t="shared" si="11"/>
        <v>内部装修维护情况</v>
      </c>
      <c r="R43" s="1560" t="s">
        <v>8</v>
      </c>
      <c r="S43" s="1561">
        <f t="shared" si="12"/>
        <v>100</v>
      </c>
      <c r="T43" s="1560" t="s">
        <v>8</v>
      </c>
      <c r="U43" s="1561">
        <f t="shared" si="13"/>
        <v>100</v>
      </c>
      <c r="V43" s="1560" t="s">
        <v>8</v>
      </c>
      <c r="W43" s="1561">
        <f t="shared" si="14"/>
        <v>100</v>
      </c>
      <c r="X43" s="1554"/>
      <c r="Y43" s="342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7"/>
      <c r="Q44" s="1147">
        <f t="shared" si="11"/>
        <v>111</v>
      </c>
      <c r="R44" s="1555" t="s">
        <v>8</v>
      </c>
      <c r="S44" s="1556">
        <f t="shared" si="12"/>
        <v>100</v>
      </c>
      <c r="T44" s="1555" t="s">
        <v>8</v>
      </c>
      <c r="U44" s="1556">
        <f t="shared" si="13"/>
        <v>100</v>
      </c>
      <c r="V44" s="1555" t="s">
        <v>8</v>
      </c>
      <c r="W44" s="1556">
        <f t="shared" si="14"/>
        <v>100</v>
      </c>
      <c r="X44" s="1557"/>
      <c r="Y44" s="342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7"/>
      <c r="Q45" s="1559">
        <f t="shared" si="11"/>
        <v>111</v>
      </c>
      <c r="R45" s="1560" t="s">
        <v>8</v>
      </c>
      <c r="S45" s="1561">
        <f t="shared" si="12"/>
        <v>100</v>
      </c>
      <c r="T45" s="1560" t="s">
        <v>8</v>
      </c>
      <c r="U45" s="1561">
        <f t="shared" si="13"/>
        <v>100</v>
      </c>
      <c r="V45" s="1560" t="s">
        <v>8</v>
      </c>
      <c r="W45" s="1561">
        <f t="shared" si="14"/>
        <v>100</v>
      </c>
      <c r="X45" s="1554"/>
      <c r="Y45" s="342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7"/>
      <c r="Q46" s="1559">
        <f t="shared" si="11"/>
        <v>111</v>
      </c>
      <c r="R46" s="1560" t="s">
        <v>8</v>
      </c>
      <c r="S46" s="1561">
        <f t="shared" si="12"/>
        <v>100</v>
      </c>
      <c r="T46" s="1560" t="s">
        <v>8</v>
      </c>
      <c r="U46" s="1561">
        <f t="shared" si="13"/>
        <v>100</v>
      </c>
      <c r="V46" s="1560" t="s">
        <v>8</v>
      </c>
      <c r="W46" s="1561">
        <f t="shared" si="14"/>
        <v>100</v>
      </c>
      <c r="X46" s="1554"/>
      <c r="Y46" s="352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22" t="str">
        <f>A47</f>
        <v>成交单价（元/平方米）</v>
      </c>
      <c r="Q47" s="3422"/>
      <c r="R47" s="3526">
        <f>E47</f>
        <v>0</v>
      </c>
      <c r="S47" s="3526"/>
      <c r="T47" s="3526">
        <f>G47</f>
        <v>0</v>
      </c>
      <c r="U47" s="3526"/>
      <c r="V47" s="3526">
        <f>I47</f>
        <v>0</v>
      </c>
      <c r="W47" s="3526"/>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22" t="str">
        <f>A48</f>
        <v>比较价格（元/平方米）</v>
      </c>
      <c r="Q48" s="3422"/>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43" t="str">
        <f>A49</f>
        <v>估价对象XX用房的比较价格（楼面单价，元/平方米）</v>
      </c>
      <c r="Q49" s="3444"/>
      <c r="R49" s="3525" t="e">
        <f>IF(F1="售价",ROUND(AVERAGE(R48:V48),0),ROUND(AVERAGE(R48:V48),1))</f>
        <v>#DIV/0!</v>
      </c>
      <c r="S49" s="3525"/>
      <c r="T49" s="3525"/>
      <c r="U49" s="3525"/>
      <c r="V49" s="3525"/>
      <c r="W49" s="352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2022-9</v>
      </c>
      <c r="D58" s="2760">
        <f>EDATE(C58,-1)</f>
        <v>44774</v>
      </c>
      <c r="E58" s="2760">
        <f t="shared" ref="E58:O58" si="16">EDATE(D58,-1)</f>
        <v>44743</v>
      </c>
      <c r="F58" s="2760">
        <f t="shared" si="16"/>
        <v>44713</v>
      </c>
      <c r="G58" s="2760">
        <f t="shared" si="16"/>
        <v>44682</v>
      </c>
      <c r="H58" s="2760">
        <f t="shared" si="16"/>
        <v>44652</v>
      </c>
      <c r="I58" s="2760">
        <f t="shared" si="16"/>
        <v>44621</v>
      </c>
      <c r="J58" s="2760">
        <f t="shared" si="16"/>
        <v>44593</v>
      </c>
      <c r="K58" s="2760">
        <f t="shared" si="16"/>
        <v>44562</v>
      </c>
      <c r="L58" s="2760">
        <f t="shared" si="16"/>
        <v>44531</v>
      </c>
      <c r="M58" s="2760">
        <f t="shared" si="16"/>
        <v>44501</v>
      </c>
      <c r="N58" s="2760">
        <f t="shared" si="16"/>
        <v>44470</v>
      </c>
      <c r="O58" s="2760">
        <f t="shared" si="16"/>
        <v>44440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8" t="s">
        <v>522</v>
      </c>
      <c r="D4" s="3429"/>
      <c r="E4" s="3452" t="s">
        <v>523</v>
      </c>
      <c r="F4" s="3453"/>
      <c r="G4" s="3428" t="s">
        <v>524</v>
      </c>
      <c r="H4" s="3429"/>
      <c r="I4" s="3428" t="s">
        <v>525</v>
      </c>
      <c r="J4" s="3429"/>
      <c r="K4" s="514" t="s">
        <v>526</v>
      </c>
      <c r="L4" s="2119"/>
      <c r="M4" s="2120"/>
      <c r="N4" s="2120"/>
      <c r="O4" s="2120"/>
      <c r="P4" s="3528" t="s">
        <v>527</v>
      </c>
      <c r="Q4" s="3431"/>
      <c r="R4" s="3416" t="s">
        <v>523</v>
      </c>
      <c r="S4" s="3417"/>
      <c r="T4" s="3416" t="s">
        <v>524</v>
      </c>
      <c r="U4" s="3417"/>
      <c r="V4" s="3436" t="s">
        <v>525</v>
      </c>
      <c r="W4" s="3436"/>
      <c r="X4" s="1554"/>
      <c r="Y4" s="3416" t="s">
        <v>527</v>
      </c>
      <c r="Z4" s="3417"/>
      <c r="AA4" s="3411" t="s">
        <v>523</v>
      </c>
      <c r="AB4" s="3411" t="s">
        <v>524</v>
      </c>
      <c r="AC4" s="3411" t="s">
        <v>525</v>
      </c>
    </row>
    <row r="5" spans="1:29" ht="15">
      <c r="A5" s="515"/>
      <c r="B5" s="516"/>
      <c r="C5" s="3439" t="s">
        <v>2931</v>
      </c>
      <c r="D5" s="3440"/>
      <c r="E5" s="3454" t="s">
        <v>2932</v>
      </c>
      <c r="F5" s="3455"/>
      <c r="G5" s="3439" t="s">
        <v>2933</v>
      </c>
      <c r="H5" s="3440"/>
      <c r="I5" s="3439" t="s">
        <v>2934</v>
      </c>
      <c r="J5" s="3440"/>
      <c r="K5" s="514"/>
      <c r="L5" s="2119"/>
      <c r="M5" s="2120"/>
      <c r="N5" s="2120"/>
      <c r="O5" s="2120"/>
      <c r="P5" s="3529"/>
      <c r="Q5" s="3433"/>
      <c r="R5" s="3418"/>
      <c r="S5" s="3419"/>
      <c r="T5" s="3418"/>
      <c r="U5" s="3419"/>
      <c r="V5" s="3436"/>
      <c r="W5" s="3436"/>
      <c r="X5" s="1554"/>
      <c r="Y5" s="3418"/>
      <c r="Z5" s="3419"/>
      <c r="AA5" s="3412"/>
      <c r="AB5" s="3412"/>
      <c r="AC5" s="3412"/>
    </row>
    <row r="6" spans="1:29" ht="15.75" thickBot="1">
      <c r="A6" s="517"/>
      <c r="B6" s="518"/>
      <c r="C6" s="3437" t="s">
        <v>2935</v>
      </c>
      <c r="D6" s="3438"/>
      <c r="E6" s="3456" t="s">
        <v>2935</v>
      </c>
      <c r="F6" s="3457"/>
      <c r="G6" s="3437" t="s">
        <v>2935</v>
      </c>
      <c r="H6" s="3438"/>
      <c r="I6" s="3437" t="s">
        <v>2935</v>
      </c>
      <c r="J6" s="3438"/>
      <c r="K6" s="514" t="s">
        <v>528</v>
      </c>
      <c r="L6" s="2119"/>
      <c r="M6" s="2120"/>
      <c r="N6" s="2120"/>
      <c r="O6" s="2120"/>
      <c r="P6" s="3530"/>
      <c r="Q6" s="3435"/>
      <c r="R6" s="3418"/>
      <c r="S6" s="3419"/>
      <c r="T6" s="3420"/>
      <c r="U6" s="3421"/>
      <c r="V6" s="3436"/>
      <c r="W6" s="3436"/>
      <c r="X6" s="1554"/>
      <c r="Y6" s="3420"/>
      <c r="Z6" s="3421"/>
      <c r="AA6" s="3413"/>
      <c r="AB6" s="3413"/>
      <c r="AC6" s="3413"/>
    </row>
    <row r="7" spans="1:29" s="1216" customFormat="1" ht="15.75" thickBot="1">
      <c r="A7" s="2868"/>
      <c r="B7" s="2875" t="s">
        <v>529</v>
      </c>
      <c r="C7" s="519">
        <f>'数据-取费表'!B2</f>
        <v>44827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3" t="s">
        <v>530</v>
      </c>
      <c r="Q7" s="3423"/>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3" t="s">
        <v>533</v>
      </c>
      <c r="Q8" s="3415"/>
      <c r="R8" s="1555" t="s">
        <v>8</v>
      </c>
      <c r="S8" s="1556">
        <f t="shared" si="0"/>
        <v>0</v>
      </c>
      <c r="T8" s="1555" t="s">
        <v>8</v>
      </c>
      <c r="U8" s="1556">
        <f t="shared" si="1"/>
        <v>0</v>
      </c>
      <c r="V8" s="1555" t="s">
        <v>8</v>
      </c>
      <c r="W8" s="1556">
        <f t="shared" si="2"/>
        <v>0</v>
      </c>
      <c r="X8" s="1557"/>
      <c r="Y8" s="3414" t="s">
        <v>533</v>
      </c>
      <c r="Z8" s="3415"/>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22" t="s">
        <v>535</v>
      </c>
      <c r="Q9" s="1147" t="str">
        <f t="shared" ref="Q9:Q15" si="6">B9</f>
        <v>用途</v>
      </c>
      <c r="R9" s="1555" t="s">
        <v>8</v>
      </c>
      <c r="S9" s="1556">
        <f t="shared" si="0"/>
        <v>100</v>
      </c>
      <c r="T9" s="1555" t="s">
        <v>8</v>
      </c>
      <c r="U9" s="1556">
        <f t="shared" si="1"/>
        <v>100</v>
      </c>
      <c r="V9" s="1555" t="s">
        <v>8</v>
      </c>
      <c r="W9" s="1556">
        <f t="shared" si="2"/>
        <v>100</v>
      </c>
      <c r="X9" s="1557"/>
      <c r="Y9" s="337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22"/>
      <c r="Q10" s="1147" t="str">
        <f t="shared" si="6"/>
        <v>土地使用年限（年）</v>
      </c>
      <c r="R10" s="1555" t="s">
        <v>8</v>
      </c>
      <c r="S10" s="1556">
        <f t="shared" si="0"/>
        <v>100</v>
      </c>
      <c r="T10" s="1555" t="s">
        <v>8</v>
      </c>
      <c r="U10" s="1556">
        <f t="shared" si="1"/>
        <v>100</v>
      </c>
      <c r="V10" s="1555" t="s">
        <v>8</v>
      </c>
      <c r="W10" s="1556">
        <f t="shared" si="2"/>
        <v>100</v>
      </c>
      <c r="X10" s="1557"/>
      <c r="Y10" s="337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22"/>
      <c r="Q11" s="1147" t="str">
        <f t="shared" si="6"/>
        <v>容积率</v>
      </c>
      <c r="R11" s="1555" t="s">
        <v>8</v>
      </c>
      <c r="S11" s="1556" t="e">
        <f t="shared" si="0"/>
        <v>#N/A</v>
      </c>
      <c r="T11" s="1555" t="s">
        <v>8</v>
      </c>
      <c r="U11" s="1556" t="e">
        <f t="shared" si="1"/>
        <v>#N/A</v>
      </c>
      <c r="V11" s="1555" t="s">
        <v>8</v>
      </c>
      <c r="W11" s="1556" t="e">
        <f t="shared" si="2"/>
        <v>#N/A</v>
      </c>
      <c r="X11" s="1557"/>
      <c r="Y11" s="337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22"/>
      <c r="Q12" s="1147">
        <f t="shared" si="6"/>
        <v>111</v>
      </c>
      <c r="R12" s="1555" t="s">
        <v>8</v>
      </c>
      <c r="S12" s="1556">
        <f t="shared" si="0"/>
        <v>100</v>
      </c>
      <c r="T12" s="1555" t="s">
        <v>8</v>
      </c>
      <c r="U12" s="1556">
        <f t="shared" si="1"/>
        <v>100</v>
      </c>
      <c r="V12" s="1555" t="s">
        <v>8</v>
      </c>
      <c r="W12" s="1556">
        <f t="shared" si="2"/>
        <v>100</v>
      </c>
      <c r="X12" s="1557"/>
      <c r="Y12" s="337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22"/>
      <c r="Q13" s="1147">
        <f t="shared" si="6"/>
        <v>111</v>
      </c>
      <c r="R13" s="1555" t="s">
        <v>8</v>
      </c>
      <c r="S13" s="1556">
        <f t="shared" si="0"/>
        <v>100</v>
      </c>
      <c r="T13" s="1555" t="s">
        <v>8</v>
      </c>
      <c r="U13" s="1556">
        <f t="shared" si="1"/>
        <v>100</v>
      </c>
      <c r="V13" s="1555" t="s">
        <v>8</v>
      </c>
      <c r="W13" s="1556">
        <f t="shared" si="2"/>
        <v>100</v>
      </c>
      <c r="X13" s="1557"/>
      <c r="Y13" s="337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22"/>
      <c r="Q14" s="1147">
        <f t="shared" si="6"/>
        <v>111</v>
      </c>
      <c r="R14" s="1555" t="s">
        <v>8</v>
      </c>
      <c r="S14" s="1556">
        <f t="shared" si="0"/>
        <v>100</v>
      </c>
      <c r="T14" s="1555" t="s">
        <v>8</v>
      </c>
      <c r="U14" s="1556">
        <f t="shared" si="1"/>
        <v>100</v>
      </c>
      <c r="V14" s="1555" t="s">
        <v>8</v>
      </c>
      <c r="W14" s="1556">
        <f t="shared" si="2"/>
        <v>100</v>
      </c>
      <c r="X14" s="1557"/>
      <c r="Y14" s="3379"/>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4" t="s">
        <v>540</v>
      </c>
      <c r="Q15" s="1559" t="str">
        <f t="shared" si="6"/>
        <v>办公集聚程度</v>
      </c>
      <c r="R15" s="1560" t="s">
        <v>8</v>
      </c>
      <c r="S15" s="1561">
        <f t="shared" si="0"/>
        <v>100</v>
      </c>
      <c r="T15" s="1560" t="s">
        <v>8</v>
      </c>
      <c r="U15" s="1561">
        <f t="shared" si="1"/>
        <v>100</v>
      </c>
      <c r="V15" s="1560" t="s">
        <v>8</v>
      </c>
      <c r="W15" s="1561">
        <f t="shared" si="2"/>
        <v>100</v>
      </c>
      <c r="X15" s="1554"/>
      <c r="Y15" s="342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5"/>
      <c r="Q16" s="1559"/>
      <c r="R16" s="1560"/>
      <c r="S16" s="1561"/>
      <c r="T16" s="1560"/>
      <c r="U16" s="1561"/>
      <c r="V16" s="1560"/>
      <c r="W16" s="1561"/>
      <c r="X16" s="1554"/>
      <c r="Y16" s="342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5"/>
      <c r="Q17" s="1559" t="str">
        <f>B17</f>
        <v>交通便捷度</v>
      </c>
      <c r="R17" s="1560" t="s">
        <v>8</v>
      </c>
      <c r="S17" s="1561">
        <f>F17</f>
        <v>100</v>
      </c>
      <c r="T17" s="1560" t="s">
        <v>8</v>
      </c>
      <c r="U17" s="1561">
        <f>H17</f>
        <v>100</v>
      </c>
      <c r="V17" s="1560" t="s">
        <v>8</v>
      </c>
      <c r="W17" s="1561">
        <f>J17</f>
        <v>100</v>
      </c>
      <c r="X17" s="1554"/>
      <c r="Y17" s="342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5"/>
      <c r="Q18" s="1559"/>
      <c r="R18" s="1560"/>
      <c r="S18" s="1561"/>
      <c r="T18" s="1560"/>
      <c r="U18" s="1561"/>
      <c r="V18" s="1560"/>
      <c r="W18" s="1561"/>
      <c r="X18" s="1554"/>
      <c r="Y18" s="342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5"/>
      <c r="Q19" s="1559" t="str">
        <f>B19</f>
        <v>公共配套设施</v>
      </c>
      <c r="R19" s="1560" t="s">
        <v>8</v>
      </c>
      <c r="S19" s="1561">
        <f>F19</f>
        <v>100</v>
      </c>
      <c r="T19" s="1560" t="s">
        <v>8</v>
      </c>
      <c r="U19" s="1561">
        <f>H19</f>
        <v>100</v>
      </c>
      <c r="V19" s="1560" t="s">
        <v>8</v>
      </c>
      <c r="W19" s="1561">
        <f>J19</f>
        <v>100</v>
      </c>
      <c r="X19" s="1554"/>
      <c r="Y19" s="342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5"/>
      <c r="Q20" s="1559"/>
      <c r="R20" s="1560"/>
      <c r="S20" s="1561"/>
      <c r="T20" s="1560"/>
      <c r="U20" s="1561"/>
      <c r="V20" s="1560"/>
      <c r="W20" s="1561"/>
      <c r="X20" s="1554"/>
      <c r="Y20" s="342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5"/>
      <c r="Q21" s="2544" t="str">
        <f>B21</f>
        <v>基础设施水平</v>
      </c>
      <c r="R21" s="1560" t="s">
        <v>8</v>
      </c>
      <c r="S21" s="1561">
        <f>F21</f>
        <v>100</v>
      </c>
      <c r="T21" s="1560" t="s">
        <v>8</v>
      </c>
      <c r="U21" s="1561">
        <f>H21</f>
        <v>100</v>
      </c>
      <c r="V21" s="1560" t="s">
        <v>8</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5"/>
      <c r="Q22" s="2544"/>
      <c r="R22" s="1560"/>
      <c r="S22" s="1561"/>
      <c r="T22" s="1560"/>
      <c r="U22" s="1561"/>
      <c r="V22" s="1560"/>
      <c r="W22" s="1561"/>
      <c r="X22" s="2546"/>
      <c r="Y22" s="342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5"/>
      <c r="Q23" s="1559" t="str">
        <f>B23</f>
        <v>环境质量</v>
      </c>
      <c r="R23" s="1560" t="s">
        <v>8</v>
      </c>
      <c r="S23" s="1561">
        <f>F23</f>
        <v>100</v>
      </c>
      <c r="T23" s="1560" t="s">
        <v>8</v>
      </c>
      <c r="U23" s="1561">
        <f>H23</f>
        <v>100</v>
      </c>
      <c r="V23" s="1560" t="s">
        <v>8</v>
      </c>
      <c r="W23" s="1561">
        <f>J23</f>
        <v>100</v>
      </c>
      <c r="X23" s="1554"/>
      <c r="Y23" s="342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5"/>
      <c r="Q24" s="1559"/>
      <c r="R24" s="1560"/>
      <c r="S24" s="1561"/>
      <c r="T24" s="1560"/>
      <c r="U24" s="1561"/>
      <c r="V24" s="1560"/>
      <c r="W24" s="1561"/>
      <c r="X24" s="1554"/>
      <c r="Y24" s="342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5"/>
      <c r="Q25" s="1559" t="str">
        <f>B25</f>
        <v>毗邻道路的类型与等级</v>
      </c>
      <c r="R25" s="1560" t="s">
        <v>8</v>
      </c>
      <c r="S25" s="1561">
        <f>F25</f>
        <v>100</v>
      </c>
      <c r="T25" s="1560" t="s">
        <v>8</v>
      </c>
      <c r="U25" s="1561">
        <f>H25</f>
        <v>100</v>
      </c>
      <c r="V25" s="1560" t="s">
        <v>8</v>
      </c>
      <c r="W25" s="1561">
        <f>J25</f>
        <v>100</v>
      </c>
      <c r="X25" s="1554"/>
      <c r="Y25" s="342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5"/>
      <c r="Q26" s="1559"/>
      <c r="R26" s="1560"/>
      <c r="S26" s="1561"/>
      <c r="T26" s="1560"/>
      <c r="U26" s="1561"/>
      <c r="V26" s="1560"/>
      <c r="W26" s="1561"/>
      <c r="X26" s="1554"/>
      <c r="Y26" s="342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5"/>
      <c r="Q27" s="1559" t="str">
        <f t="shared" ref="Q27:Q47" si="11">B27</f>
        <v>楼层</v>
      </c>
      <c r="R27" s="1560" t="s">
        <v>8</v>
      </c>
      <c r="S27" s="1561">
        <f>F27</f>
        <v>100</v>
      </c>
      <c r="T27" s="1560" t="s">
        <v>8</v>
      </c>
      <c r="U27" s="1561">
        <f>H27</f>
        <v>100</v>
      </c>
      <c r="V27" s="1560" t="s">
        <v>8</v>
      </c>
      <c r="W27" s="1561">
        <f>J27</f>
        <v>100</v>
      </c>
      <c r="X27" s="1554"/>
      <c r="Y27" s="342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5"/>
      <c r="Q28" s="1147" t="str">
        <f t="shared" si="11"/>
        <v>朝向</v>
      </c>
      <c r="R28" s="1555" t="s">
        <v>8</v>
      </c>
      <c r="S28" s="1556">
        <f>F28</f>
        <v>100</v>
      </c>
      <c r="T28" s="1555" t="s">
        <v>8</v>
      </c>
      <c r="U28" s="1556">
        <f>H28</f>
        <v>100</v>
      </c>
      <c r="V28" s="1555" t="s">
        <v>8</v>
      </c>
      <c r="W28" s="1556">
        <f>J28</f>
        <v>100</v>
      </c>
      <c r="X28" s="1557"/>
      <c r="Y28" s="342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5"/>
      <c r="Q29" s="1559">
        <f t="shared" si="11"/>
        <v>111</v>
      </c>
      <c r="R29" s="1560" t="s">
        <v>8</v>
      </c>
      <c r="S29" s="1561">
        <f t="shared" ref="S29:S47" si="12">F29</f>
        <v>100</v>
      </c>
      <c r="T29" s="1560" t="s">
        <v>8</v>
      </c>
      <c r="U29" s="1561">
        <f t="shared" ref="U29:U47" si="13">H29</f>
        <v>100</v>
      </c>
      <c r="V29" s="1560" t="s">
        <v>8</v>
      </c>
      <c r="W29" s="1561">
        <f t="shared" ref="W29:W47" si="14">J29</f>
        <v>100</v>
      </c>
      <c r="X29" s="1554"/>
      <c r="Y29" s="342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5"/>
      <c r="Q30" s="1559">
        <f t="shared" si="11"/>
        <v>111</v>
      </c>
      <c r="R30" s="1560" t="s">
        <v>8</v>
      </c>
      <c r="S30" s="1561">
        <f t="shared" si="12"/>
        <v>100</v>
      </c>
      <c r="T30" s="1560" t="s">
        <v>8</v>
      </c>
      <c r="U30" s="1561">
        <f t="shared" si="13"/>
        <v>100</v>
      </c>
      <c r="V30" s="1560" t="s">
        <v>8</v>
      </c>
      <c r="W30" s="1561">
        <f t="shared" si="14"/>
        <v>100</v>
      </c>
      <c r="X30" s="1554"/>
      <c r="Y30" s="342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5"/>
      <c r="Q31" s="1559">
        <f t="shared" si="11"/>
        <v>111</v>
      </c>
      <c r="R31" s="1560" t="s">
        <v>8</v>
      </c>
      <c r="S31" s="1561">
        <f t="shared" si="12"/>
        <v>100</v>
      </c>
      <c r="T31" s="1560" t="s">
        <v>8</v>
      </c>
      <c r="U31" s="1561">
        <f t="shared" si="13"/>
        <v>100</v>
      </c>
      <c r="V31" s="1560" t="s">
        <v>8</v>
      </c>
      <c r="W31" s="1561">
        <f t="shared" si="14"/>
        <v>100</v>
      </c>
      <c r="X31" s="1554"/>
      <c r="Y31" s="342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5"/>
      <c r="Q32" s="1559">
        <f t="shared" si="11"/>
        <v>111</v>
      </c>
      <c r="R32" s="1560" t="s">
        <v>8</v>
      </c>
      <c r="S32" s="1561">
        <f t="shared" si="12"/>
        <v>100</v>
      </c>
      <c r="T32" s="1560" t="s">
        <v>8</v>
      </c>
      <c r="U32" s="1561">
        <f t="shared" si="13"/>
        <v>100</v>
      </c>
      <c r="V32" s="1560" t="s">
        <v>8</v>
      </c>
      <c r="W32" s="1561">
        <f t="shared" si="14"/>
        <v>100</v>
      </c>
      <c r="X32" s="1554"/>
      <c r="Y32" s="342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6" t="s">
        <v>550</v>
      </c>
      <c r="Q33" s="1559" t="str">
        <f t="shared" si="11"/>
        <v>建筑类型</v>
      </c>
      <c r="R33" s="1560" t="s">
        <v>8</v>
      </c>
      <c r="S33" s="1561">
        <f t="shared" si="12"/>
        <v>100</v>
      </c>
      <c r="T33" s="1560" t="s">
        <v>8</v>
      </c>
      <c r="U33" s="1561">
        <f t="shared" si="13"/>
        <v>100</v>
      </c>
      <c r="V33" s="1560" t="s">
        <v>8</v>
      </c>
      <c r="W33" s="1561">
        <f t="shared" si="14"/>
        <v>100</v>
      </c>
      <c r="X33" s="1554"/>
      <c r="Y33" s="342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7"/>
      <c r="Q34" s="1591" t="str">
        <f t="shared" si="11"/>
        <v>项目建筑规模</v>
      </c>
      <c r="R34" s="1564" t="s">
        <v>8</v>
      </c>
      <c r="S34" s="1565" t="e">
        <f t="shared" si="12"/>
        <v>#N/A</v>
      </c>
      <c r="T34" s="1564" t="s">
        <v>8</v>
      </c>
      <c r="U34" s="1565" t="e">
        <f t="shared" si="13"/>
        <v>#N/A</v>
      </c>
      <c r="V34" s="1564" t="s">
        <v>8</v>
      </c>
      <c r="W34" s="1565" t="e">
        <f t="shared" si="14"/>
        <v>#N/A</v>
      </c>
      <c r="X34" s="1566"/>
      <c r="Y34" s="342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7"/>
      <c r="Q35" s="1559" t="str">
        <f t="shared" si="11"/>
        <v>建筑结构</v>
      </c>
      <c r="R35" s="1560" t="s">
        <v>8</v>
      </c>
      <c r="S35" s="1561">
        <f t="shared" si="12"/>
        <v>100</v>
      </c>
      <c r="T35" s="1560" t="s">
        <v>8</v>
      </c>
      <c r="U35" s="1561">
        <f t="shared" si="13"/>
        <v>100</v>
      </c>
      <c r="V35" s="1560" t="s">
        <v>8</v>
      </c>
      <c r="W35" s="1561">
        <f t="shared" si="14"/>
        <v>100</v>
      </c>
      <c r="X35" s="1554"/>
      <c r="Y35" s="342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7"/>
      <c r="Q36" s="1559" t="str">
        <f t="shared" si="11"/>
        <v>公共部分装修</v>
      </c>
      <c r="R36" s="1560" t="s">
        <v>8</v>
      </c>
      <c r="S36" s="1561">
        <f t="shared" si="12"/>
        <v>100</v>
      </c>
      <c r="T36" s="1560" t="s">
        <v>8</v>
      </c>
      <c r="U36" s="1561">
        <f t="shared" si="13"/>
        <v>100</v>
      </c>
      <c r="V36" s="1560" t="s">
        <v>8</v>
      </c>
      <c r="W36" s="1561">
        <f t="shared" si="14"/>
        <v>100</v>
      </c>
      <c r="X36" s="1554"/>
      <c r="Y36" s="342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7"/>
      <c r="Q37" s="1559" t="str">
        <f t="shared" si="11"/>
        <v>成新度</v>
      </c>
      <c r="R37" s="1560" t="s">
        <v>8</v>
      </c>
      <c r="S37" s="1561" t="e">
        <f t="shared" si="12"/>
        <v>#N/A</v>
      </c>
      <c r="T37" s="1560" t="s">
        <v>8</v>
      </c>
      <c r="U37" s="1561" t="e">
        <f t="shared" si="13"/>
        <v>#N/A</v>
      </c>
      <c r="V37" s="1560" t="s">
        <v>8</v>
      </c>
      <c r="W37" s="1561" t="e">
        <f t="shared" si="14"/>
        <v>#N/A</v>
      </c>
      <c r="X37" s="1554"/>
      <c r="Y37" s="342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7"/>
      <c r="Q38" s="1147" t="str">
        <f t="shared" si="11"/>
        <v>写字楼等级</v>
      </c>
      <c r="R38" s="1555" t="s">
        <v>8</v>
      </c>
      <c r="S38" s="1556">
        <f t="shared" si="12"/>
        <v>100</v>
      </c>
      <c r="T38" s="1555" t="s">
        <v>8</v>
      </c>
      <c r="U38" s="1556">
        <f t="shared" si="13"/>
        <v>100</v>
      </c>
      <c r="V38" s="1555" t="s">
        <v>8</v>
      </c>
      <c r="W38" s="1556">
        <f t="shared" si="14"/>
        <v>100</v>
      </c>
      <c r="X38" s="1557"/>
      <c r="Y38" s="342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7" t="s">
        <v>550</v>
      </c>
      <c r="Q39" s="1559" t="str">
        <f t="shared" si="11"/>
        <v>物业管理</v>
      </c>
      <c r="R39" s="1560" t="s">
        <v>8</v>
      </c>
      <c r="S39" s="1561">
        <f t="shared" si="12"/>
        <v>100</v>
      </c>
      <c r="T39" s="1560" t="s">
        <v>8</v>
      </c>
      <c r="U39" s="1561">
        <f t="shared" si="13"/>
        <v>100</v>
      </c>
      <c r="V39" s="1560" t="s">
        <v>8</v>
      </c>
      <c r="W39" s="1561">
        <f t="shared" si="14"/>
        <v>100</v>
      </c>
      <c r="X39" s="1554"/>
      <c r="Y39" s="342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7"/>
      <c r="Q40" s="1559" t="str">
        <f t="shared" si="11"/>
        <v>市政基础设施</v>
      </c>
      <c r="R40" s="1560" t="s">
        <v>8</v>
      </c>
      <c r="S40" s="1561">
        <f t="shared" si="12"/>
        <v>100</v>
      </c>
      <c r="T40" s="1560" t="s">
        <v>8</v>
      </c>
      <c r="U40" s="1561">
        <f t="shared" si="13"/>
        <v>100</v>
      </c>
      <c r="V40" s="1560" t="s">
        <v>8</v>
      </c>
      <c r="W40" s="1561">
        <f t="shared" si="14"/>
        <v>100</v>
      </c>
      <c r="X40" s="1554"/>
      <c r="Y40" s="342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7"/>
      <c r="Q41" s="1559" t="str">
        <f t="shared" si="11"/>
        <v>层高</v>
      </c>
      <c r="R41" s="1560" t="s">
        <v>8</v>
      </c>
      <c r="S41" s="1561">
        <f t="shared" si="12"/>
        <v>100</v>
      </c>
      <c r="T41" s="1560" t="s">
        <v>8</v>
      </c>
      <c r="U41" s="1561">
        <f t="shared" si="13"/>
        <v>100</v>
      </c>
      <c r="V41" s="1560" t="s">
        <v>8</v>
      </c>
      <c r="W41" s="1561">
        <f t="shared" si="14"/>
        <v>100</v>
      </c>
      <c r="X41" s="1554"/>
      <c r="Y41" s="342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7"/>
      <c r="Q42" s="1591" t="str">
        <f t="shared" si="11"/>
        <v>单套建筑面积</v>
      </c>
      <c r="R42" s="1564" t="s">
        <v>8</v>
      </c>
      <c r="S42" s="1565">
        <f t="shared" si="12"/>
        <v>100</v>
      </c>
      <c r="T42" s="1564" t="s">
        <v>8</v>
      </c>
      <c r="U42" s="1565">
        <f t="shared" si="13"/>
        <v>100</v>
      </c>
      <c r="V42" s="1564" t="s">
        <v>8</v>
      </c>
      <c r="W42" s="1565">
        <f t="shared" si="14"/>
        <v>100</v>
      </c>
      <c r="X42" s="1566"/>
      <c r="Y42" s="342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7"/>
      <c r="Q43" s="1559" t="str">
        <f t="shared" si="11"/>
        <v>内部装修</v>
      </c>
      <c r="R43" s="1560" t="s">
        <v>8</v>
      </c>
      <c r="S43" s="1561">
        <f t="shared" si="12"/>
        <v>100</v>
      </c>
      <c r="T43" s="1560" t="s">
        <v>8</v>
      </c>
      <c r="U43" s="1561">
        <f t="shared" si="13"/>
        <v>100</v>
      </c>
      <c r="V43" s="1560" t="s">
        <v>8</v>
      </c>
      <c r="W43" s="1561">
        <f t="shared" si="14"/>
        <v>100</v>
      </c>
      <c r="X43" s="1554"/>
      <c r="Y43" s="342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7"/>
      <c r="Q44" s="1559" t="str">
        <f t="shared" si="11"/>
        <v>内部装修维护情况</v>
      </c>
      <c r="R44" s="1560" t="s">
        <v>8</v>
      </c>
      <c r="S44" s="1561">
        <f t="shared" si="12"/>
        <v>100</v>
      </c>
      <c r="T44" s="1560" t="s">
        <v>8</v>
      </c>
      <c r="U44" s="1561">
        <f t="shared" si="13"/>
        <v>100</v>
      </c>
      <c r="V44" s="1560" t="s">
        <v>8</v>
      </c>
      <c r="W44" s="1561">
        <f t="shared" si="14"/>
        <v>100</v>
      </c>
      <c r="X44" s="1554"/>
      <c r="Y44" s="342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7"/>
      <c r="Q45" s="1147">
        <f t="shared" si="11"/>
        <v>111</v>
      </c>
      <c r="R45" s="1555" t="s">
        <v>8</v>
      </c>
      <c r="S45" s="1556">
        <f t="shared" si="12"/>
        <v>100</v>
      </c>
      <c r="T45" s="1555" t="s">
        <v>8</v>
      </c>
      <c r="U45" s="1556">
        <f t="shared" si="13"/>
        <v>100</v>
      </c>
      <c r="V45" s="1555" t="s">
        <v>8</v>
      </c>
      <c r="W45" s="1556">
        <f t="shared" si="14"/>
        <v>100</v>
      </c>
      <c r="X45" s="1557"/>
      <c r="Y45" s="342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7"/>
      <c r="Q46" s="1559">
        <f t="shared" si="11"/>
        <v>111</v>
      </c>
      <c r="R46" s="1560" t="s">
        <v>8</v>
      </c>
      <c r="S46" s="1561">
        <f t="shared" si="12"/>
        <v>100</v>
      </c>
      <c r="T46" s="1560" t="s">
        <v>8</v>
      </c>
      <c r="U46" s="1561">
        <f t="shared" si="13"/>
        <v>100</v>
      </c>
      <c r="V46" s="1560" t="s">
        <v>8</v>
      </c>
      <c r="W46" s="1561">
        <f t="shared" si="14"/>
        <v>100</v>
      </c>
      <c r="X46" s="1554"/>
      <c r="Y46" s="342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7"/>
      <c r="Q47" s="1559">
        <f t="shared" si="11"/>
        <v>111</v>
      </c>
      <c r="R47" s="1560" t="s">
        <v>8</v>
      </c>
      <c r="S47" s="1561">
        <f t="shared" si="12"/>
        <v>100</v>
      </c>
      <c r="T47" s="1560" t="s">
        <v>8</v>
      </c>
      <c r="U47" s="1561">
        <f t="shared" si="13"/>
        <v>100</v>
      </c>
      <c r="V47" s="1560" t="s">
        <v>8</v>
      </c>
      <c r="W47" s="1561">
        <f t="shared" si="14"/>
        <v>100</v>
      </c>
      <c r="X47" s="1554"/>
      <c r="Y47" s="352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44" t="str">
        <f>A48</f>
        <v>成交单价（元/平方米）</v>
      </c>
      <c r="Q48" s="3422"/>
      <c r="R48" s="3526">
        <f>E48</f>
        <v>0</v>
      </c>
      <c r="S48" s="3526"/>
      <c r="T48" s="3526">
        <f>G48</f>
        <v>0</v>
      </c>
      <c r="U48" s="3526"/>
      <c r="V48" s="3526">
        <f>I48</f>
        <v>0</v>
      </c>
      <c r="W48" s="3526"/>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44" t="str">
        <f>A49</f>
        <v>比较价格（元/平方米）</v>
      </c>
      <c r="Q49" s="3422"/>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31" t="str">
        <f>A50</f>
        <v>估价对象XX用房的比较价格（楼面单价，元/平方米）</v>
      </c>
      <c r="Q50" s="3444"/>
      <c r="R50" s="3525" t="e">
        <f>IF(F1="售价",ROUND(AVERAGE(R49:V49),0),ROUND(AVERAGE(R49:V49),1))</f>
        <v>#DIV/0!</v>
      </c>
      <c r="S50" s="3525"/>
      <c r="T50" s="3525"/>
      <c r="U50" s="3525"/>
      <c r="V50" s="3525"/>
      <c r="W50" s="352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2022-9</v>
      </c>
      <c r="D59" s="2760">
        <f>EDATE(C59,-1)</f>
        <v>44774</v>
      </c>
      <c r="E59" s="2760">
        <f t="shared" ref="E59:O59" si="16">EDATE(D59,-1)</f>
        <v>44743</v>
      </c>
      <c r="F59" s="2760">
        <f t="shared" si="16"/>
        <v>44713</v>
      </c>
      <c r="G59" s="2760">
        <f t="shared" si="16"/>
        <v>44682</v>
      </c>
      <c r="H59" s="2760">
        <f t="shared" si="16"/>
        <v>44652</v>
      </c>
      <c r="I59" s="2760">
        <f t="shared" si="16"/>
        <v>44621</v>
      </c>
      <c r="J59" s="2760">
        <f t="shared" si="16"/>
        <v>44593</v>
      </c>
      <c r="K59" s="2760">
        <f t="shared" si="16"/>
        <v>44562</v>
      </c>
      <c r="L59" s="2760">
        <f t="shared" si="16"/>
        <v>44531</v>
      </c>
      <c r="M59" s="2760">
        <f t="shared" si="16"/>
        <v>44501</v>
      </c>
      <c r="N59" s="2760">
        <f t="shared" si="16"/>
        <v>44470</v>
      </c>
      <c r="O59" s="2760">
        <f t="shared" si="16"/>
        <v>44440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8" t="s">
        <v>522</v>
      </c>
      <c r="D4" s="3429"/>
      <c r="E4" s="3452" t="s">
        <v>523</v>
      </c>
      <c r="F4" s="3453"/>
      <c r="G4" s="3428" t="s">
        <v>524</v>
      </c>
      <c r="H4" s="3429"/>
      <c r="I4" s="3428" t="s">
        <v>525</v>
      </c>
      <c r="J4" s="3429"/>
      <c r="K4" s="514" t="s">
        <v>526</v>
      </c>
      <c r="L4" s="2119"/>
      <c r="M4" s="2120"/>
      <c r="N4" s="2120"/>
      <c r="O4" s="2120"/>
      <c r="P4" s="3430" t="s">
        <v>527</v>
      </c>
      <c r="Q4" s="3431"/>
      <c r="R4" s="3416" t="s">
        <v>523</v>
      </c>
      <c r="S4" s="3417"/>
      <c r="T4" s="3416" t="s">
        <v>524</v>
      </c>
      <c r="U4" s="3417"/>
      <c r="V4" s="3436" t="s">
        <v>525</v>
      </c>
      <c r="W4" s="3436"/>
      <c r="X4" s="1554"/>
      <c r="Y4" s="3416" t="s">
        <v>527</v>
      </c>
      <c r="Z4" s="3417"/>
      <c r="AA4" s="3411" t="s">
        <v>523</v>
      </c>
      <c r="AB4" s="3412" t="s">
        <v>524</v>
      </c>
      <c r="AC4" s="3411" t="s">
        <v>525</v>
      </c>
    </row>
    <row r="5" spans="1:29" ht="15">
      <c r="A5" s="515"/>
      <c r="B5" s="516"/>
      <c r="C5" s="3439" t="s">
        <v>2931</v>
      </c>
      <c r="D5" s="3440"/>
      <c r="E5" s="3454" t="s">
        <v>2932</v>
      </c>
      <c r="F5" s="3455"/>
      <c r="G5" s="3439" t="s">
        <v>2933</v>
      </c>
      <c r="H5" s="3440"/>
      <c r="I5" s="3439" t="s">
        <v>2934</v>
      </c>
      <c r="J5" s="3440"/>
      <c r="K5" s="514"/>
      <c r="L5" s="2119"/>
      <c r="M5" s="2120"/>
      <c r="N5" s="2120"/>
      <c r="O5" s="2120"/>
      <c r="P5" s="3432"/>
      <c r="Q5" s="3433"/>
      <c r="R5" s="3418"/>
      <c r="S5" s="3419"/>
      <c r="T5" s="3418"/>
      <c r="U5" s="3419"/>
      <c r="V5" s="3436"/>
      <c r="W5" s="3436"/>
      <c r="X5" s="1554"/>
      <c r="Y5" s="3418"/>
      <c r="Z5" s="3419"/>
      <c r="AA5" s="3412"/>
      <c r="AB5" s="3412"/>
      <c r="AC5" s="3412"/>
    </row>
    <row r="6" spans="1:29" ht="15.75" thickBot="1">
      <c r="A6" s="517"/>
      <c r="B6" s="518"/>
      <c r="C6" s="3437" t="s">
        <v>2935</v>
      </c>
      <c r="D6" s="3438"/>
      <c r="E6" s="3456" t="s">
        <v>2935</v>
      </c>
      <c r="F6" s="3457"/>
      <c r="G6" s="3437" t="s">
        <v>2935</v>
      </c>
      <c r="H6" s="3438"/>
      <c r="I6" s="3437" t="s">
        <v>2935</v>
      </c>
      <c r="J6" s="3438"/>
      <c r="K6" s="514" t="s">
        <v>528</v>
      </c>
      <c r="L6" s="2119"/>
      <c r="M6" s="2120"/>
      <c r="N6" s="2120"/>
      <c r="O6" s="2120"/>
      <c r="P6" s="3434"/>
      <c r="Q6" s="3435"/>
      <c r="R6" s="3418"/>
      <c r="S6" s="3419"/>
      <c r="T6" s="3420"/>
      <c r="U6" s="3421"/>
      <c r="V6" s="3436"/>
      <c r="W6" s="3436"/>
      <c r="X6" s="1554"/>
      <c r="Y6" s="3420"/>
      <c r="Z6" s="3421"/>
      <c r="AA6" s="3413"/>
      <c r="AB6" s="3413"/>
      <c r="AC6" s="3413"/>
    </row>
    <row r="7" spans="1:29" s="1216" customFormat="1" ht="15.75" thickBot="1">
      <c r="A7" s="2868"/>
      <c r="B7" s="2875" t="s">
        <v>529</v>
      </c>
      <c r="C7" s="519">
        <f>'数据-取费表'!B2</f>
        <v>44827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4" t="s">
        <v>530</v>
      </c>
      <c r="Q7" s="3423"/>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22" t="s">
        <v>535</v>
      </c>
      <c r="Q9" s="1147" t="str">
        <f t="shared" ref="Q9:Q15" si="6">B9</f>
        <v>用途</v>
      </c>
      <c r="R9" s="1555" t="s">
        <v>8</v>
      </c>
      <c r="S9" s="1556">
        <f t="shared" si="0"/>
        <v>100</v>
      </c>
      <c r="T9" s="1555" t="s">
        <v>8</v>
      </c>
      <c r="U9" s="1556">
        <f t="shared" si="1"/>
        <v>100</v>
      </c>
      <c r="V9" s="1555" t="s">
        <v>8</v>
      </c>
      <c r="W9" s="1556">
        <f t="shared" si="2"/>
        <v>100</v>
      </c>
      <c r="X9" s="1557"/>
      <c r="Y9" s="337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22"/>
      <c r="Q10" s="1147" t="str">
        <f t="shared" si="6"/>
        <v>土地使用年限（年）</v>
      </c>
      <c r="R10" s="1555" t="s">
        <v>8</v>
      </c>
      <c r="S10" s="1556">
        <f t="shared" si="0"/>
        <v>100</v>
      </c>
      <c r="T10" s="1555" t="s">
        <v>8</v>
      </c>
      <c r="U10" s="1556">
        <f t="shared" si="1"/>
        <v>100</v>
      </c>
      <c r="V10" s="1555" t="s">
        <v>8</v>
      </c>
      <c r="W10" s="1556">
        <f t="shared" si="2"/>
        <v>100</v>
      </c>
      <c r="X10" s="1557"/>
      <c r="Y10" s="337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22"/>
      <c r="Q11" s="1147" t="str">
        <f t="shared" si="6"/>
        <v>容积率</v>
      </c>
      <c r="R11" s="1555" t="s">
        <v>8</v>
      </c>
      <c r="S11" s="1556" t="e">
        <f t="shared" si="0"/>
        <v>#N/A</v>
      </c>
      <c r="T11" s="1555" t="s">
        <v>8</v>
      </c>
      <c r="U11" s="1556" t="e">
        <f t="shared" si="1"/>
        <v>#N/A</v>
      </c>
      <c r="V11" s="1555" t="s">
        <v>8</v>
      </c>
      <c r="W11" s="1556" t="e">
        <f t="shared" si="2"/>
        <v>#N/A</v>
      </c>
      <c r="X11" s="1557"/>
      <c r="Y11" s="337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22"/>
      <c r="Q12" s="1147">
        <f t="shared" si="6"/>
        <v>111</v>
      </c>
      <c r="R12" s="1555" t="s">
        <v>8</v>
      </c>
      <c r="S12" s="1556">
        <f t="shared" si="0"/>
        <v>100</v>
      </c>
      <c r="T12" s="1555" t="s">
        <v>8</v>
      </c>
      <c r="U12" s="1556">
        <f t="shared" si="1"/>
        <v>100</v>
      </c>
      <c r="V12" s="1555" t="s">
        <v>8</v>
      </c>
      <c r="W12" s="1556">
        <f t="shared" si="2"/>
        <v>100</v>
      </c>
      <c r="X12" s="1557"/>
      <c r="Y12" s="337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22"/>
      <c r="Q13" s="1147">
        <f t="shared" si="6"/>
        <v>111</v>
      </c>
      <c r="R13" s="1555" t="s">
        <v>8</v>
      </c>
      <c r="S13" s="1556">
        <f t="shared" si="0"/>
        <v>100</v>
      </c>
      <c r="T13" s="1555" t="s">
        <v>8</v>
      </c>
      <c r="U13" s="1556">
        <f t="shared" si="1"/>
        <v>100</v>
      </c>
      <c r="V13" s="1555" t="s">
        <v>8</v>
      </c>
      <c r="W13" s="1556">
        <f t="shared" si="2"/>
        <v>100</v>
      </c>
      <c r="X13" s="1557"/>
      <c r="Y13" s="337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22"/>
      <c r="Q14" s="1147">
        <f t="shared" si="6"/>
        <v>111</v>
      </c>
      <c r="R14" s="1555" t="s">
        <v>8</v>
      </c>
      <c r="S14" s="1556">
        <f t="shared" si="0"/>
        <v>100</v>
      </c>
      <c r="T14" s="1555" t="s">
        <v>8</v>
      </c>
      <c r="U14" s="1556">
        <f t="shared" si="1"/>
        <v>100</v>
      </c>
      <c r="V14" s="1555" t="s">
        <v>8</v>
      </c>
      <c r="W14" s="1556">
        <f t="shared" si="2"/>
        <v>100</v>
      </c>
      <c r="X14" s="1557"/>
      <c r="Y14" s="3379"/>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4" t="s">
        <v>540</v>
      </c>
      <c r="Q15" s="1559" t="str">
        <f t="shared" si="6"/>
        <v>产业集聚程度</v>
      </c>
      <c r="R15" s="1560" t="s">
        <v>8</v>
      </c>
      <c r="S15" s="1561">
        <f t="shared" si="0"/>
        <v>100</v>
      </c>
      <c r="T15" s="1560" t="s">
        <v>8</v>
      </c>
      <c r="U15" s="1561">
        <f t="shared" si="1"/>
        <v>100</v>
      </c>
      <c r="V15" s="1560" t="s">
        <v>8</v>
      </c>
      <c r="W15" s="1561">
        <f t="shared" si="2"/>
        <v>100</v>
      </c>
      <c r="X15" s="1554"/>
      <c r="Y15" s="342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5"/>
      <c r="Q16" s="1559"/>
      <c r="R16" s="1560"/>
      <c r="S16" s="1561"/>
      <c r="T16" s="1560"/>
      <c r="U16" s="1561"/>
      <c r="V16" s="1560"/>
      <c r="W16" s="1561"/>
      <c r="X16" s="1554"/>
      <c r="Y16" s="342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5"/>
      <c r="Q17" s="1559" t="str">
        <f>B17</f>
        <v>交通便捷度</v>
      </c>
      <c r="R17" s="1560" t="s">
        <v>8</v>
      </c>
      <c r="S17" s="1561">
        <f>F17</f>
        <v>100</v>
      </c>
      <c r="T17" s="1560" t="s">
        <v>8</v>
      </c>
      <c r="U17" s="1561">
        <f>H17</f>
        <v>100</v>
      </c>
      <c r="V17" s="1560" t="s">
        <v>8</v>
      </c>
      <c r="W17" s="1561">
        <f>J17</f>
        <v>100</v>
      </c>
      <c r="X17" s="1554"/>
      <c r="Y17" s="342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5"/>
      <c r="Q18" s="1559"/>
      <c r="R18" s="1560"/>
      <c r="S18" s="1561"/>
      <c r="T18" s="1560"/>
      <c r="U18" s="1561"/>
      <c r="V18" s="1560"/>
      <c r="W18" s="1561"/>
      <c r="X18" s="1554"/>
      <c r="Y18" s="342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5"/>
      <c r="Q19" s="1559" t="str">
        <f>B19</f>
        <v>公共配套设施</v>
      </c>
      <c r="R19" s="1560" t="s">
        <v>8</v>
      </c>
      <c r="S19" s="1561">
        <f>F19</f>
        <v>100</v>
      </c>
      <c r="T19" s="1560" t="s">
        <v>8</v>
      </c>
      <c r="U19" s="1561">
        <f>H19</f>
        <v>100</v>
      </c>
      <c r="V19" s="1560" t="s">
        <v>8</v>
      </c>
      <c r="W19" s="1561">
        <f>J19</f>
        <v>100</v>
      </c>
      <c r="X19" s="1554"/>
      <c r="Y19" s="342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5"/>
      <c r="Q20" s="1559"/>
      <c r="R20" s="1560"/>
      <c r="S20" s="1561"/>
      <c r="T20" s="1560"/>
      <c r="U20" s="1561"/>
      <c r="V20" s="1560"/>
      <c r="W20" s="1561"/>
      <c r="X20" s="1554"/>
      <c r="Y20" s="342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5"/>
      <c r="Q21" s="2544" t="str">
        <f>B21</f>
        <v>基础设施水平</v>
      </c>
      <c r="R21" s="1560" t="s">
        <v>8</v>
      </c>
      <c r="S21" s="1561">
        <f>F21</f>
        <v>100</v>
      </c>
      <c r="T21" s="1560" t="s">
        <v>8</v>
      </c>
      <c r="U21" s="1561">
        <f>H21</f>
        <v>100</v>
      </c>
      <c r="V21" s="1560" t="s">
        <v>8</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5"/>
      <c r="Q22" s="2544"/>
      <c r="R22" s="1560"/>
      <c r="S22" s="1561"/>
      <c r="T22" s="1560"/>
      <c r="U22" s="1561"/>
      <c r="V22" s="1560"/>
      <c r="W22" s="1561"/>
      <c r="X22" s="2546"/>
      <c r="Y22" s="342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5"/>
      <c r="Q23" s="1559" t="str">
        <f>B23</f>
        <v>环境质量</v>
      </c>
      <c r="R23" s="1560" t="s">
        <v>8</v>
      </c>
      <c r="S23" s="1561">
        <f>F23</f>
        <v>100</v>
      </c>
      <c r="T23" s="1560" t="s">
        <v>8</v>
      </c>
      <c r="U23" s="1561">
        <f>H23</f>
        <v>100</v>
      </c>
      <c r="V23" s="1560" t="s">
        <v>8</v>
      </c>
      <c r="W23" s="1561">
        <f>J23</f>
        <v>100</v>
      </c>
      <c r="X23" s="1554"/>
      <c r="Y23" s="342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5"/>
      <c r="Q24" s="1559"/>
      <c r="R24" s="1560"/>
      <c r="S24" s="1561"/>
      <c r="T24" s="1560"/>
      <c r="U24" s="1561"/>
      <c r="V24" s="1560"/>
      <c r="W24" s="1561"/>
      <c r="X24" s="1554"/>
      <c r="Y24" s="342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5"/>
      <c r="Q25" s="1559">
        <f>B25</f>
        <v>111</v>
      </c>
      <c r="R25" s="1560" t="s">
        <v>8</v>
      </c>
      <c r="S25" s="1561">
        <f>F25</f>
        <v>100</v>
      </c>
      <c r="T25" s="1560" t="s">
        <v>8</v>
      </c>
      <c r="U25" s="1561">
        <f>H25</f>
        <v>100</v>
      </c>
      <c r="V25" s="1560" t="s">
        <v>8</v>
      </c>
      <c r="W25" s="1561">
        <f>J25</f>
        <v>100</v>
      </c>
      <c r="X25" s="1554"/>
      <c r="Y25" s="342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5"/>
      <c r="Q26" s="1559">
        <f t="shared" ref="Q26:Q40" si="11">B26</f>
        <v>111</v>
      </c>
      <c r="R26" s="1560" t="s">
        <v>8</v>
      </c>
      <c r="S26" s="1561">
        <f>F26</f>
        <v>100</v>
      </c>
      <c r="T26" s="1560" t="s">
        <v>8</v>
      </c>
      <c r="U26" s="1561">
        <f>H26</f>
        <v>100</v>
      </c>
      <c r="V26" s="1560" t="s">
        <v>8</v>
      </c>
      <c r="W26" s="1561">
        <f>J26</f>
        <v>100</v>
      </c>
      <c r="X26" s="1554"/>
      <c r="Y26" s="342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5"/>
      <c r="Q27" s="1147">
        <f t="shared" si="11"/>
        <v>111</v>
      </c>
      <c r="R27" s="1555" t="s">
        <v>8</v>
      </c>
      <c r="S27" s="1556">
        <f>F27</f>
        <v>100</v>
      </c>
      <c r="T27" s="1555" t="s">
        <v>8</v>
      </c>
      <c r="U27" s="1556">
        <f>H27</f>
        <v>100</v>
      </c>
      <c r="V27" s="1555" t="s">
        <v>8</v>
      </c>
      <c r="W27" s="1556">
        <f>J27</f>
        <v>100</v>
      </c>
      <c r="X27" s="1557"/>
      <c r="Y27" s="342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5"/>
      <c r="Q28" s="1559">
        <f t="shared" si="11"/>
        <v>111</v>
      </c>
      <c r="R28" s="1560" t="s">
        <v>8</v>
      </c>
      <c r="S28" s="1561">
        <f t="shared" ref="S28:S40" si="12">F28</f>
        <v>100</v>
      </c>
      <c r="T28" s="1560" t="s">
        <v>8</v>
      </c>
      <c r="U28" s="1561">
        <f t="shared" ref="U28:U40" si="13">H28</f>
        <v>100</v>
      </c>
      <c r="V28" s="1560" t="s">
        <v>8</v>
      </c>
      <c r="W28" s="1561">
        <f t="shared" ref="W28:W40" si="14">J28</f>
        <v>100</v>
      </c>
      <c r="X28" s="1554"/>
      <c r="Y28" s="342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6" t="s">
        <v>550</v>
      </c>
      <c r="Q29" s="1559" t="str">
        <f t="shared" si="11"/>
        <v>建筑类型</v>
      </c>
      <c r="R29" s="1560" t="s">
        <v>8</v>
      </c>
      <c r="S29" s="1561">
        <f t="shared" si="12"/>
        <v>100</v>
      </c>
      <c r="T29" s="1560" t="s">
        <v>8</v>
      </c>
      <c r="U29" s="1561">
        <f t="shared" si="13"/>
        <v>100</v>
      </c>
      <c r="V29" s="1560" t="s">
        <v>8</v>
      </c>
      <c r="W29" s="1561">
        <f t="shared" si="14"/>
        <v>100</v>
      </c>
      <c r="X29" s="1554"/>
      <c r="Y29" s="342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7"/>
      <c r="Q30" s="1591" t="str">
        <f t="shared" si="11"/>
        <v>项目建筑规模</v>
      </c>
      <c r="R30" s="1564" t="s">
        <v>8</v>
      </c>
      <c r="S30" s="1565" t="e">
        <f t="shared" si="12"/>
        <v>#N/A</v>
      </c>
      <c r="T30" s="1564" t="s">
        <v>8</v>
      </c>
      <c r="U30" s="1565" t="e">
        <f t="shared" si="13"/>
        <v>#N/A</v>
      </c>
      <c r="V30" s="1564" t="s">
        <v>8</v>
      </c>
      <c r="W30" s="1565" t="e">
        <f t="shared" si="14"/>
        <v>#N/A</v>
      </c>
      <c r="X30" s="1566"/>
      <c r="Y30" s="342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7"/>
      <c r="Q31" s="1559" t="str">
        <f t="shared" si="11"/>
        <v>建筑结构</v>
      </c>
      <c r="R31" s="1560" t="s">
        <v>8</v>
      </c>
      <c r="S31" s="1561">
        <f t="shared" si="12"/>
        <v>100</v>
      </c>
      <c r="T31" s="1560" t="s">
        <v>8</v>
      </c>
      <c r="U31" s="1561">
        <f t="shared" si="13"/>
        <v>100</v>
      </c>
      <c r="V31" s="1560" t="s">
        <v>8</v>
      </c>
      <c r="W31" s="1561">
        <f t="shared" si="14"/>
        <v>100</v>
      </c>
      <c r="X31" s="1554"/>
      <c r="Y31" s="342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7"/>
      <c r="Q32" s="1559" t="str">
        <f t="shared" si="11"/>
        <v>公共部分装修</v>
      </c>
      <c r="R32" s="1560" t="s">
        <v>8</v>
      </c>
      <c r="S32" s="1561">
        <f t="shared" si="12"/>
        <v>100</v>
      </c>
      <c r="T32" s="1560" t="s">
        <v>8</v>
      </c>
      <c r="U32" s="1561">
        <f t="shared" si="13"/>
        <v>100</v>
      </c>
      <c r="V32" s="1560" t="s">
        <v>8</v>
      </c>
      <c r="W32" s="1561">
        <f t="shared" si="14"/>
        <v>100</v>
      </c>
      <c r="X32" s="1554"/>
      <c r="Y32" s="342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7"/>
      <c r="Q33" s="1559" t="str">
        <f t="shared" si="11"/>
        <v>成新度</v>
      </c>
      <c r="R33" s="1560" t="s">
        <v>8</v>
      </c>
      <c r="S33" s="1561" t="e">
        <f t="shared" si="12"/>
        <v>#N/A</v>
      </c>
      <c r="T33" s="1560" t="s">
        <v>8</v>
      </c>
      <c r="U33" s="1561" t="e">
        <f t="shared" si="13"/>
        <v>#N/A</v>
      </c>
      <c r="V33" s="1560" t="s">
        <v>8</v>
      </c>
      <c r="W33" s="1561" t="e">
        <f t="shared" si="14"/>
        <v>#N/A</v>
      </c>
      <c r="X33" s="1554"/>
      <c r="Y33" s="342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7"/>
      <c r="Q34" s="1147" t="str">
        <f t="shared" si="11"/>
        <v>物业管理</v>
      </c>
      <c r="R34" s="1555" t="s">
        <v>8</v>
      </c>
      <c r="S34" s="1556">
        <f t="shared" si="12"/>
        <v>100</v>
      </c>
      <c r="T34" s="1555" t="s">
        <v>8</v>
      </c>
      <c r="U34" s="1556">
        <f t="shared" si="13"/>
        <v>100</v>
      </c>
      <c r="V34" s="1555" t="s">
        <v>8</v>
      </c>
      <c r="W34" s="1556">
        <f t="shared" si="14"/>
        <v>100</v>
      </c>
      <c r="X34" s="1557"/>
      <c r="Y34" s="342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7" t="s">
        <v>550</v>
      </c>
      <c r="Q35" s="1559" t="str">
        <f t="shared" si="11"/>
        <v>市政基础设施</v>
      </c>
      <c r="R35" s="1560" t="s">
        <v>8</v>
      </c>
      <c r="S35" s="1561">
        <f t="shared" si="12"/>
        <v>100</v>
      </c>
      <c r="T35" s="1560" t="s">
        <v>8</v>
      </c>
      <c r="U35" s="1561">
        <f t="shared" si="13"/>
        <v>100</v>
      </c>
      <c r="V35" s="1560" t="s">
        <v>8</v>
      </c>
      <c r="W35" s="1561">
        <f t="shared" si="14"/>
        <v>100</v>
      </c>
      <c r="X35" s="1554"/>
      <c r="Y35" s="342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7"/>
      <c r="Q36" s="1559" t="str">
        <f t="shared" si="11"/>
        <v>内部装修</v>
      </c>
      <c r="R36" s="1560" t="s">
        <v>8</v>
      </c>
      <c r="S36" s="1561">
        <f t="shared" si="12"/>
        <v>100</v>
      </c>
      <c r="T36" s="1560" t="s">
        <v>8</v>
      </c>
      <c r="U36" s="1561">
        <f t="shared" si="13"/>
        <v>100</v>
      </c>
      <c r="V36" s="1560" t="s">
        <v>8</v>
      </c>
      <c r="W36" s="1561">
        <f t="shared" si="14"/>
        <v>100</v>
      </c>
      <c r="X36" s="1554"/>
      <c r="Y36" s="342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7"/>
      <c r="Q37" s="1559" t="str">
        <f t="shared" si="11"/>
        <v>内部装修状况</v>
      </c>
      <c r="R37" s="1560" t="s">
        <v>8</v>
      </c>
      <c r="S37" s="1561">
        <f t="shared" si="12"/>
        <v>100</v>
      </c>
      <c r="T37" s="1560" t="s">
        <v>8</v>
      </c>
      <c r="U37" s="1561">
        <f t="shared" si="13"/>
        <v>100</v>
      </c>
      <c r="V37" s="1560" t="s">
        <v>8</v>
      </c>
      <c r="W37" s="1561">
        <f t="shared" si="14"/>
        <v>100</v>
      </c>
      <c r="X37" s="1554"/>
      <c r="Y37" s="342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7"/>
      <c r="Q38" s="1591">
        <f t="shared" si="11"/>
        <v>111</v>
      </c>
      <c r="R38" s="1564" t="s">
        <v>8</v>
      </c>
      <c r="S38" s="1565">
        <f t="shared" si="12"/>
        <v>100</v>
      </c>
      <c r="T38" s="1564" t="s">
        <v>8</v>
      </c>
      <c r="U38" s="1565">
        <f t="shared" si="13"/>
        <v>100</v>
      </c>
      <c r="V38" s="1564" t="s">
        <v>8</v>
      </c>
      <c r="W38" s="1565">
        <f t="shared" si="14"/>
        <v>100</v>
      </c>
      <c r="X38" s="1566"/>
      <c r="Y38" s="342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7"/>
      <c r="Q39" s="1559">
        <f t="shared" si="11"/>
        <v>111</v>
      </c>
      <c r="R39" s="1560" t="s">
        <v>8</v>
      </c>
      <c r="S39" s="1561">
        <f t="shared" si="12"/>
        <v>100</v>
      </c>
      <c r="T39" s="1560" t="s">
        <v>8</v>
      </c>
      <c r="U39" s="1561">
        <f t="shared" si="13"/>
        <v>100</v>
      </c>
      <c r="V39" s="1560" t="s">
        <v>8</v>
      </c>
      <c r="W39" s="1561">
        <f t="shared" si="14"/>
        <v>100</v>
      </c>
      <c r="X39" s="1554"/>
      <c r="Y39" s="342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7"/>
      <c r="Q40" s="1559">
        <f t="shared" si="11"/>
        <v>111</v>
      </c>
      <c r="R40" s="1560" t="s">
        <v>8</v>
      </c>
      <c r="S40" s="1561">
        <f t="shared" si="12"/>
        <v>100</v>
      </c>
      <c r="T40" s="1560" t="s">
        <v>8</v>
      </c>
      <c r="U40" s="1561">
        <f t="shared" si="13"/>
        <v>100</v>
      </c>
      <c r="V40" s="1560" t="s">
        <v>8</v>
      </c>
      <c r="W40" s="1561">
        <f t="shared" si="14"/>
        <v>100</v>
      </c>
      <c r="X40" s="1554"/>
      <c r="Y40" s="352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22" t="str">
        <f>A41</f>
        <v>成交单价（元/平方米）</v>
      </c>
      <c r="Q41" s="3422"/>
      <c r="R41" s="3526">
        <f>E41</f>
        <v>0</v>
      </c>
      <c r="S41" s="3526"/>
      <c r="T41" s="3526">
        <f>G41</f>
        <v>0</v>
      </c>
      <c r="U41" s="3526"/>
      <c r="V41" s="3526">
        <f>I41</f>
        <v>0</v>
      </c>
      <c r="W41" s="3526"/>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22" t="str">
        <f>A42</f>
        <v>比较价格（元/平方米）</v>
      </c>
      <c r="Q42" s="3422"/>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43" t="str">
        <f>A43</f>
        <v>估价对象XX用房的比较价格（楼面单价，元/平方米）</v>
      </c>
      <c r="Q43" s="3444"/>
      <c r="R43" s="3525" t="e">
        <f>IF(F1="售价",ROUND(AVERAGE(R42:V42),0),ROUND(AVERAGE(R42:V42),1))</f>
        <v>#DIV/0!</v>
      </c>
      <c r="S43" s="3525"/>
      <c r="T43" s="3525"/>
      <c r="U43" s="3525"/>
      <c r="V43" s="3525"/>
      <c r="W43" s="352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2022-9</v>
      </c>
      <c r="D52" s="2760">
        <f>EDATE(C52,-1)</f>
        <v>44774</v>
      </c>
      <c r="E52" s="2760">
        <f t="shared" ref="E52:O52" si="16">EDATE(D52,-1)</f>
        <v>44743</v>
      </c>
      <c r="F52" s="2760">
        <f t="shared" si="16"/>
        <v>44713</v>
      </c>
      <c r="G52" s="2760">
        <f t="shared" si="16"/>
        <v>44682</v>
      </c>
      <c r="H52" s="2760">
        <f t="shared" si="16"/>
        <v>44652</v>
      </c>
      <c r="I52" s="2760">
        <f t="shared" si="16"/>
        <v>44621</v>
      </c>
      <c r="J52" s="2760">
        <f t="shared" si="16"/>
        <v>44593</v>
      </c>
      <c r="K52" s="2760">
        <f t="shared" si="16"/>
        <v>44562</v>
      </c>
      <c r="L52" s="2760">
        <f t="shared" si="16"/>
        <v>44531</v>
      </c>
      <c r="M52" s="2760">
        <f t="shared" si="16"/>
        <v>44501</v>
      </c>
      <c r="N52" s="2760">
        <f t="shared" si="16"/>
        <v>44470</v>
      </c>
      <c r="O52" s="2760">
        <f t="shared" si="16"/>
        <v>44440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28" t="s">
        <v>799</v>
      </c>
      <c r="F4" s="3429"/>
      <c r="G4" s="3428" t="s">
        <v>800</v>
      </c>
      <c r="H4" s="3429"/>
      <c r="I4" s="3428" t="s">
        <v>801</v>
      </c>
      <c r="J4" s="3429"/>
      <c r="K4" s="514" t="s">
        <v>802</v>
      </c>
      <c r="L4" s="2119"/>
      <c r="M4" s="2120"/>
      <c r="N4" s="2120"/>
      <c r="O4" s="2120"/>
      <c r="P4" s="3430" t="s">
        <v>803</v>
      </c>
      <c r="Q4" s="3431"/>
      <c r="R4" s="3416" t="s">
        <v>799</v>
      </c>
      <c r="S4" s="3417"/>
      <c r="T4" s="3416" t="s">
        <v>800</v>
      </c>
      <c r="U4" s="3417"/>
      <c r="V4" s="3436" t="s">
        <v>801</v>
      </c>
      <c r="W4" s="3436"/>
      <c r="X4" s="1554"/>
      <c r="Y4" s="3416" t="s">
        <v>803</v>
      </c>
      <c r="Z4" s="3417"/>
      <c r="AA4" s="3411" t="s">
        <v>799</v>
      </c>
      <c r="AB4" s="3412" t="s">
        <v>800</v>
      </c>
      <c r="AC4" s="3411" t="s">
        <v>801</v>
      </c>
    </row>
    <row r="5" spans="1:29" ht="15">
      <c r="A5" s="515"/>
      <c r="B5" s="516"/>
      <c r="C5" s="3439" t="s">
        <v>2931</v>
      </c>
      <c r="D5" s="3440"/>
      <c r="E5" s="3439" t="s">
        <v>2932</v>
      </c>
      <c r="F5" s="3440"/>
      <c r="G5" s="3439" t="s">
        <v>2933</v>
      </c>
      <c r="H5" s="3440"/>
      <c r="I5" s="3439" t="s">
        <v>2934</v>
      </c>
      <c r="J5" s="3440"/>
      <c r="K5" s="514"/>
      <c r="L5" s="2119"/>
      <c r="M5" s="2120"/>
      <c r="N5" s="2120"/>
      <c r="O5" s="2120"/>
      <c r="P5" s="3432"/>
      <c r="Q5" s="3433"/>
      <c r="R5" s="3418"/>
      <c r="S5" s="3419"/>
      <c r="T5" s="3418"/>
      <c r="U5" s="3419"/>
      <c r="V5" s="3436"/>
      <c r="W5" s="3436"/>
      <c r="X5" s="1554"/>
      <c r="Y5" s="3418"/>
      <c r="Z5" s="3419"/>
      <c r="AA5" s="3412"/>
      <c r="AB5" s="3412"/>
      <c r="AC5" s="3412"/>
    </row>
    <row r="6" spans="1:29" ht="15.75" thickBot="1">
      <c r="A6" s="517"/>
      <c r="B6" s="518"/>
      <c r="C6" s="3437" t="s">
        <v>2935</v>
      </c>
      <c r="D6" s="3438"/>
      <c r="E6" s="3441" t="s">
        <v>2935</v>
      </c>
      <c r="F6" s="3442"/>
      <c r="G6" s="3437" t="s">
        <v>2935</v>
      </c>
      <c r="H6" s="3438"/>
      <c r="I6" s="3437" t="s">
        <v>2935</v>
      </c>
      <c r="J6" s="3438"/>
      <c r="K6" s="514" t="s">
        <v>528</v>
      </c>
      <c r="L6" s="2119"/>
      <c r="M6" s="2120"/>
      <c r="N6" s="2120"/>
      <c r="O6" s="2120"/>
      <c r="P6" s="3434"/>
      <c r="Q6" s="3435"/>
      <c r="R6" s="3418"/>
      <c r="S6" s="3419"/>
      <c r="T6" s="3420"/>
      <c r="U6" s="3421"/>
      <c r="V6" s="3436"/>
      <c r="W6" s="3436"/>
      <c r="X6" s="1554"/>
      <c r="Y6" s="3420"/>
      <c r="Z6" s="3421"/>
      <c r="AA6" s="3413"/>
      <c r="AB6" s="3413"/>
      <c r="AC6" s="3413"/>
    </row>
    <row r="7" spans="1:29" s="1216" customFormat="1" ht="15.75" thickBot="1">
      <c r="A7" s="2868"/>
      <c r="B7" s="2875" t="s">
        <v>529</v>
      </c>
      <c r="C7" s="519">
        <f>'数据-取费表'!B2</f>
        <v>44827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4" t="s">
        <v>530</v>
      </c>
      <c r="Q7" s="3423"/>
      <c r="R7" s="1555" t="s">
        <v>8</v>
      </c>
      <c r="S7" s="1556">
        <f t="shared" ref="S7:S14" si="0">F7</f>
        <v>0</v>
      </c>
      <c r="T7" s="1555" t="s">
        <v>8</v>
      </c>
      <c r="U7" s="1556">
        <f t="shared" ref="U7:U14" si="1">H7</f>
        <v>0</v>
      </c>
      <c r="V7" s="1555" t="s">
        <v>8</v>
      </c>
      <c r="W7" s="1556">
        <f t="shared" ref="W7:W14"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22" t="s">
        <v>535</v>
      </c>
      <c r="Q9" s="1147" t="str">
        <f t="shared" ref="Q9:Q14" si="6">B9</f>
        <v>用途</v>
      </c>
      <c r="R9" s="1555" t="s">
        <v>8</v>
      </c>
      <c r="S9" s="1556">
        <f t="shared" si="0"/>
        <v>100</v>
      </c>
      <c r="T9" s="1555" t="s">
        <v>8</v>
      </c>
      <c r="U9" s="1556">
        <f t="shared" si="1"/>
        <v>100</v>
      </c>
      <c r="V9" s="1555" t="s">
        <v>8</v>
      </c>
      <c r="W9" s="1556">
        <f t="shared" si="2"/>
        <v>100</v>
      </c>
      <c r="X9" s="1557"/>
      <c r="Y9" s="337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22"/>
      <c r="Q10" s="1147" t="str">
        <f t="shared" si="6"/>
        <v>土地使用年限（年）</v>
      </c>
      <c r="R10" s="1555" t="s">
        <v>8</v>
      </c>
      <c r="S10" s="1556">
        <f t="shared" si="0"/>
        <v>100</v>
      </c>
      <c r="T10" s="1555" t="s">
        <v>8</v>
      </c>
      <c r="U10" s="1556">
        <f t="shared" si="1"/>
        <v>100</v>
      </c>
      <c r="V10" s="1555" t="s">
        <v>8</v>
      </c>
      <c r="W10" s="1556">
        <f t="shared" si="2"/>
        <v>100</v>
      </c>
      <c r="X10" s="1557"/>
      <c r="Y10" s="337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22"/>
      <c r="Q11" s="1147">
        <f t="shared" si="6"/>
        <v>111</v>
      </c>
      <c r="R11" s="1555" t="s">
        <v>8</v>
      </c>
      <c r="S11" s="1556">
        <f t="shared" si="0"/>
        <v>100</v>
      </c>
      <c r="T11" s="1555" t="s">
        <v>8</v>
      </c>
      <c r="U11" s="1556">
        <f t="shared" si="1"/>
        <v>100</v>
      </c>
      <c r="V11" s="1555" t="s">
        <v>8</v>
      </c>
      <c r="W11" s="1556">
        <f t="shared" si="2"/>
        <v>100</v>
      </c>
      <c r="X11" s="1557"/>
      <c r="Y11" s="337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22"/>
      <c r="Q12" s="1147">
        <f t="shared" si="6"/>
        <v>111</v>
      </c>
      <c r="R12" s="1555" t="s">
        <v>8</v>
      </c>
      <c r="S12" s="1556">
        <f t="shared" si="0"/>
        <v>100</v>
      </c>
      <c r="T12" s="1555" t="s">
        <v>8</v>
      </c>
      <c r="U12" s="1556">
        <f t="shared" si="1"/>
        <v>100</v>
      </c>
      <c r="V12" s="1555" t="s">
        <v>8</v>
      </c>
      <c r="W12" s="1556">
        <f t="shared" si="2"/>
        <v>100</v>
      </c>
      <c r="X12" s="1557"/>
      <c r="Y12" s="337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22"/>
      <c r="Q13" s="1147">
        <f t="shared" si="6"/>
        <v>111</v>
      </c>
      <c r="R13" s="1555" t="s">
        <v>8</v>
      </c>
      <c r="S13" s="1556">
        <f t="shared" si="0"/>
        <v>100</v>
      </c>
      <c r="T13" s="1555" t="s">
        <v>8</v>
      </c>
      <c r="U13" s="1556">
        <f t="shared" si="1"/>
        <v>100</v>
      </c>
      <c r="V13" s="1555" t="s">
        <v>8</v>
      </c>
      <c r="W13" s="1556">
        <f t="shared" si="2"/>
        <v>100</v>
      </c>
      <c r="X13" s="1557"/>
      <c r="Y13" s="3379"/>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4" t="s">
        <v>540</v>
      </c>
      <c r="Q14" s="1559" t="str">
        <f t="shared" si="6"/>
        <v>交通便捷度</v>
      </c>
      <c r="R14" s="1560" t="s">
        <v>8</v>
      </c>
      <c r="S14" s="1561">
        <f t="shared" si="0"/>
        <v>100</v>
      </c>
      <c r="T14" s="1560" t="s">
        <v>8</v>
      </c>
      <c r="U14" s="1561">
        <f t="shared" si="1"/>
        <v>100</v>
      </c>
      <c r="V14" s="1560" t="s">
        <v>8</v>
      </c>
      <c r="W14" s="1561">
        <f t="shared" si="2"/>
        <v>100</v>
      </c>
      <c r="X14" s="1554"/>
      <c r="Y14" s="342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5"/>
      <c r="Q15" s="1559"/>
      <c r="R15" s="1560"/>
      <c r="S15" s="1561"/>
      <c r="T15" s="1560"/>
      <c r="U15" s="1561"/>
      <c r="V15" s="1560"/>
      <c r="W15" s="1561"/>
      <c r="X15" s="1554"/>
      <c r="Y15" s="342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5"/>
      <c r="Q16" s="1559" t="str">
        <f>B16</f>
        <v>公共配套设施</v>
      </c>
      <c r="R16" s="1560" t="s">
        <v>8</v>
      </c>
      <c r="S16" s="1561">
        <f>F16</f>
        <v>100</v>
      </c>
      <c r="T16" s="1560" t="s">
        <v>8</v>
      </c>
      <c r="U16" s="1561">
        <f>H16</f>
        <v>100</v>
      </c>
      <c r="V16" s="1560" t="s">
        <v>8</v>
      </c>
      <c r="W16" s="1561">
        <f>J16</f>
        <v>100</v>
      </c>
      <c r="X16" s="1554"/>
      <c r="Y16" s="342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5"/>
      <c r="Q17" s="1559"/>
      <c r="R17" s="1560"/>
      <c r="S17" s="1561"/>
      <c r="T17" s="1560"/>
      <c r="U17" s="1561"/>
      <c r="V17" s="1560"/>
      <c r="W17" s="1561"/>
      <c r="X17" s="1554"/>
      <c r="Y17" s="342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5"/>
      <c r="Q18" s="2544" t="str">
        <f>B18</f>
        <v>基础设施水平</v>
      </c>
      <c r="R18" s="1560" t="s">
        <v>8</v>
      </c>
      <c r="S18" s="1561">
        <f>F18</f>
        <v>100</v>
      </c>
      <c r="T18" s="1560" t="s">
        <v>8</v>
      </c>
      <c r="U18" s="1561">
        <f>H18</f>
        <v>100</v>
      </c>
      <c r="V18" s="1560" t="s">
        <v>8</v>
      </c>
      <c r="W18" s="1561">
        <f>J18</f>
        <v>100</v>
      </c>
      <c r="X18" s="2546"/>
      <c r="Y18" s="342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5"/>
      <c r="Q19" s="2544"/>
      <c r="R19" s="1560"/>
      <c r="S19" s="1561"/>
      <c r="T19" s="1560"/>
      <c r="U19" s="1561"/>
      <c r="V19" s="1560"/>
      <c r="W19" s="1561"/>
      <c r="X19" s="2546"/>
      <c r="Y19" s="342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5"/>
      <c r="Q20" s="1559" t="str">
        <f>B20</f>
        <v>自然及人文环境</v>
      </c>
      <c r="R20" s="1560" t="s">
        <v>8</v>
      </c>
      <c r="S20" s="1561">
        <f>F20</f>
        <v>100</v>
      </c>
      <c r="T20" s="1560" t="s">
        <v>8</v>
      </c>
      <c r="U20" s="1561">
        <f>H20</f>
        <v>100</v>
      </c>
      <c r="V20" s="1560" t="s">
        <v>8</v>
      </c>
      <c r="W20" s="1561">
        <f>J20</f>
        <v>100</v>
      </c>
      <c r="X20" s="1554"/>
      <c r="Y20" s="342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5"/>
      <c r="Q21" s="1559"/>
      <c r="R21" s="1560"/>
      <c r="S21" s="1561"/>
      <c r="T21" s="1560"/>
      <c r="U21" s="1561"/>
      <c r="V21" s="1560"/>
      <c r="W21" s="1561"/>
      <c r="X21" s="1554"/>
      <c r="Y21" s="342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5"/>
      <c r="Q22" s="1559" t="str">
        <f>B22</f>
        <v>楼层</v>
      </c>
      <c r="R22" s="1560" t="s">
        <v>8</v>
      </c>
      <c r="S22" s="1561">
        <f>F22</f>
        <v>100</v>
      </c>
      <c r="T22" s="1560" t="s">
        <v>8</v>
      </c>
      <c r="U22" s="1561">
        <f>H22</f>
        <v>100</v>
      </c>
      <c r="V22" s="1560" t="s">
        <v>8</v>
      </c>
      <c r="W22" s="1561">
        <f>J22</f>
        <v>100</v>
      </c>
      <c r="X22" s="1554"/>
      <c r="Y22" s="342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5"/>
      <c r="Q23" s="1559">
        <f>B23</f>
        <v>111</v>
      </c>
      <c r="R23" s="1560" t="s">
        <v>8</v>
      </c>
      <c r="S23" s="1561">
        <f>F23</f>
        <v>100</v>
      </c>
      <c r="T23" s="1560" t="s">
        <v>8</v>
      </c>
      <c r="U23" s="1561">
        <f>H23</f>
        <v>100</v>
      </c>
      <c r="V23" s="1560" t="s">
        <v>8</v>
      </c>
      <c r="W23" s="1561">
        <f>J23</f>
        <v>100</v>
      </c>
      <c r="X23" s="1554"/>
      <c r="Y23" s="342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5"/>
      <c r="Q24" s="1559">
        <f t="shared" ref="Q24:Q36" si="11">B24</f>
        <v>111</v>
      </c>
      <c r="R24" s="1560" t="s">
        <v>8</v>
      </c>
      <c r="S24" s="1561">
        <f>F24</f>
        <v>100</v>
      </c>
      <c r="T24" s="1560" t="s">
        <v>8</v>
      </c>
      <c r="U24" s="1561">
        <f>H24</f>
        <v>100</v>
      </c>
      <c r="V24" s="1560" t="s">
        <v>8</v>
      </c>
      <c r="W24" s="1561">
        <f>J24</f>
        <v>100</v>
      </c>
      <c r="X24" s="1554"/>
      <c r="Y24" s="342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5"/>
      <c r="Q25" s="1147">
        <f t="shared" si="11"/>
        <v>111</v>
      </c>
      <c r="R25" s="1555" t="s">
        <v>8</v>
      </c>
      <c r="S25" s="1556">
        <f>F25</f>
        <v>100</v>
      </c>
      <c r="T25" s="1555" t="s">
        <v>8</v>
      </c>
      <c r="U25" s="1556">
        <f>H25</f>
        <v>100</v>
      </c>
      <c r="V25" s="1555" t="s">
        <v>8</v>
      </c>
      <c r="W25" s="1556">
        <f>J25</f>
        <v>100</v>
      </c>
      <c r="X25" s="1557"/>
      <c r="Y25" s="342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7"/>
      <c r="Q27" s="1591" t="str">
        <f t="shared" si="11"/>
        <v>项目停车位配比</v>
      </c>
      <c r="R27" s="1564" t="s">
        <v>8</v>
      </c>
      <c r="S27" s="1565">
        <f t="shared" si="12"/>
        <v>100</v>
      </c>
      <c r="T27" s="1564" t="s">
        <v>8</v>
      </c>
      <c r="U27" s="1565">
        <f t="shared" si="13"/>
        <v>100</v>
      </c>
      <c r="V27" s="1564" t="s">
        <v>8</v>
      </c>
      <c r="W27" s="1565">
        <f t="shared" si="14"/>
        <v>100</v>
      </c>
      <c r="X27" s="1566"/>
      <c r="Y27" s="342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7"/>
      <c r="Q28" s="1559" t="str">
        <f t="shared" si="11"/>
        <v>公共部分装修</v>
      </c>
      <c r="R28" s="1560" t="s">
        <v>8</v>
      </c>
      <c r="S28" s="1561">
        <f t="shared" si="12"/>
        <v>100</v>
      </c>
      <c r="T28" s="1560" t="s">
        <v>8</v>
      </c>
      <c r="U28" s="1561">
        <f t="shared" si="13"/>
        <v>100</v>
      </c>
      <c r="V28" s="1560" t="s">
        <v>8</v>
      </c>
      <c r="W28" s="1561">
        <f t="shared" si="14"/>
        <v>100</v>
      </c>
      <c r="X28" s="1554"/>
      <c r="Y28" s="342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7"/>
      <c r="Q29" s="1559" t="str">
        <f t="shared" si="11"/>
        <v>成新率</v>
      </c>
      <c r="R29" s="1560" t="s">
        <v>8</v>
      </c>
      <c r="S29" s="1561" t="e">
        <f t="shared" si="12"/>
        <v>#N/A</v>
      </c>
      <c r="T29" s="1560" t="s">
        <v>8</v>
      </c>
      <c r="U29" s="1561" t="e">
        <f t="shared" si="13"/>
        <v>#N/A</v>
      </c>
      <c r="V29" s="1560" t="s">
        <v>8</v>
      </c>
      <c r="W29" s="1561" t="e">
        <f t="shared" si="14"/>
        <v>#N/A</v>
      </c>
      <c r="X29" s="1554"/>
      <c r="Y29" s="342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7"/>
      <c r="Q30" s="1559" t="str">
        <f t="shared" si="11"/>
        <v>物业等级</v>
      </c>
      <c r="R30" s="1560" t="s">
        <v>8</v>
      </c>
      <c r="S30" s="1561">
        <f t="shared" si="12"/>
        <v>100</v>
      </c>
      <c r="T30" s="1560" t="s">
        <v>8</v>
      </c>
      <c r="U30" s="1561">
        <f t="shared" si="13"/>
        <v>100</v>
      </c>
      <c r="V30" s="1560" t="s">
        <v>8</v>
      </c>
      <c r="W30" s="1561">
        <f t="shared" si="14"/>
        <v>100</v>
      </c>
      <c r="X30" s="1554"/>
      <c r="Y30" s="342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7"/>
      <c r="Q31" s="1147" t="str">
        <f t="shared" si="11"/>
        <v>停车位面积</v>
      </c>
      <c r="R31" s="1555" t="s">
        <v>8</v>
      </c>
      <c r="S31" s="1556" t="e">
        <f t="shared" si="12"/>
        <v>#N/A</v>
      </c>
      <c r="T31" s="1555" t="s">
        <v>8</v>
      </c>
      <c r="U31" s="1556" t="e">
        <f t="shared" si="13"/>
        <v>#N/A</v>
      </c>
      <c r="V31" s="1555" t="s">
        <v>8</v>
      </c>
      <c r="W31" s="1556" t="e">
        <f t="shared" si="14"/>
        <v>#N/A</v>
      </c>
      <c r="X31" s="1557"/>
      <c r="Y31" s="342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7" t="s">
        <v>550</v>
      </c>
      <c r="Q32" s="1559" t="str">
        <f t="shared" si="11"/>
        <v>车位类型</v>
      </c>
      <c r="R32" s="1560" t="s">
        <v>8</v>
      </c>
      <c r="S32" s="1561">
        <f t="shared" si="12"/>
        <v>100</v>
      </c>
      <c r="T32" s="1560" t="s">
        <v>8</v>
      </c>
      <c r="U32" s="1561">
        <f t="shared" si="13"/>
        <v>100</v>
      </c>
      <c r="V32" s="1560" t="s">
        <v>8</v>
      </c>
      <c r="W32" s="1561">
        <f t="shared" si="14"/>
        <v>100</v>
      </c>
      <c r="X32" s="1554"/>
      <c r="Y32" s="342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7"/>
      <c r="Q33" s="1559" t="str">
        <f t="shared" si="11"/>
        <v>是否直接入户</v>
      </c>
      <c r="R33" s="1560" t="s">
        <v>8</v>
      </c>
      <c r="S33" s="1561">
        <f t="shared" si="12"/>
        <v>100</v>
      </c>
      <c r="T33" s="1560" t="s">
        <v>8</v>
      </c>
      <c r="U33" s="1561">
        <f t="shared" si="13"/>
        <v>100</v>
      </c>
      <c r="V33" s="1560" t="s">
        <v>8</v>
      </c>
      <c r="W33" s="1561">
        <f t="shared" si="14"/>
        <v>100</v>
      </c>
      <c r="X33" s="1554"/>
      <c r="Y33" s="342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7"/>
      <c r="Q34" s="1559">
        <f t="shared" si="11"/>
        <v>111</v>
      </c>
      <c r="R34" s="1560" t="s">
        <v>8</v>
      </c>
      <c r="S34" s="1561">
        <f t="shared" si="12"/>
        <v>100</v>
      </c>
      <c r="T34" s="1560" t="s">
        <v>8</v>
      </c>
      <c r="U34" s="1561">
        <f t="shared" si="13"/>
        <v>100</v>
      </c>
      <c r="V34" s="1560" t="s">
        <v>8</v>
      </c>
      <c r="W34" s="1561">
        <f t="shared" si="14"/>
        <v>100</v>
      </c>
      <c r="X34" s="1554"/>
      <c r="Y34" s="342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7"/>
      <c r="Q35" s="1591">
        <f t="shared" si="11"/>
        <v>111</v>
      </c>
      <c r="R35" s="1564" t="s">
        <v>8</v>
      </c>
      <c r="S35" s="1565">
        <f t="shared" si="12"/>
        <v>100</v>
      </c>
      <c r="T35" s="1564" t="s">
        <v>8</v>
      </c>
      <c r="U35" s="1565">
        <f t="shared" si="13"/>
        <v>100</v>
      </c>
      <c r="V35" s="1564" t="s">
        <v>8</v>
      </c>
      <c r="W35" s="1565">
        <f t="shared" si="14"/>
        <v>100</v>
      </c>
      <c r="X35" s="1566"/>
      <c r="Y35" s="342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7"/>
      <c r="Q36" s="1559">
        <f t="shared" si="11"/>
        <v>111</v>
      </c>
      <c r="R36" s="1560" t="s">
        <v>8</v>
      </c>
      <c r="S36" s="1561">
        <f t="shared" si="12"/>
        <v>100</v>
      </c>
      <c r="T36" s="1560" t="s">
        <v>8</v>
      </c>
      <c r="U36" s="1561">
        <f t="shared" si="13"/>
        <v>100</v>
      </c>
      <c r="V36" s="1560" t="s">
        <v>8</v>
      </c>
      <c r="W36" s="1561">
        <f t="shared" si="14"/>
        <v>100</v>
      </c>
      <c r="X36" s="1554"/>
      <c r="Y36" s="342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22" t="str">
        <f>A37</f>
        <v>成交单价</v>
      </c>
      <c r="Q37" s="3422"/>
      <c r="R37" s="3526">
        <f>E37</f>
        <v>0</v>
      </c>
      <c r="S37" s="3526"/>
      <c r="T37" s="3526">
        <f>G37</f>
        <v>0</v>
      </c>
      <c r="U37" s="3526"/>
      <c r="V37" s="3526">
        <f>I37</f>
        <v>0</v>
      </c>
      <c r="W37" s="3526"/>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22" t="str">
        <f>A38</f>
        <v>比较价格（元/平方米）</v>
      </c>
      <c r="Q38" s="3422"/>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43" t="str">
        <f>A39</f>
        <v>估价对象XX用房的比较价格（楼面单价，元/平方米）</v>
      </c>
      <c r="Q39" s="3444"/>
      <c r="R39" s="3525" t="e">
        <f>IF(F1="售价",ROUND(AVERAGE(R38:V38),0),ROUND(AVERAGE(R38:V38),1))</f>
        <v>#DIV/0!</v>
      </c>
      <c r="S39" s="3525"/>
      <c r="T39" s="3525"/>
      <c r="U39" s="3525"/>
      <c r="V39" s="3525"/>
      <c r="W39" s="352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2022-9</v>
      </c>
      <c r="D48" s="2760">
        <f>EDATE(C48,-1)</f>
        <v>44774</v>
      </c>
      <c r="E48" s="2760">
        <f t="shared" ref="E48:O48" si="16">EDATE(D48,-1)</f>
        <v>44743</v>
      </c>
      <c r="F48" s="2760">
        <f t="shared" si="16"/>
        <v>44713</v>
      </c>
      <c r="G48" s="2760">
        <f t="shared" si="16"/>
        <v>44682</v>
      </c>
      <c r="H48" s="2760">
        <f t="shared" si="16"/>
        <v>44652</v>
      </c>
      <c r="I48" s="2760">
        <f t="shared" si="16"/>
        <v>44621</v>
      </c>
      <c r="J48" s="2760">
        <f t="shared" si="16"/>
        <v>44593</v>
      </c>
      <c r="K48" s="2760">
        <f t="shared" si="16"/>
        <v>44562</v>
      </c>
      <c r="L48" s="2760">
        <f t="shared" si="16"/>
        <v>44531</v>
      </c>
      <c r="M48" s="2760">
        <f t="shared" si="16"/>
        <v>44501</v>
      </c>
      <c r="N48" s="2760">
        <f t="shared" si="16"/>
        <v>44470</v>
      </c>
      <c r="O48" s="2760">
        <f t="shared" si="16"/>
        <v>44440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52" t="s">
        <v>799</v>
      </c>
      <c r="F4" s="3453"/>
      <c r="G4" s="3428" t="s">
        <v>800</v>
      </c>
      <c r="H4" s="3429"/>
      <c r="I4" s="3428" t="s">
        <v>801</v>
      </c>
      <c r="J4" s="3429"/>
      <c r="K4" s="514" t="s">
        <v>802</v>
      </c>
      <c r="L4" s="2119"/>
      <c r="M4" s="2120"/>
      <c r="N4" s="2120"/>
      <c r="O4" s="2120"/>
      <c r="P4" s="3430" t="s">
        <v>803</v>
      </c>
      <c r="Q4" s="3431"/>
      <c r="R4" s="3416" t="s">
        <v>799</v>
      </c>
      <c r="S4" s="3417"/>
      <c r="T4" s="3416" t="s">
        <v>800</v>
      </c>
      <c r="U4" s="3417"/>
      <c r="V4" s="3436" t="s">
        <v>801</v>
      </c>
      <c r="W4" s="3436"/>
      <c r="X4" s="1554"/>
      <c r="Y4" s="3416" t="s">
        <v>803</v>
      </c>
      <c r="Z4" s="3417"/>
      <c r="AA4" s="3411" t="s">
        <v>799</v>
      </c>
      <c r="AB4" s="3412" t="s">
        <v>800</v>
      </c>
      <c r="AC4" s="3411" t="s">
        <v>801</v>
      </c>
    </row>
    <row r="5" spans="1:29" ht="15">
      <c r="A5" s="515"/>
      <c r="B5" s="516"/>
      <c r="C5" s="3439" t="s">
        <v>2931</v>
      </c>
      <c r="D5" s="3440"/>
      <c r="E5" s="3454" t="s">
        <v>2932</v>
      </c>
      <c r="F5" s="3455"/>
      <c r="G5" s="3439" t="s">
        <v>2933</v>
      </c>
      <c r="H5" s="3440"/>
      <c r="I5" s="3439" t="s">
        <v>2934</v>
      </c>
      <c r="J5" s="3440"/>
      <c r="K5" s="514"/>
      <c r="L5" s="2119"/>
      <c r="M5" s="2120"/>
      <c r="N5" s="2120"/>
      <c r="O5" s="2120"/>
      <c r="P5" s="3432"/>
      <c r="Q5" s="3433"/>
      <c r="R5" s="3418"/>
      <c r="S5" s="3419"/>
      <c r="T5" s="3418"/>
      <c r="U5" s="3419"/>
      <c r="V5" s="3436"/>
      <c r="W5" s="3436"/>
      <c r="X5" s="1554"/>
      <c r="Y5" s="3418"/>
      <c r="Z5" s="3419"/>
      <c r="AA5" s="3412"/>
      <c r="AB5" s="3412"/>
      <c r="AC5" s="3412"/>
    </row>
    <row r="6" spans="1:29" ht="15.75" thickBot="1">
      <c r="A6" s="517"/>
      <c r="B6" s="518"/>
      <c r="C6" s="3437" t="s">
        <v>2935</v>
      </c>
      <c r="D6" s="3438"/>
      <c r="E6" s="3456" t="s">
        <v>2935</v>
      </c>
      <c r="F6" s="3457"/>
      <c r="G6" s="3437" t="s">
        <v>2935</v>
      </c>
      <c r="H6" s="3438"/>
      <c r="I6" s="3437" t="s">
        <v>2935</v>
      </c>
      <c r="J6" s="3438"/>
      <c r="K6" s="514" t="s">
        <v>528</v>
      </c>
      <c r="L6" s="2119"/>
      <c r="M6" s="2120"/>
      <c r="N6" s="2120"/>
      <c r="O6" s="2120"/>
      <c r="P6" s="3434"/>
      <c r="Q6" s="3435"/>
      <c r="R6" s="3418"/>
      <c r="S6" s="3419"/>
      <c r="T6" s="3420"/>
      <c r="U6" s="3421"/>
      <c r="V6" s="3436"/>
      <c r="W6" s="3436"/>
      <c r="X6" s="1554"/>
      <c r="Y6" s="3420"/>
      <c r="Z6" s="3421"/>
      <c r="AA6" s="3413"/>
      <c r="AB6" s="3413"/>
      <c r="AC6" s="3413"/>
    </row>
    <row r="7" spans="1:29" s="1216" customFormat="1" ht="15.75" thickBot="1">
      <c r="A7" s="2868"/>
      <c r="B7" s="2875" t="s">
        <v>529</v>
      </c>
      <c r="C7" s="519">
        <f>'数据-取费表'!B2</f>
        <v>44827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4" t="s">
        <v>530</v>
      </c>
      <c r="Q7" s="3423"/>
      <c r="R7" s="1555" t="s">
        <v>8</v>
      </c>
      <c r="S7" s="1556">
        <f t="shared" ref="S7:S14" si="0">F7</f>
        <v>0</v>
      </c>
      <c r="T7" s="1555" t="s">
        <v>8</v>
      </c>
      <c r="U7" s="1556">
        <f t="shared" ref="U7:U14" si="1">H7</f>
        <v>0</v>
      </c>
      <c r="V7" s="1555" t="s">
        <v>8</v>
      </c>
      <c r="W7" s="1556">
        <f t="shared" ref="W7:W14"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22" t="s">
        <v>535</v>
      </c>
      <c r="Q9" s="1147" t="str">
        <f t="shared" ref="Q9:Q14" si="6">B9</f>
        <v>用途</v>
      </c>
      <c r="R9" s="1555" t="s">
        <v>8</v>
      </c>
      <c r="S9" s="1556">
        <f t="shared" si="0"/>
        <v>100</v>
      </c>
      <c r="T9" s="1555" t="s">
        <v>8</v>
      </c>
      <c r="U9" s="1556">
        <f t="shared" si="1"/>
        <v>100</v>
      </c>
      <c r="V9" s="1555" t="s">
        <v>8</v>
      </c>
      <c r="W9" s="1556">
        <f t="shared" si="2"/>
        <v>100</v>
      </c>
      <c r="X9" s="1557"/>
      <c r="Y9" s="337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22"/>
      <c r="Q10" s="1147" t="str">
        <f t="shared" si="6"/>
        <v>土地使用年限（年）</v>
      </c>
      <c r="R10" s="1555" t="s">
        <v>8</v>
      </c>
      <c r="S10" s="1556">
        <f t="shared" si="0"/>
        <v>100</v>
      </c>
      <c r="T10" s="1555" t="s">
        <v>8</v>
      </c>
      <c r="U10" s="1556">
        <f t="shared" si="1"/>
        <v>100</v>
      </c>
      <c r="V10" s="1555" t="s">
        <v>8</v>
      </c>
      <c r="W10" s="1556">
        <f t="shared" si="2"/>
        <v>100</v>
      </c>
      <c r="X10" s="1557"/>
      <c r="Y10" s="337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22"/>
      <c r="Q11" s="1147">
        <f t="shared" si="6"/>
        <v>111</v>
      </c>
      <c r="R11" s="1555" t="s">
        <v>8</v>
      </c>
      <c r="S11" s="1556">
        <f t="shared" si="0"/>
        <v>100</v>
      </c>
      <c r="T11" s="1555" t="s">
        <v>8</v>
      </c>
      <c r="U11" s="1556">
        <f t="shared" si="1"/>
        <v>100</v>
      </c>
      <c r="V11" s="1555" t="s">
        <v>8</v>
      </c>
      <c r="W11" s="1556">
        <f t="shared" si="2"/>
        <v>100</v>
      </c>
      <c r="X11" s="1557"/>
      <c r="Y11" s="337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22"/>
      <c r="Q12" s="1147">
        <f t="shared" si="6"/>
        <v>111</v>
      </c>
      <c r="R12" s="1555" t="s">
        <v>8</v>
      </c>
      <c r="S12" s="1556">
        <f t="shared" si="0"/>
        <v>100</v>
      </c>
      <c r="T12" s="1555" t="s">
        <v>8</v>
      </c>
      <c r="U12" s="1556">
        <f t="shared" si="1"/>
        <v>100</v>
      </c>
      <c r="V12" s="1555" t="s">
        <v>8</v>
      </c>
      <c r="W12" s="1556">
        <f t="shared" si="2"/>
        <v>100</v>
      </c>
      <c r="X12" s="1557"/>
      <c r="Y12" s="337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22"/>
      <c r="Q13" s="1147">
        <f t="shared" si="6"/>
        <v>111</v>
      </c>
      <c r="R13" s="1555" t="s">
        <v>8</v>
      </c>
      <c r="S13" s="1556">
        <f t="shared" si="0"/>
        <v>100</v>
      </c>
      <c r="T13" s="1555" t="s">
        <v>8</v>
      </c>
      <c r="U13" s="1556">
        <f t="shared" si="1"/>
        <v>100</v>
      </c>
      <c r="V13" s="1555" t="s">
        <v>8</v>
      </c>
      <c r="W13" s="1556">
        <f t="shared" si="2"/>
        <v>100</v>
      </c>
      <c r="X13" s="1557"/>
      <c r="Y13" s="3379"/>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4" t="s">
        <v>540</v>
      </c>
      <c r="Q14" s="1559" t="str">
        <f t="shared" si="6"/>
        <v>交通便捷度</v>
      </c>
      <c r="R14" s="1560" t="s">
        <v>8</v>
      </c>
      <c r="S14" s="1561">
        <f t="shared" si="0"/>
        <v>100</v>
      </c>
      <c r="T14" s="1560" t="s">
        <v>8</v>
      </c>
      <c r="U14" s="1561">
        <f t="shared" si="1"/>
        <v>100</v>
      </c>
      <c r="V14" s="1560" t="s">
        <v>8</v>
      </c>
      <c r="W14" s="1561">
        <f t="shared" si="2"/>
        <v>100</v>
      </c>
      <c r="X14" s="1554"/>
      <c r="Y14" s="342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5"/>
      <c r="Q15" s="1559"/>
      <c r="R15" s="1560"/>
      <c r="S15" s="1561"/>
      <c r="T15" s="1560"/>
      <c r="U15" s="1561"/>
      <c r="V15" s="1560"/>
      <c r="W15" s="1561"/>
      <c r="X15" s="1554"/>
      <c r="Y15" s="342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5"/>
      <c r="Q16" s="1559" t="str">
        <f>B16</f>
        <v>公共配套设施</v>
      </c>
      <c r="R16" s="1560" t="s">
        <v>8</v>
      </c>
      <c r="S16" s="1561">
        <f>F16</f>
        <v>100</v>
      </c>
      <c r="T16" s="1560" t="s">
        <v>8</v>
      </c>
      <c r="U16" s="1561">
        <f>H16</f>
        <v>100</v>
      </c>
      <c r="V16" s="1560" t="s">
        <v>8</v>
      </c>
      <c r="W16" s="1561">
        <f>J16</f>
        <v>100</v>
      </c>
      <c r="X16" s="1554"/>
      <c r="Y16" s="342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5"/>
      <c r="Q17" s="1559"/>
      <c r="R17" s="1560"/>
      <c r="S17" s="1561"/>
      <c r="T17" s="1560"/>
      <c r="U17" s="1561"/>
      <c r="V17" s="1560"/>
      <c r="W17" s="1561"/>
      <c r="X17" s="1554"/>
      <c r="Y17" s="342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5"/>
      <c r="Q18" s="2544" t="str">
        <f>B18</f>
        <v>基础设施水平</v>
      </c>
      <c r="R18" s="1560" t="s">
        <v>8</v>
      </c>
      <c r="S18" s="1561">
        <f>F18</f>
        <v>100</v>
      </c>
      <c r="T18" s="1560" t="s">
        <v>8</v>
      </c>
      <c r="U18" s="1561">
        <f>H18</f>
        <v>100</v>
      </c>
      <c r="V18" s="1560" t="s">
        <v>8</v>
      </c>
      <c r="W18" s="1561">
        <f>J18</f>
        <v>100</v>
      </c>
      <c r="X18" s="2546"/>
      <c r="Y18" s="342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5"/>
      <c r="Q19" s="2544"/>
      <c r="R19" s="1560"/>
      <c r="S19" s="1561"/>
      <c r="T19" s="1560"/>
      <c r="U19" s="1561"/>
      <c r="V19" s="1560"/>
      <c r="W19" s="1561"/>
      <c r="X19" s="2546"/>
      <c r="Y19" s="342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5"/>
      <c r="Q20" s="1559" t="str">
        <f>B20</f>
        <v>自然及人文环境</v>
      </c>
      <c r="R20" s="1560" t="s">
        <v>8</v>
      </c>
      <c r="S20" s="1561">
        <f>F20</f>
        <v>100</v>
      </c>
      <c r="T20" s="1560" t="s">
        <v>8</v>
      </c>
      <c r="U20" s="1561">
        <f>H20</f>
        <v>100</v>
      </c>
      <c r="V20" s="1560" t="s">
        <v>8</v>
      </c>
      <c r="W20" s="1561">
        <f>J20</f>
        <v>100</v>
      </c>
      <c r="X20" s="1554"/>
      <c r="Y20" s="342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5"/>
      <c r="Q21" s="1559"/>
      <c r="R21" s="1560"/>
      <c r="S21" s="1561"/>
      <c r="T21" s="1560"/>
      <c r="U21" s="1561"/>
      <c r="V21" s="1560"/>
      <c r="W21" s="1561"/>
      <c r="X21" s="1554"/>
      <c r="Y21" s="342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5"/>
      <c r="Q22" s="1559" t="str">
        <f>B22</f>
        <v>楼层</v>
      </c>
      <c r="R22" s="1560" t="s">
        <v>8</v>
      </c>
      <c r="S22" s="1561">
        <f>F22</f>
        <v>100</v>
      </c>
      <c r="T22" s="1560" t="s">
        <v>8</v>
      </c>
      <c r="U22" s="1561">
        <f>H22</f>
        <v>100</v>
      </c>
      <c r="V22" s="1560" t="s">
        <v>8</v>
      </c>
      <c r="W22" s="1561">
        <f>J22</f>
        <v>100</v>
      </c>
      <c r="X22" s="1554"/>
      <c r="Y22" s="342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5"/>
      <c r="Q23" s="1559">
        <f>B23</f>
        <v>111</v>
      </c>
      <c r="R23" s="1560" t="s">
        <v>8</v>
      </c>
      <c r="S23" s="1561">
        <f>F23</f>
        <v>100</v>
      </c>
      <c r="T23" s="1560" t="s">
        <v>8</v>
      </c>
      <c r="U23" s="1561">
        <f>H23</f>
        <v>100</v>
      </c>
      <c r="V23" s="1560" t="s">
        <v>8</v>
      </c>
      <c r="W23" s="1561">
        <f>J23</f>
        <v>100</v>
      </c>
      <c r="X23" s="1554"/>
      <c r="Y23" s="342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5"/>
      <c r="Q24" s="1559">
        <f t="shared" ref="Q24:Q34" si="11">B24</f>
        <v>111</v>
      </c>
      <c r="R24" s="1560" t="s">
        <v>8</v>
      </c>
      <c r="S24" s="1561">
        <f>F24</f>
        <v>100</v>
      </c>
      <c r="T24" s="1560" t="s">
        <v>8</v>
      </c>
      <c r="U24" s="1561">
        <f>H24</f>
        <v>100</v>
      </c>
      <c r="V24" s="1560" t="s">
        <v>8</v>
      </c>
      <c r="W24" s="1561">
        <f>J24</f>
        <v>100</v>
      </c>
      <c r="X24" s="1554"/>
      <c r="Y24" s="342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5"/>
      <c r="Q25" s="1147">
        <f t="shared" si="11"/>
        <v>111</v>
      </c>
      <c r="R25" s="1555" t="s">
        <v>8</v>
      </c>
      <c r="S25" s="1556">
        <f>F25</f>
        <v>100</v>
      </c>
      <c r="T25" s="1555" t="s">
        <v>8</v>
      </c>
      <c r="U25" s="1556">
        <f>H25</f>
        <v>100</v>
      </c>
      <c r="V25" s="1555" t="s">
        <v>8</v>
      </c>
      <c r="W25" s="1556">
        <f>J25</f>
        <v>100</v>
      </c>
      <c r="X25" s="1557"/>
      <c r="Y25" s="342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7"/>
      <c r="Q27" s="1591" t="str">
        <f t="shared" si="11"/>
        <v>成新率</v>
      </c>
      <c r="R27" s="1564" t="s">
        <v>8</v>
      </c>
      <c r="S27" s="1565" t="e">
        <f t="shared" si="12"/>
        <v>#N/A</v>
      </c>
      <c r="T27" s="1564" t="s">
        <v>8</v>
      </c>
      <c r="U27" s="1565" t="e">
        <f t="shared" si="13"/>
        <v>#N/A</v>
      </c>
      <c r="V27" s="1564" t="s">
        <v>8</v>
      </c>
      <c r="W27" s="1565" t="e">
        <f t="shared" si="14"/>
        <v>#N/A</v>
      </c>
      <c r="X27" s="1566"/>
      <c r="Y27" s="342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7"/>
      <c r="Q28" s="1559" t="str">
        <f t="shared" si="11"/>
        <v>物业等级</v>
      </c>
      <c r="R28" s="1560" t="s">
        <v>8</v>
      </c>
      <c r="S28" s="1561">
        <f t="shared" si="12"/>
        <v>100</v>
      </c>
      <c r="T28" s="1560" t="s">
        <v>8</v>
      </c>
      <c r="U28" s="1561">
        <f t="shared" si="13"/>
        <v>100</v>
      </c>
      <c r="V28" s="1560" t="s">
        <v>8</v>
      </c>
      <c r="W28" s="1561">
        <f t="shared" si="14"/>
        <v>100</v>
      </c>
      <c r="X28" s="1554"/>
      <c r="Y28" s="342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7"/>
      <c r="Q29" s="1559" t="str">
        <f t="shared" si="11"/>
        <v>有无电梯</v>
      </c>
      <c r="R29" s="1560" t="s">
        <v>8</v>
      </c>
      <c r="S29" s="1561">
        <f t="shared" si="12"/>
        <v>100</v>
      </c>
      <c r="T29" s="1560" t="s">
        <v>8</v>
      </c>
      <c r="U29" s="1561">
        <f t="shared" si="13"/>
        <v>100</v>
      </c>
      <c r="V29" s="1560" t="s">
        <v>8</v>
      </c>
      <c r="W29" s="1561">
        <f t="shared" si="14"/>
        <v>100</v>
      </c>
      <c r="X29" s="1554"/>
      <c r="Y29" s="342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7"/>
      <c r="Q30" s="1559" t="str">
        <f t="shared" si="11"/>
        <v>建筑面积</v>
      </c>
      <c r="R30" s="1560" t="s">
        <v>8</v>
      </c>
      <c r="S30" s="1561" t="e">
        <f t="shared" si="12"/>
        <v>#N/A</v>
      </c>
      <c r="T30" s="1560" t="s">
        <v>8</v>
      </c>
      <c r="U30" s="1561" t="e">
        <f t="shared" si="13"/>
        <v>#N/A</v>
      </c>
      <c r="V30" s="1560" t="s">
        <v>8</v>
      </c>
      <c r="W30" s="1561" t="e">
        <f t="shared" si="14"/>
        <v>#N/A</v>
      </c>
      <c r="X30" s="1554"/>
      <c r="Y30" s="342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7"/>
      <c r="Q31" s="1147" t="str">
        <f t="shared" si="11"/>
        <v>是否封闭</v>
      </c>
      <c r="R31" s="1555" t="s">
        <v>8</v>
      </c>
      <c r="S31" s="1556">
        <f t="shared" si="12"/>
        <v>100</v>
      </c>
      <c r="T31" s="1555" t="s">
        <v>8</v>
      </c>
      <c r="U31" s="1556">
        <f t="shared" si="13"/>
        <v>100</v>
      </c>
      <c r="V31" s="1555" t="s">
        <v>8</v>
      </c>
      <c r="W31" s="1556">
        <f t="shared" si="14"/>
        <v>100</v>
      </c>
      <c r="X31" s="1557"/>
      <c r="Y31" s="342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7" t="s">
        <v>550</v>
      </c>
      <c r="Q32" s="1559">
        <f t="shared" si="11"/>
        <v>111</v>
      </c>
      <c r="R32" s="1560" t="s">
        <v>8</v>
      </c>
      <c r="S32" s="1561">
        <f t="shared" si="12"/>
        <v>100</v>
      </c>
      <c r="T32" s="1560" t="s">
        <v>8</v>
      </c>
      <c r="U32" s="1561">
        <f t="shared" si="13"/>
        <v>100</v>
      </c>
      <c r="V32" s="1560" t="s">
        <v>8</v>
      </c>
      <c r="W32" s="1561">
        <f t="shared" si="14"/>
        <v>100</v>
      </c>
      <c r="X32" s="1554"/>
      <c r="Y32" s="342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7"/>
      <c r="Q33" s="1559">
        <f t="shared" si="11"/>
        <v>111</v>
      </c>
      <c r="R33" s="1560" t="s">
        <v>8</v>
      </c>
      <c r="S33" s="1561">
        <f t="shared" si="12"/>
        <v>100</v>
      </c>
      <c r="T33" s="1560" t="s">
        <v>8</v>
      </c>
      <c r="U33" s="1561">
        <f t="shared" si="13"/>
        <v>100</v>
      </c>
      <c r="V33" s="1560" t="s">
        <v>8</v>
      </c>
      <c r="W33" s="1561">
        <f t="shared" si="14"/>
        <v>100</v>
      </c>
      <c r="X33" s="1554"/>
      <c r="Y33" s="342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7"/>
      <c r="Q34" s="1559">
        <f t="shared" si="11"/>
        <v>111</v>
      </c>
      <c r="R34" s="1560" t="s">
        <v>8</v>
      </c>
      <c r="S34" s="1561">
        <f t="shared" si="12"/>
        <v>100</v>
      </c>
      <c r="T34" s="1560" t="s">
        <v>8</v>
      </c>
      <c r="U34" s="1561">
        <f t="shared" si="13"/>
        <v>100</v>
      </c>
      <c r="V34" s="1560" t="s">
        <v>8</v>
      </c>
      <c r="W34" s="1561">
        <f t="shared" si="14"/>
        <v>100</v>
      </c>
      <c r="X34" s="1554"/>
      <c r="Y34" s="342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22" t="str">
        <f>A35</f>
        <v>成交单价（元/平方米）</v>
      </c>
      <c r="Q35" s="3422"/>
      <c r="R35" s="3526">
        <f>E35</f>
        <v>0</v>
      </c>
      <c r="S35" s="3526"/>
      <c r="T35" s="3526">
        <f>G35</f>
        <v>0</v>
      </c>
      <c r="U35" s="3526"/>
      <c r="V35" s="3526">
        <f>I35</f>
        <v>0</v>
      </c>
      <c r="W35" s="3526"/>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22" t="str">
        <f>A36</f>
        <v>比较价格（元/平方米）</v>
      </c>
      <c r="Q36" s="3422"/>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43" t="str">
        <f>A37</f>
        <v>估价对象XX用房的比较价格（楼面单价，元/平方米）</v>
      </c>
      <c r="Q37" s="3444"/>
      <c r="R37" s="3525" t="e">
        <f>IF(F1="售价",ROUND(AVERAGE(R36:V36),0),ROUND(AVERAGE(R36:V36),1))</f>
        <v>#DIV/0!</v>
      </c>
      <c r="S37" s="3525"/>
      <c r="T37" s="3525"/>
      <c r="U37" s="3525"/>
      <c r="V37" s="3525"/>
      <c r="W37" s="352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2022-9</v>
      </c>
      <c r="D46" s="2760">
        <f>EDATE(C46,-1)</f>
        <v>44774</v>
      </c>
      <c r="E46" s="2760">
        <f t="shared" ref="E46:O46" si="16">EDATE(D46,-1)</f>
        <v>44743</v>
      </c>
      <c r="F46" s="2760">
        <f t="shared" si="16"/>
        <v>44713</v>
      </c>
      <c r="G46" s="2760">
        <f t="shared" si="16"/>
        <v>44682</v>
      </c>
      <c r="H46" s="2760">
        <f t="shared" si="16"/>
        <v>44652</v>
      </c>
      <c r="I46" s="2760">
        <f t="shared" si="16"/>
        <v>44621</v>
      </c>
      <c r="J46" s="2760">
        <f t="shared" si="16"/>
        <v>44593</v>
      </c>
      <c r="K46" s="2760">
        <f t="shared" si="16"/>
        <v>44562</v>
      </c>
      <c r="L46" s="2760">
        <f t="shared" si="16"/>
        <v>44531</v>
      </c>
      <c r="M46" s="2760">
        <f t="shared" si="16"/>
        <v>44501</v>
      </c>
      <c r="N46" s="2760">
        <f t="shared" si="16"/>
        <v>44470</v>
      </c>
      <c r="O46" s="2760">
        <f t="shared" si="16"/>
        <v>44440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35" t="s">
        <v>2304</v>
      </c>
      <c r="D1" s="3536"/>
      <c r="E1" s="3536"/>
      <c r="F1" s="3536"/>
      <c r="G1" s="3536"/>
      <c r="H1" s="3536"/>
      <c r="I1" s="3536"/>
      <c r="J1" s="3536"/>
      <c r="K1" s="3536"/>
      <c r="L1" s="3536"/>
      <c r="M1" s="3536"/>
      <c r="N1" s="3536"/>
      <c r="O1" s="3536"/>
      <c r="P1" s="3536"/>
      <c r="Q1" s="3536"/>
      <c r="R1" s="3536"/>
      <c r="S1" s="3537"/>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18.75">
      <c r="A6" s="177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2022年9月23日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18.75">
      <c r="A20" s="2524"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44827</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3127</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t="e">
        <f>G10+G12+G15+G23</f>
        <v>#DIV/0!</v>
      </c>
      <c r="H9" s="3202" t="e">
        <f>H10+H12+H15+H23</f>
        <v>#DIV/0!</v>
      </c>
      <c r="I9" s="3204">
        <f>I10+I12+I15+I23</f>
        <v>602</v>
      </c>
      <c r="J9" s="3189" t="s">
        <v>3008</v>
      </c>
    </row>
    <row r="10" spans="1:10" ht="21" customHeight="1">
      <c r="A10" s="2434" t="s">
        <v>2440</v>
      </c>
      <c r="B10" s="3190" t="s">
        <v>3009</v>
      </c>
      <c r="C10" s="749" t="s">
        <v>3058</v>
      </c>
      <c r="D10" s="749" t="s">
        <v>3058</v>
      </c>
      <c r="E10" s="750" t="s">
        <v>3058</v>
      </c>
      <c r="F10" s="750" t="s">
        <v>3058</v>
      </c>
      <c r="G10" s="751" t="e">
        <f>G11</f>
        <v>#DIV/0!</v>
      </c>
      <c r="H10" s="751" t="e">
        <f>H11</f>
        <v>#DIV/0!</v>
      </c>
      <c r="I10" s="3204">
        <f>I11</f>
        <v>225</v>
      </c>
      <c r="J10" s="3193" t="s">
        <v>3059</v>
      </c>
    </row>
    <row r="11" spans="1:10" ht="38.25">
      <c r="A11" s="2441" t="s">
        <v>3010</v>
      </c>
      <c r="B11" s="3190" t="s">
        <v>3118</v>
      </c>
      <c r="C11" s="2438">
        <v>15</v>
      </c>
      <c r="D11" s="749" t="s">
        <v>3060</v>
      </c>
      <c r="E11" s="3198" t="e">
        <f>ROUND('数据-汇总表'!D3/666.67,2)</f>
        <v>#DIV/0!</v>
      </c>
      <c r="F11" s="3194" t="s">
        <v>3061</v>
      </c>
      <c r="G11" s="751" t="e">
        <f>C11*E11</f>
        <v>#DIV/0!</v>
      </c>
      <c r="H11" s="751" t="e">
        <f>ROUND(G11/'数据-汇总表'!D3*10000,2)</f>
        <v>#DIV/0!</v>
      </c>
      <c r="I11" s="3204">
        <f>ROUND(C11*10000/666.67,0)</f>
        <v>225</v>
      </c>
      <c r="J11" s="3193" t="s">
        <v>3062</v>
      </c>
    </row>
    <row r="12" spans="1:10">
      <c r="A12" s="2434" t="s">
        <v>2441</v>
      </c>
      <c r="B12" s="3190" t="s">
        <v>3014</v>
      </c>
      <c r="C12" s="749" t="s">
        <v>3058</v>
      </c>
      <c r="D12" s="749" t="s">
        <v>3058</v>
      </c>
      <c r="E12" s="749" t="s">
        <v>3058</v>
      </c>
      <c r="F12" s="750" t="s">
        <v>3058</v>
      </c>
      <c r="G12" s="751">
        <f>G13+G14</f>
        <v>0</v>
      </c>
      <c r="H12" s="751" t="e">
        <f>H13+H14</f>
        <v>#DIV/0!</v>
      </c>
      <c r="I12" s="3204"/>
      <c r="J12" s="3193" t="s">
        <v>3067</v>
      </c>
    </row>
    <row r="13" spans="1:10" ht="38.25">
      <c r="A13" s="2441" t="s">
        <v>3010</v>
      </c>
      <c r="B13" s="3190" t="s">
        <v>3016</v>
      </c>
      <c r="C13" s="2438">
        <v>1500</v>
      </c>
      <c r="D13" s="749" t="s">
        <v>3068</v>
      </c>
      <c r="E13" s="3211">
        <v>0</v>
      </c>
      <c r="F13" s="3195" t="s">
        <v>3061</v>
      </c>
      <c r="G13" s="751">
        <f>C13*E13/10000</f>
        <v>0</v>
      </c>
      <c r="H13" s="751" t="e">
        <f>ROUND(G13*10000/'数据-汇总表'!D3,2)</f>
        <v>#DIV/0!</v>
      </c>
      <c r="I13" s="3204"/>
      <c r="J13" s="3193" t="s">
        <v>3069</v>
      </c>
    </row>
    <row r="14" spans="1:10" ht="36">
      <c r="A14" s="2441" t="s">
        <v>3022</v>
      </c>
      <c r="B14" s="3190" t="s">
        <v>3119</v>
      </c>
      <c r="C14" s="2438">
        <v>2000</v>
      </c>
      <c r="D14" s="749" t="s">
        <v>3068</v>
      </c>
      <c r="E14" s="3210">
        <v>0</v>
      </c>
      <c r="F14" s="3195" t="s">
        <v>3061</v>
      </c>
      <c r="G14" s="751">
        <f>C14*E14/10000</f>
        <v>0</v>
      </c>
      <c r="H14" s="751" t="e">
        <f>ROUND(G14*10000/'数据-汇总表'!D3,2)</f>
        <v>#DIV/0!</v>
      </c>
      <c r="I14" s="3204"/>
      <c r="J14" s="3209" t="s">
        <v>3120</v>
      </c>
    </row>
    <row r="15" spans="1:10">
      <c r="A15" s="2441" t="s">
        <v>3019</v>
      </c>
      <c r="B15" s="3190" t="s">
        <v>3020</v>
      </c>
      <c r="C15" s="749" t="s">
        <v>3058</v>
      </c>
      <c r="D15" s="749" t="s">
        <v>3058</v>
      </c>
      <c r="E15" s="749" t="s">
        <v>3058</v>
      </c>
      <c r="F15" s="3191" t="s">
        <v>3058</v>
      </c>
      <c r="G15" s="751">
        <f>G16+G17+G18+G19+G20+G21+G22</f>
        <v>0</v>
      </c>
      <c r="H15" s="751" t="e">
        <f>H16+H17+H18+H19+H20+H21+H22</f>
        <v>#DIV/0!</v>
      </c>
      <c r="I15" s="3204">
        <v>350</v>
      </c>
      <c r="J15" s="3193" t="s">
        <v>3079</v>
      </c>
    </row>
    <row r="16" spans="1:10" ht="37.5">
      <c r="A16" s="2441" t="s">
        <v>3010</v>
      </c>
      <c r="B16" s="3190" t="s">
        <v>3023</v>
      </c>
      <c r="C16" s="2438">
        <v>1300</v>
      </c>
      <c r="D16" s="749" t="s">
        <v>3080</v>
      </c>
      <c r="E16" s="3210">
        <v>0</v>
      </c>
      <c r="F16" s="3195" t="s">
        <v>3081</v>
      </c>
      <c r="G16" s="751">
        <f>C16*E16/10000</f>
        <v>0</v>
      </c>
      <c r="H16" s="751" t="e">
        <f>ROUND(G16*10000/'数据-汇总表'!D3,2)</f>
        <v>#DIV/0!</v>
      </c>
      <c r="I16" s="3204"/>
      <c r="J16" s="3193" t="s">
        <v>3121</v>
      </c>
    </row>
    <row r="17" spans="1:10" ht="25.5">
      <c r="A17" s="2441" t="s">
        <v>3022</v>
      </c>
      <c r="B17" s="3190" t="s">
        <v>3025</v>
      </c>
      <c r="C17" s="2438">
        <v>25</v>
      </c>
      <c r="D17" s="749" t="s">
        <v>3083</v>
      </c>
      <c r="E17" s="3210">
        <v>0</v>
      </c>
      <c r="F17" s="3195" t="s">
        <v>3084</v>
      </c>
      <c r="G17" s="751">
        <f>C17*E17</f>
        <v>0</v>
      </c>
      <c r="H17" s="751" t="e">
        <f>ROUND(G17*10000/'数据-汇总表'!D3,2)</f>
        <v>#DIV/0!</v>
      </c>
      <c r="I17" s="3204"/>
      <c r="J17" s="3193" t="s">
        <v>3122</v>
      </c>
    </row>
    <row r="18" spans="1:10" ht="49.5">
      <c r="A18" s="2441" t="s">
        <v>3015</v>
      </c>
      <c r="B18" s="3190" t="s">
        <v>3026</v>
      </c>
      <c r="C18" s="2438">
        <v>400</v>
      </c>
      <c r="D18" s="749" t="s">
        <v>3080</v>
      </c>
      <c r="E18" s="3210">
        <v>0</v>
      </c>
      <c r="F18" s="3195" t="s">
        <v>3081</v>
      </c>
      <c r="G18" s="751">
        <f>C18*E18/10000</f>
        <v>0</v>
      </c>
      <c r="H18" s="751" t="e">
        <f>ROUND(G18*10000/'数据-汇总表'!D3,2)</f>
        <v>#DIV/0!</v>
      </c>
      <c r="I18" s="3204"/>
      <c r="J18" s="3193" t="s">
        <v>3088</v>
      </c>
    </row>
    <row r="19" spans="1:10" ht="63">
      <c r="A19" s="2441" t="s">
        <v>3075</v>
      </c>
      <c r="B19" s="3190" t="s">
        <v>3027</v>
      </c>
      <c r="C19" s="2438">
        <v>35</v>
      </c>
      <c r="D19" s="749" t="s">
        <v>3089</v>
      </c>
      <c r="E19" s="3210">
        <v>0</v>
      </c>
      <c r="F19" s="3195" t="s">
        <v>3090</v>
      </c>
      <c r="G19" s="751">
        <f>C19*E19/10000</f>
        <v>0</v>
      </c>
      <c r="H19" s="751" t="e">
        <f>ROUND(G19*10000/'数据-汇总表'!D3,2)</f>
        <v>#DIV/0!</v>
      </c>
      <c r="I19" s="3204"/>
      <c r="J19" s="3193" t="s">
        <v>3091</v>
      </c>
    </row>
    <row r="20" spans="1:10" ht="37.5">
      <c r="A20" s="2441" t="s">
        <v>3076</v>
      </c>
      <c r="B20" s="3190" t="s">
        <v>3028</v>
      </c>
      <c r="C20" s="2438">
        <v>1300</v>
      </c>
      <c r="D20" s="749" t="s">
        <v>3080</v>
      </c>
      <c r="E20" s="3210">
        <v>0</v>
      </c>
      <c r="F20" s="3195" t="s">
        <v>3081</v>
      </c>
      <c r="G20" s="751">
        <f>C20*E20/10000</f>
        <v>0</v>
      </c>
      <c r="H20" s="751" t="e">
        <f>ROUND(G20*10000/'数据-汇总表'!D3,2)</f>
        <v>#DIV/0!</v>
      </c>
      <c r="I20" s="3204"/>
      <c r="J20" s="3193" t="s">
        <v>3123</v>
      </c>
    </row>
    <row r="21" spans="1:10" ht="38.25">
      <c r="A21" s="2441" t="s">
        <v>3077</v>
      </c>
      <c r="B21" s="3190" t="s">
        <v>3029</v>
      </c>
      <c r="C21" s="2438">
        <v>1495</v>
      </c>
      <c r="D21" s="749" t="s">
        <v>3080</v>
      </c>
      <c r="E21" s="2438"/>
      <c r="F21" s="3195" t="s">
        <v>3081</v>
      </c>
      <c r="G21" s="751">
        <f>ROUND(C21*E21/10000,2)</f>
        <v>0</v>
      </c>
      <c r="H21" s="751" t="e">
        <f>ROUND(G21*10000/'数据-汇总表'!D3,2)</f>
        <v>#DIV/0!</v>
      </c>
      <c r="I21" s="3204"/>
      <c r="J21" s="3193" t="s">
        <v>3124</v>
      </c>
    </row>
    <row r="22" spans="1:10" ht="63">
      <c r="A22" s="2441" t="s">
        <v>3078</v>
      </c>
      <c r="B22" s="3190" t="s">
        <v>3034</v>
      </c>
      <c r="C22" s="3198">
        <v>1.7</v>
      </c>
      <c r="D22" s="749" t="s">
        <v>3089</v>
      </c>
      <c r="E22" s="3210">
        <v>0</v>
      </c>
      <c r="F22" s="3195" t="s">
        <v>3090</v>
      </c>
      <c r="G22" s="751">
        <f>C22*E22/10000</f>
        <v>0</v>
      </c>
      <c r="H22" s="751" t="e">
        <f>ROUND(G22*10000/'数据-汇总表'!D3,2)</f>
        <v>#DIV/0!</v>
      </c>
      <c r="I22" s="3204"/>
      <c r="J22" s="3193" t="s">
        <v>3098</v>
      </c>
    </row>
    <row r="23" spans="1:10">
      <c r="A23" s="2441" t="s">
        <v>3030</v>
      </c>
      <c r="B23" s="3190" t="s">
        <v>3031</v>
      </c>
      <c r="C23" s="749" t="s">
        <v>3058</v>
      </c>
      <c r="D23" s="749" t="s">
        <v>3058</v>
      </c>
      <c r="E23" s="749" t="s">
        <v>3058</v>
      </c>
      <c r="F23" s="3191" t="s">
        <v>3058</v>
      </c>
      <c r="G23" s="751">
        <f>G24+G25</f>
        <v>0</v>
      </c>
      <c r="H23" s="751" t="e">
        <f>H24+H25</f>
        <v>#DIV/0!</v>
      </c>
      <c r="I23" s="3204">
        <v>27</v>
      </c>
      <c r="J23" s="3193" t="s">
        <v>3095</v>
      </c>
    </row>
    <row r="24" spans="1:10" ht="62.25">
      <c r="A24" s="2441" t="s">
        <v>3010</v>
      </c>
      <c r="B24" s="3190" t="s">
        <v>3032</v>
      </c>
      <c r="C24" s="3198">
        <v>4.8</v>
      </c>
      <c r="D24" s="749" t="s">
        <v>3089</v>
      </c>
      <c r="E24" s="3210">
        <v>0</v>
      </c>
      <c r="F24" s="3195" t="s">
        <v>3090</v>
      </c>
      <c r="G24" s="751">
        <f>C24*E24/10000</f>
        <v>0</v>
      </c>
      <c r="H24" s="751" t="e">
        <f>ROUND(G24*10000/'数据-汇总表'!D3,2)</f>
        <v>#DIV/0!</v>
      </c>
      <c r="I24" s="3204"/>
      <c r="J24" s="3193" t="s">
        <v>3096</v>
      </c>
    </row>
    <row r="25" spans="1:10" ht="50.25">
      <c r="A25" s="2441" t="s">
        <v>3022</v>
      </c>
      <c r="B25" s="3190" t="s">
        <v>3033</v>
      </c>
      <c r="C25" s="3198">
        <v>1.6</v>
      </c>
      <c r="D25" s="749" t="s">
        <v>3089</v>
      </c>
      <c r="E25" s="3210">
        <v>0</v>
      </c>
      <c r="F25" s="3195" t="s">
        <v>3090</v>
      </c>
      <c r="G25" s="751">
        <f>C25*E25/10000</f>
        <v>0</v>
      </c>
      <c r="H25" s="751" t="e">
        <f>ROUND(G25*10000/'数据-汇总表'!D3,2)</f>
        <v>#DIV/0!</v>
      </c>
      <c r="I25" s="3204"/>
      <c r="J25" s="3193" t="s">
        <v>3097</v>
      </c>
    </row>
    <row r="26" spans="1:10">
      <c r="A26" s="2434" t="s">
        <v>3035</v>
      </c>
      <c r="B26" s="3192" t="s">
        <v>3037</v>
      </c>
      <c r="C26" s="749" t="s">
        <v>3058</v>
      </c>
      <c r="D26" s="749" t="s">
        <v>3058</v>
      </c>
      <c r="E26" s="749" t="s">
        <v>3058</v>
      </c>
      <c r="F26" s="3191" t="s">
        <v>3058</v>
      </c>
      <c r="G26" s="751" t="e">
        <f>G27+G28+G29+G30</f>
        <v>#DIV/0!</v>
      </c>
      <c r="H26" s="751" t="e">
        <f>H27+H28+H29+H30</f>
        <v>#DIV/0!</v>
      </c>
      <c r="I26" s="3204">
        <v>39.200000000000003</v>
      </c>
      <c r="J26" s="3193" t="s">
        <v>3099</v>
      </c>
    </row>
    <row r="27" spans="1:10" ht="38.25">
      <c r="A27" s="2434" t="s">
        <v>2440</v>
      </c>
      <c r="B27" s="3190" t="s">
        <v>3038</v>
      </c>
      <c r="C27" s="3218">
        <v>40</v>
      </c>
      <c r="D27" s="749" t="s">
        <v>3080</v>
      </c>
      <c r="E27" s="3213" t="e">
        <f>'数据-汇总表'!D3</f>
        <v>#DIV/0!</v>
      </c>
      <c r="F27" s="3199" t="s">
        <v>3061</v>
      </c>
      <c r="G27" s="751" t="e">
        <f>ROUND(C27*E27/10000,2)</f>
        <v>#DIV/0!</v>
      </c>
      <c r="H27" s="751" t="e">
        <f>ROUND(G27*10000/'数据-汇总表'!D3,2)</f>
        <v>#DIV/0!</v>
      </c>
      <c r="I27" s="3204"/>
      <c r="J27" s="3193" t="s">
        <v>3100</v>
      </c>
    </row>
    <row r="28" spans="1:10" ht="51">
      <c r="A28" s="2434" t="s">
        <v>2441</v>
      </c>
      <c r="B28" s="3190" t="s">
        <v>3039</v>
      </c>
      <c r="C28" s="2438">
        <v>20</v>
      </c>
      <c r="D28" s="749" t="s">
        <v>3080</v>
      </c>
      <c r="E28" s="3213" t="e">
        <f>'数据-汇总表'!D3</f>
        <v>#DIV/0!</v>
      </c>
      <c r="F28" s="3199" t="s">
        <v>3061</v>
      </c>
      <c r="G28" s="751" t="e">
        <f t="shared" ref="G28:G30" si="0">ROUND(C28*E28/10000,2)</f>
        <v>#DIV/0!</v>
      </c>
      <c r="H28" s="751" t="e">
        <f>ROUND(G28*10000/'数据-汇总表'!D3,2)</f>
        <v>#DIV/0!</v>
      </c>
      <c r="I28" s="3204"/>
      <c r="J28" s="3193" t="s">
        <v>3101</v>
      </c>
    </row>
    <row r="29" spans="1:10" ht="63">
      <c r="A29" s="2441" t="s">
        <v>3019</v>
      </c>
      <c r="B29" s="3190" t="s">
        <v>3040</v>
      </c>
      <c r="C29" s="2438">
        <v>12</v>
      </c>
      <c r="D29" s="749" t="s">
        <v>3060</v>
      </c>
      <c r="E29" s="3213" t="e">
        <f>E11</f>
        <v>#DIV/0!</v>
      </c>
      <c r="F29" s="3199" t="s">
        <v>3061</v>
      </c>
      <c r="G29" s="751" t="e">
        <f t="shared" si="0"/>
        <v>#DIV/0!</v>
      </c>
      <c r="H29" s="751" t="e">
        <f>ROUND(G29*10000/'数据-汇总表'!D3,2)</f>
        <v>#DIV/0!</v>
      </c>
      <c r="I29" s="3204"/>
      <c r="J29" s="3193" t="s">
        <v>3103</v>
      </c>
    </row>
    <row r="30" spans="1:10" ht="50.25">
      <c r="A30" s="2441" t="s">
        <v>3030</v>
      </c>
      <c r="B30" s="3190" t="s">
        <v>3041</v>
      </c>
      <c r="C30" s="2438">
        <v>15</v>
      </c>
      <c r="D30" s="749" t="s">
        <v>3080</v>
      </c>
      <c r="E30" s="3213" t="e">
        <f>E27</f>
        <v>#DIV/0!</v>
      </c>
      <c r="F30" s="3199" t="s">
        <v>3061</v>
      </c>
      <c r="G30" s="751" t="e">
        <f t="shared" si="0"/>
        <v>#DIV/0!</v>
      </c>
      <c r="H30" s="751" t="e">
        <f>ROUND(G30*10000/'数据-汇总表'!D3,2)</f>
        <v>#DIV/0!</v>
      </c>
      <c r="I30" s="3204"/>
      <c r="J30" s="3193" t="s">
        <v>3104</v>
      </c>
    </row>
    <row r="31" spans="1:10" ht="24.75">
      <c r="A31" s="2434" t="s">
        <v>3043</v>
      </c>
      <c r="B31" s="3192" t="s">
        <v>3042</v>
      </c>
      <c r="C31" s="749" t="s">
        <v>3058</v>
      </c>
      <c r="D31" s="749" t="s">
        <v>3058</v>
      </c>
      <c r="E31" s="749" t="s">
        <v>3058</v>
      </c>
      <c r="F31" s="3191" t="s">
        <v>3058</v>
      </c>
      <c r="G31" s="751" t="e">
        <f>ROUND(H31*'数据-汇总表'!D3/10000,2)</f>
        <v>#DIV/0!</v>
      </c>
      <c r="H31" s="751">
        <v>100</v>
      </c>
      <c r="I31" s="3204">
        <v>100</v>
      </c>
      <c r="J31" s="3193" t="s">
        <v>3105</v>
      </c>
    </row>
    <row r="32" spans="1:10" ht="37.5">
      <c r="A32" s="2434" t="s">
        <v>3044</v>
      </c>
      <c r="B32" s="3192" t="s">
        <v>3045</v>
      </c>
      <c r="C32" s="3200">
        <v>4.3499999999999997E-2</v>
      </c>
      <c r="D32" s="749" t="s">
        <v>3058</v>
      </c>
      <c r="E32" s="2438">
        <v>1</v>
      </c>
      <c r="F32" s="3195" t="s">
        <v>3106</v>
      </c>
      <c r="G32" s="751" t="e">
        <f>ROUND((G9+G26)*E32*C32+G31*(E32/2)*C32,2)</f>
        <v>#DIV/0!</v>
      </c>
      <c r="H32" s="751" t="e">
        <f>ROUND((H9+H26)*E32*C32+H31*(E32/2)*C32,2)</f>
        <v>#DIV/0!</v>
      </c>
      <c r="I32" s="3203">
        <f>ROUND((I9+I26)*E32*C32+I31*(E32/2)*C32,2)</f>
        <v>30.07</v>
      </c>
      <c r="J32" s="3193" t="s">
        <v>3107</v>
      </c>
    </row>
    <row r="33" spans="1:10" ht="25.5">
      <c r="A33" s="2434" t="s">
        <v>3046</v>
      </c>
      <c r="B33" s="3192" t="s">
        <v>3047</v>
      </c>
      <c r="C33" s="3200">
        <v>0.15</v>
      </c>
      <c r="D33" s="749" t="s">
        <v>3058</v>
      </c>
      <c r="E33" s="749" t="s">
        <v>3058</v>
      </c>
      <c r="F33" s="3191" t="s">
        <v>3058</v>
      </c>
      <c r="G33" s="751" t="e">
        <f>ROUND((G9+G26+G31)*8%,2)</f>
        <v>#DIV/0!</v>
      </c>
      <c r="H33" s="751" t="e">
        <f>ROUND((H9+H26+H31)*8%,2)</f>
        <v>#DIV/0!</v>
      </c>
      <c r="I33" s="3204">
        <f>ROUND((I9+I26+I31)*C33,2)</f>
        <v>111.18</v>
      </c>
      <c r="J33" s="3193" t="s">
        <v>3108</v>
      </c>
    </row>
    <row r="34" spans="1:10" ht="25.5">
      <c r="A34" s="2434" t="s">
        <v>3048</v>
      </c>
      <c r="B34" s="3192" t="s">
        <v>3049</v>
      </c>
      <c r="C34" s="749" t="s">
        <v>3058</v>
      </c>
      <c r="D34" s="749" t="s">
        <v>3058</v>
      </c>
      <c r="E34" s="749" t="s">
        <v>3058</v>
      </c>
      <c r="F34" s="3191" t="s">
        <v>3058</v>
      </c>
      <c r="G34" s="751" t="e">
        <f>ROUND(G9+G26+G31+G32+G33,2)</f>
        <v>#DIV/0!</v>
      </c>
      <c r="H34" s="751" t="e">
        <f>ROUND(H9+H26+H31+H32+H33,2)</f>
        <v>#DIV/0!</v>
      </c>
      <c r="I34" s="3204">
        <f>ROUND(I9+I26+I31+I32+I33,2)</f>
        <v>882.45</v>
      </c>
      <c r="J34" s="3193" t="s">
        <v>3110</v>
      </c>
    </row>
    <row r="35" spans="1:10" ht="37.5">
      <c r="A35" s="2434" t="s">
        <v>3050</v>
      </c>
      <c r="B35" s="3192" t="s">
        <v>3051</v>
      </c>
      <c r="C35" s="3212">
        <v>0.4</v>
      </c>
      <c r="D35" s="749" t="s">
        <v>3058</v>
      </c>
      <c r="E35" s="749" t="s">
        <v>3058</v>
      </c>
      <c r="F35" s="3191" t="s">
        <v>3058</v>
      </c>
      <c r="G35" s="751" t="e">
        <f>ROUND(G34*C35,2)</f>
        <v>#DIV/0!</v>
      </c>
      <c r="H35" s="751" t="e">
        <f>ROUND(H34*C35,2)</f>
        <v>#DIV/0!</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t="e">
        <f>ROUND((G34+G35)*C36*C37,0)</f>
        <v>#DIV/0!</v>
      </c>
      <c r="H38" s="751" t="e">
        <f>ROUND((H34+H35)*C36*C37,0)</f>
        <v>#DIV/0!</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3127</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t="e">
        <f>G10+G12+G15+G23</f>
        <v>#DIV/0!</v>
      </c>
      <c r="H9" s="3202" t="e">
        <f>H10+H12+H15+H23</f>
        <v>#DIV/0!</v>
      </c>
      <c r="I9" s="3204">
        <f>I10+I12+I15+I23</f>
        <v>602</v>
      </c>
      <c r="J9" s="3189" t="s">
        <v>3008</v>
      </c>
    </row>
    <row r="10" spans="1:10" ht="21" customHeight="1">
      <c r="A10" s="2434" t="s">
        <v>2440</v>
      </c>
      <c r="B10" s="3190" t="s">
        <v>3009</v>
      </c>
      <c r="C10" s="749" t="s">
        <v>3058</v>
      </c>
      <c r="D10" s="749" t="s">
        <v>3058</v>
      </c>
      <c r="E10" s="750" t="s">
        <v>3058</v>
      </c>
      <c r="F10" s="750" t="s">
        <v>3058</v>
      </c>
      <c r="G10" s="751" t="e">
        <f>G11</f>
        <v>#DIV/0!</v>
      </c>
      <c r="H10" s="751" t="e">
        <f>H11</f>
        <v>#DIV/0!</v>
      </c>
      <c r="I10" s="3204">
        <f>I11</f>
        <v>225</v>
      </c>
      <c r="J10" s="3193" t="s">
        <v>3059</v>
      </c>
    </row>
    <row r="11" spans="1:10" ht="38.25">
      <c r="A11" s="2441" t="s">
        <v>3010</v>
      </c>
      <c r="B11" s="3190" t="s">
        <v>3118</v>
      </c>
      <c r="C11" s="2438">
        <v>15</v>
      </c>
      <c r="D11" s="749" t="s">
        <v>3060</v>
      </c>
      <c r="E11" s="3198" t="e">
        <f>ROUND('数据-汇总表'!D3/666.67,2)</f>
        <v>#DIV/0!</v>
      </c>
      <c r="F11" s="3194" t="s">
        <v>3061</v>
      </c>
      <c r="G11" s="751" t="e">
        <f>C11*E11</f>
        <v>#DIV/0!</v>
      </c>
      <c r="H11" s="751" t="e">
        <f>ROUND(G11/'数据-汇总表'!D3*10000,2)</f>
        <v>#DIV/0!</v>
      </c>
      <c r="I11" s="3204">
        <f>ROUND(C11*10000/666.67,0)</f>
        <v>225</v>
      </c>
      <c r="J11" s="3193" t="s">
        <v>3062</v>
      </c>
    </row>
    <row r="12" spans="1:10">
      <c r="A12" s="2434" t="s">
        <v>2441</v>
      </c>
      <c r="B12" s="3190" t="s">
        <v>3014</v>
      </c>
      <c r="C12" s="749" t="s">
        <v>3058</v>
      </c>
      <c r="D12" s="749" t="s">
        <v>3058</v>
      </c>
      <c r="E12" s="749" t="s">
        <v>3058</v>
      </c>
      <c r="F12" s="750" t="s">
        <v>3058</v>
      </c>
      <c r="G12" s="751">
        <f>G13+G14</f>
        <v>0</v>
      </c>
      <c r="H12" s="751" t="e">
        <f>H13+H14</f>
        <v>#DIV/0!</v>
      </c>
      <c r="I12" s="3204"/>
      <c r="J12" s="3193" t="s">
        <v>3067</v>
      </c>
    </row>
    <row r="13" spans="1:10" ht="38.25">
      <c r="A13" s="2441" t="s">
        <v>3010</v>
      </c>
      <c r="B13" s="3190" t="s">
        <v>3016</v>
      </c>
      <c r="C13" s="2438">
        <v>1500</v>
      </c>
      <c r="D13" s="749" t="s">
        <v>3068</v>
      </c>
      <c r="E13" s="3211">
        <v>0</v>
      </c>
      <c r="F13" s="3195" t="s">
        <v>3061</v>
      </c>
      <c r="G13" s="751">
        <f>C13*E13/10000</f>
        <v>0</v>
      </c>
      <c r="H13" s="751" t="e">
        <f>ROUND(G13*10000/'数据-汇总表'!D3,2)</f>
        <v>#DIV/0!</v>
      </c>
      <c r="I13" s="3204"/>
      <c r="J13" s="3193" t="s">
        <v>3069</v>
      </c>
    </row>
    <row r="14" spans="1:10" ht="36">
      <c r="A14" s="2441" t="s">
        <v>3022</v>
      </c>
      <c r="B14" s="3190" t="s">
        <v>3119</v>
      </c>
      <c r="C14" s="2438">
        <v>2000</v>
      </c>
      <c r="D14" s="749" t="s">
        <v>3068</v>
      </c>
      <c r="E14" s="3210">
        <v>0</v>
      </c>
      <c r="F14" s="3195" t="s">
        <v>3061</v>
      </c>
      <c r="G14" s="751">
        <f>C14*E14/10000</f>
        <v>0</v>
      </c>
      <c r="H14" s="751" t="e">
        <f>ROUND(G14*10000/'数据-汇总表'!D3,2)</f>
        <v>#DIV/0!</v>
      </c>
      <c r="I14" s="3204"/>
      <c r="J14" s="3209" t="s">
        <v>3120</v>
      </c>
    </row>
    <row r="15" spans="1:10">
      <c r="A15" s="2441" t="s">
        <v>3019</v>
      </c>
      <c r="B15" s="3190" t="s">
        <v>3020</v>
      </c>
      <c r="C15" s="749" t="s">
        <v>3058</v>
      </c>
      <c r="D15" s="749" t="s">
        <v>3058</v>
      </c>
      <c r="E15" s="749" t="s">
        <v>3058</v>
      </c>
      <c r="F15" s="3191" t="s">
        <v>3058</v>
      </c>
      <c r="G15" s="751">
        <f>G16+G17+G18+G19+G20+G21+G22</f>
        <v>0</v>
      </c>
      <c r="H15" s="751" t="e">
        <f>H16+H17+H18+H19+H20+H21+H22</f>
        <v>#DIV/0!</v>
      </c>
      <c r="I15" s="3204">
        <v>350</v>
      </c>
      <c r="J15" s="3193" t="s">
        <v>3079</v>
      </c>
    </row>
    <row r="16" spans="1:10" ht="37.5">
      <c r="A16" s="2441" t="s">
        <v>3010</v>
      </c>
      <c r="B16" s="3190" t="s">
        <v>3023</v>
      </c>
      <c r="C16" s="2438">
        <v>1300</v>
      </c>
      <c r="D16" s="749" t="s">
        <v>3080</v>
      </c>
      <c r="E16" s="3210">
        <v>0</v>
      </c>
      <c r="F16" s="3195" t="s">
        <v>3081</v>
      </c>
      <c r="G16" s="751">
        <f>C16*E16/10000</f>
        <v>0</v>
      </c>
      <c r="H16" s="751" t="e">
        <f>ROUND(G16*10000/'数据-汇总表'!D3,2)</f>
        <v>#DIV/0!</v>
      </c>
      <c r="I16" s="3204"/>
      <c r="J16" s="3193" t="s">
        <v>3121</v>
      </c>
    </row>
    <row r="17" spans="1:10" ht="25.5">
      <c r="A17" s="2441" t="s">
        <v>3022</v>
      </c>
      <c r="B17" s="3190" t="s">
        <v>3025</v>
      </c>
      <c r="C17" s="2438">
        <v>25</v>
      </c>
      <c r="D17" s="749" t="s">
        <v>3083</v>
      </c>
      <c r="E17" s="3210">
        <v>0</v>
      </c>
      <c r="F17" s="3195" t="s">
        <v>3084</v>
      </c>
      <c r="G17" s="751">
        <f>C17*E17</f>
        <v>0</v>
      </c>
      <c r="H17" s="751" t="e">
        <f>ROUND(G17*10000/'数据-汇总表'!D3,2)</f>
        <v>#DIV/0!</v>
      </c>
      <c r="I17" s="3204"/>
      <c r="J17" s="3193" t="s">
        <v>3122</v>
      </c>
    </row>
    <row r="18" spans="1:10" ht="49.5">
      <c r="A18" s="2441" t="s">
        <v>3015</v>
      </c>
      <c r="B18" s="3190" t="s">
        <v>3026</v>
      </c>
      <c r="C18" s="2438">
        <v>400</v>
      </c>
      <c r="D18" s="749" t="s">
        <v>3080</v>
      </c>
      <c r="E18" s="3210">
        <v>0</v>
      </c>
      <c r="F18" s="3195" t="s">
        <v>3081</v>
      </c>
      <c r="G18" s="751">
        <f>C18*E18/10000</f>
        <v>0</v>
      </c>
      <c r="H18" s="751" t="e">
        <f>ROUND(G18*10000/'数据-汇总表'!D3,2)</f>
        <v>#DIV/0!</v>
      </c>
      <c r="I18" s="3204"/>
      <c r="J18" s="3193" t="s">
        <v>3088</v>
      </c>
    </row>
    <row r="19" spans="1:10" ht="63">
      <c r="A19" s="2441" t="s">
        <v>3075</v>
      </c>
      <c r="B19" s="3190" t="s">
        <v>3027</v>
      </c>
      <c r="C19" s="2438">
        <v>35</v>
      </c>
      <c r="D19" s="749" t="s">
        <v>3089</v>
      </c>
      <c r="E19" s="3210">
        <v>0</v>
      </c>
      <c r="F19" s="3195" t="s">
        <v>3090</v>
      </c>
      <c r="G19" s="751">
        <f>C19*E19/10000</f>
        <v>0</v>
      </c>
      <c r="H19" s="751" t="e">
        <f>ROUND(G19*10000/'数据-汇总表'!D3,2)</f>
        <v>#DIV/0!</v>
      </c>
      <c r="I19" s="3204"/>
      <c r="J19" s="3193" t="s">
        <v>3091</v>
      </c>
    </row>
    <row r="20" spans="1:10" ht="37.5">
      <c r="A20" s="2441" t="s">
        <v>3076</v>
      </c>
      <c r="B20" s="3190" t="s">
        <v>3028</v>
      </c>
      <c r="C20" s="2438">
        <v>1300</v>
      </c>
      <c r="D20" s="749" t="s">
        <v>3080</v>
      </c>
      <c r="E20" s="3210">
        <v>0</v>
      </c>
      <c r="F20" s="3195" t="s">
        <v>3081</v>
      </c>
      <c r="G20" s="751">
        <f>C20*E20/10000</f>
        <v>0</v>
      </c>
      <c r="H20" s="751" t="e">
        <f>ROUND(G20*10000/'数据-汇总表'!D3,2)</f>
        <v>#DIV/0!</v>
      </c>
      <c r="I20" s="3204"/>
      <c r="J20" s="3193" t="s">
        <v>3123</v>
      </c>
    </row>
    <row r="21" spans="1:10" ht="38.25">
      <c r="A21" s="2441" t="s">
        <v>3077</v>
      </c>
      <c r="B21" s="3190" t="s">
        <v>3029</v>
      </c>
      <c r="C21" s="2438">
        <v>1495</v>
      </c>
      <c r="D21" s="749" t="s">
        <v>3080</v>
      </c>
      <c r="E21" s="2438"/>
      <c r="F21" s="3195" t="s">
        <v>3081</v>
      </c>
      <c r="G21" s="751">
        <f>ROUND(C21*E21/10000,2)</f>
        <v>0</v>
      </c>
      <c r="H21" s="751" t="e">
        <f>ROUND(G21*10000/'数据-汇总表'!D3,2)</f>
        <v>#DIV/0!</v>
      </c>
      <c r="I21" s="3204"/>
      <c r="J21" s="3193" t="s">
        <v>3124</v>
      </c>
    </row>
    <row r="22" spans="1:10" ht="63">
      <c r="A22" s="2441" t="s">
        <v>3078</v>
      </c>
      <c r="B22" s="3190" t="s">
        <v>3034</v>
      </c>
      <c r="C22" s="3198">
        <v>1.7</v>
      </c>
      <c r="D22" s="749" t="s">
        <v>3089</v>
      </c>
      <c r="E22" s="3210">
        <v>0</v>
      </c>
      <c r="F22" s="3195" t="s">
        <v>3090</v>
      </c>
      <c r="G22" s="751">
        <f>C22*E22/10000</f>
        <v>0</v>
      </c>
      <c r="H22" s="751" t="e">
        <f>ROUND(G22*10000/'数据-汇总表'!D3,2)</f>
        <v>#DIV/0!</v>
      </c>
      <c r="I22" s="3204"/>
      <c r="J22" s="3193" t="s">
        <v>3098</v>
      </c>
    </row>
    <row r="23" spans="1:10">
      <c r="A23" s="2441" t="s">
        <v>3030</v>
      </c>
      <c r="B23" s="3190" t="s">
        <v>3031</v>
      </c>
      <c r="C23" s="749" t="s">
        <v>3058</v>
      </c>
      <c r="D23" s="749" t="s">
        <v>3058</v>
      </c>
      <c r="E23" s="749" t="s">
        <v>3058</v>
      </c>
      <c r="F23" s="3191" t="s">
        <v>3058</v>
      </c>
      <c r="G23" s="751">
        <f>G24+G25</f>
        <v>0</v>
      </c>
      <c r="H23" s="751" t="e">
        <f>H24+H25</f>
        <v>#DIV/0!</v>
      </c>
      <c r="I23" s="3204">
        <v>27</v>
      </c>
      <c r="J23" s="3193" t="s">
        <v>3095</v>
      </c>
    </row>
    <row r="24" spans="1:10" ht="62.25">
      <c r="A24" s="2441" t="s">
        <v>3010</v>
      </c>
      <c r="B24" s="3190" t="s">
        <v>3032</v>
      </c>
      <c r="C24" s="3198">
        <v>4.8</v>
      </c>
      <c r="D24" s="749" t="s">
        <v>3089</v>
      </c>
      <c r="E24" s="3210">
        <v>0</v>
      </c>
      <c r="F24" s="3195" t="s">
        <v>3090</v>
      </c>
      <c r="G24" s="751">
        <f>C24*E24/10000</f>
        <v>0</v>
      </c>
      <c r="H24" s="751" t="e">
        <f>ROUND(G24*10000/'数据-汇总表'!D3,2)</f>
        <v>#DIV/0!</v>
      </c>
      <c r="I24" s="3204"/>
      <c r="J24" s="3193" t="s">
        <v>3096</v>
      </c>
    </row>
    <row r="25" spans="1:10" ht="50.25">
      <c r="A25" s="2441" t="s">
        <v>3022</v>
      </c>
      <c r="B25" s="3190" t="s">
        <v>3033</v>
      </c>
      <c r="C25" s="3198">
        <v>1.6</v>
      </c>
      <c r="D25" s="749" t="s">
        <v>3089</v>
      </c>
      <c r="E25" s="3210">
        <v>0</v>
      </c>
      <c r="F25" s="3195" t="s">
        <v>3090</v>
      </c>
      <c r="G25" s="751">
        <f>C25*E25/10000</f>
        <v>0</v>
      </c>
      <c r="H25" s="751" t="e">
        <f>ROUND(G25*10000/'数据-汇总表'!D3,2)</f>
        <v>#DIV/0!</v>
      </c>
      <c r="I25" s="3204"/>
      <c r="J25" s="3193" t="s">
        <v>3097</v>
      </c>
    </row>
    <row r="26" spans="1:10">
      <c r="A26" s="2434" t="s">
        <v>3035</v>
      </c>
      <c r="B26" s="3192" t="s">
        <v>3037</v>
      </c>
      <c r="C26" s="749" t="s">
        <v>3058</v>
      </c>
      <c r="D26" s="749" t="s">
        <v>3058</v>
      </c>
      <c r="E26" s="749" t="s">
        <v>3058</v>
      </c>
      <c r="F26" s="3191" t="s">
        <v>3058</v>
      </c>
      <c r="G26" s="751" t="e">
        <f>G27+G28+G29+G30</f>
        <v>#DIV/0!</v>
      </c>
      <c r="H26" s="751" t="e">
        <f>H27+H28+H29+H30</f>
        <v>#DIV/0!</v>
      </c>
      <c r="I26" s="3204">
        <v>39.200000000000003</v>
      </c>
      <c r="J26" s="3193" t="s">
        <v>3099</v>
      </c>
    </row>
    <row r="27" spans="1:10" ht="38.25">
      <c r="A27" s="2434" t="s">
        <v>2440</v>
      </c>
      <c r="B27" s="3190" t="s">
        <v>3038</v>
      </c>
      <c r="C27" s="3218">
        <v>40</v>
      </c>
      <c r="D27" s="749" t="s">
        <v>3080</v>
      </c>
      <c r="E27" s="3213" t="e">
        <f>'数据-汇总表'!D3</f>
        <v>#DIV/0!</v>
      </c>
      <c r="F27" s="3199" t="s">
        <v>3061</v>
      </c>
      <c r="G27" s="751" t="e">
        <f>ROUND(C27*E27/10000,2)</f>
        <v>#DIV/0!</v>
      </c>
      <c r="H27" s="751" t="e">
        <f>ROUND(G27*10000/'数据-汇总表'!D3,2)</f>
        <v>#DIV/0!</v>
      </c>
      <c r="I27" s="3204"/>
      <c r="J27" s="3193" t="s">
        <v>3100</v>
      </c>
    </row>
    <row r="28" spans="1:10" ht="51">
      <c r="A28" s="2434" t="s">
        <v>2441</v>
      </c>
      <c r="B28" s="3190" t="s">
        <v>3039</v>
      </c>
      <c r="C28" s="2438">
        <v>20</v>
      </c>
      <c r="D28" s="749" t="s">
        <v>3080</v>
      </c>
      <c r="E28" s="3213" t="e">
        <f>'数据-汇总表'!D3</f>
        <v>#DIV/0!</v>
      </c>
      <c r="F28" s="3199" t="s">
        <v>3061</v>
      </c>
      <c r="G28" s="751" t="e">
        <f t="shared" ref="G28:G30" si="0">ROUND(C28*E28/10000,2)</f>
        <v>#DIV/0!</v>
      </c>
      <c r="H28" s="751" t="e">
        <f>ROUND(G28*10000/'数据-汇总表'!D3,2)</f>
        <v>#DIV/0!</v>
      </c>
      <c r="I28" s="3204"/>
      <c r="J28" s="3193" t="s">
        <v>3101</v>
      </c>
    </row>
    <row r="29" spans="1:10" ht="63">
      <c r="A29" s="2441" t="s">
        <v>3019</v>
      </c>
      <c r="B29" s="3190" t="s">
        <v>3040</v>
      </c>
      <c r="C29" s="2438">
        <v>12</v>
      </c>
      <c r="D29" s="749" t="s">
        <v>3060</v>
      </c>
      <c r="E29" s="3213" t="e">
        <f>E11</f>
        <v>#DIV/0!</v>
      </c>
      <c r="F29" s="3199" t="s">
        <v>3061</v>
      </c>
      <c r="G29" s="751" t="e">
        <f t="shared" si="0"/>
        <v>#DIV/0!</v>
      </c>
      <c r="H29" s="751" t="e">
        <f>ROUND(G29*10000/'数据-汇总表'!D3,2)</f>
        <v>#DIV/0!</v>
      </c>
      <c r="I29" s="3204"/>
      <c r="J29" s="3193" t="s">
        <v>3103</v>
      </c>
    </row>
    <row r="30" spans="1:10" ht="50.25">
      <c r="A30" s="2441" t="s">
        <v>3030</v>
      </c>
      <c r="B30" s="3190" t="s">
        <v>3041</v>
      </c>
      <c r="C30" s="2438">
        <v>15</v>
      </c>
      <c r="D30" s="749" t="s">
        <v>3080</v>
      </c>
      <c r="E30" s="3213" t="e">
        <f>E27</f>
        <v>#DIV/0!</v>
      </c>
      <c r="F30" s="3199" t="s">
        <v>3061</v>
      </c>
      <c r="G30" s="751" t="e">
        <f t="shared" si="0"/>
        <v>#DIV/0!</v>
      </c>
      <c r="H30" s="751" t="e">
        <f>ROUND(G30*10000/'数据-汇总表'!D3,2)</f>
        <v>#DIV/0!</v>
      </c>
      <c r="I30" s="3204"/>
      <c r="J30" s="3193" t="s">
        <v>3104</v>
      </c>
    </row>
    <row r="31" spans="1:10" ht="24.75">
      <c r="A31" s="2434" t="s">
        <v>3043</v>
      </c>
      <c r="B31" s="3192" t="s">
        <v>3042</v>
      </c>
      <c r="C31" s="749" t="s">
        <v>3058</v>
      </c>
      <c r="D31" s="749" t="s">
        <v>3058</v>
      </c>
      <c r="E31" s="749" t="s">
        <v>3058</v>
      </c>
      <c r="F31" s="3191" t="s">
        <v>3058</v>
      </c>
      <c r="G31" s="751" t="e">
        <f>ROUND(H31*'数据-汇总表'!D3/10000,2)</f>
        <v>#DIV/0!</v>
      </c>
      <c r="H31" s="751">
        <v>100</v>
      </c>
      <c r="I31" s="3204">
        <v>100</v>
      </c>
      <c r="J31" s="3193" t="s">
        <v>3105</v>
      </c>
    </row>
    <row r="32" spans="1:10" ht="37.5">
      <c r="A32" s="2434" t="s">
        <v>3044</v>
      </c>
      <c r="B32" s="3192" t="s">
        <v>3045</v>
      </c>
      <c r="C32" s="3200">
        <v>4.3499999999999997E-2</v>
      </c>
      <c r="D32" s="749" t="s">
        <v>3058</v>
      </c>
      <c r="E32" s="2438">
        <v>1</v>
      </c>
      <c r="F32" s="3195" t="s">
        <v>3106</v>
      </c>
      <c r="G32" s="751" t="e">
        <f>ROUND((G9+G26)*E32*C32+G31*(E32/2)*C32,2)</f>
        <v>#DIV/0!</v>
      </c>
      <c r="H32" s="751" t="e">
        <f>ROUND((H9+H26)*E32*C32+H31*(E32/2)*C32,2)</f>
        <v>#DIV/0!</v>
      </c>
      <c r="I32" s="3203">
        <f>ROUND((I9+I26)*E32*C32+I31*(E32/2)*C32,2)</f>
        <v>30.07</v>
      </c>
      <c r="J32" s="3193" t="s">
        <v>3107</v>
      </c>
    </row>
    <row r="33" spans="1:10" ht="25.5">
      <c r="A33" s="2434" t="s">
        <v>3046</v>
      </c>
      <c r="B33" s="3192" t="s">
        <v>3047</v>
      </c>
      <c r="C33" s="3200">
        <v>0.15</v>
      </c>
      <c r="D33" s="749" t="s">
        <v>3058</v>
      </c>
      <c r="E33" s="749" t="s">
        <v>3058</v>
      </c>
      <c r="F33" s="3191" t="s">
        <v>3058</v>
      </c>
      <c r="G33" s="751" t="e">
        <f>ROUND((G9+G26+G31)*8%,2)</f>
        <v>#DIV/0!</v>
      </c>
      <c r="H33" s="751" t="e">
        <f>ROUND((H9+H26+H31)*8%,2)</f>
        <v>#DIV/0!</v>
      </c>
      <c r="I33" s="3204">
        <f>ROUND((I9+I26+I31)*C33,2)</f>
        <v>111.18</v>
      </c>
      <c r="J33" s="3193" t="s">
        <v>3108</v>
      </c>
    </row>
    <row r="34" spans="1:10" ht="25.5">
      <c r="A34" s="2434" t="s">
        <v>3048</v>
      </c>
      <c r="B34" s="3192" t="s">
        <v>3049</v>
      </c>
      <c r="C34" s="749" t="s">
        <v>3058</v>
      </c>
      <c r="D34" s="749" t="s">
        <v>3058</v>
      </c>
      <c r="E34" s="749" t="s">
        <v>3058</v>
      </c>
      <c r="F34" s="3191" t="s">
        <v>3058</v>
      </c>
      <c r="G34" s="751" t="e">
        <f>ROUND(G9+G26+G31+G32+G33,2)</f>
        <v>#DIV/0!</v>
      </c>
      <c r="H34" s="751" t="e">
        <f>ROUND(H9+H26+H31+H32+H33,2)</f>
        <v>#DIV/0!</v>
      </c>
      <c r="I34" s="3204">
        <f>ROUND(I9+I26+I31+I32+I33,2)</f>
        <v>882.45</v>
      </c>
      <c r="J34" s="3193" t="s">
        <v>3110</v>
      </c>
    </row>
    <row r="35" spans="1:10" ht="37.5">
      <c r="A35" s="2434" t="s">
        <v>3050</v>
      </c>
      <c r="B35" s="3192" t="s">
        <v>3051</v>
      </c>
      <c r="C35" s="3212">
        <v>0.4</v>
      </c>
      <c r="D35" s="749" t="s">
        <v>3058</v>
      </c>
      <c r="E35" s="749" t="s">
        <v>3058</v>
      </c>
      <c r="F35" s="3191" t="s">
        <v>3058</v>
      </c>
      <c r="G35" s="751" t="e">
        <f>ROUND(G34*C35,2)</f>
        <v>#DIV/0!</v>
      </c>
      <c r="H35" s="751" t="e">
        <f>ROUND(H34*C35,2)</f>
        <v>#DIV/0!</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t="e">
        <f>ROUND((G34+G35)*C36*C37,0)</f>
        <v>#DIV/0!</v>
      </c>
      <c r="H38" s="751" t="e">
        <f>ROUND((H34+H35)*C36*C37,0)</f>
        <v>#DIV/0!</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3127</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t="e">
        <f>G10+G12+G15+G23</f>
        <v>#DIV/0!</v>
      </c>
      <c r="H9" s="3202" t="e">
        <f>H10+H12+H15+H23</f>
        <v>#DIV/0!</v>
      </c>
      <c r="I9" s="3204">
        <f>I10+I12+I15+I23</f>
        <v>602</v>
      </c>
      <c r="J9" s="3189" t="s">
        <v>3008</v>
      </c>
    </row>
    <row r="10" spans="1:10" ht="21" customHeight="1">
      <c r="A10" s="2434" t="s">
        <v>2440</v>
      </c>
      <c r="B10" s="3190" t="s">
        <v>3009</v>
      </c>
      <c r="C10" s="749" t="s">
        <v>3058</v>
      </c>
      <c r="D10" s="749" t="s">
        <v>3058</v>
      </c>
      <c r="E10" s="750" t="s">
        <v>3058</v>
      </c>
      <c r="F10" s="750" t="s">
        <v>3058</v>
      </c>
      <c r="G10" s="751" t="e">
        <f>G11</f>
        <v>#DIV/0!</v>
      </c>
      <c r="H10" s="751" t="e">
        <f>H11</f>
        <v>#DIV/0!</v>
      </c>
      <c r="I10" s="3204">
        <f>I11</f>
        <v>225</v>
      </c>
      <c r="J10" s="3193" t="s">
        <v>3059</v>
      </c>
    </row>
    <row r="11" spans="1:10" ht="38.25">
      <c r="A11" s="2441" t="s">
        <v>3010</v>
      </c>
      <c r="B11" s="3190" t="s">
        <v>3118</v>
      </c>
      <c r="C11" s="2438">
        <v>15</v>
      </c>
      <c r="D11" s="749" t="s">
        <v>3060</v>
      </c>
      <c r="E11" s="3198" t="e">
        <f>ROUND('数据-汇总表'!D3/666.67,2)</f>
        <v>#DIV/0!</v>
      </c>
      <c r="F11" s="3194" t="s">
        <v>3061</v>
      </c>
      <c r="G11" s="751" t="e">
        <f>C11*E11</f>
        <v>#DIV/0!</v>
      </c>
      <c r="H11" s="751" t="e">
        <f>ROUND(G11/'数据-汇总表'!D3*10000,2)</f>
        <v>#DIV/0!</v>
      </c>
      <c r="I11" s="3204">
        <f>ROUND(C11*10000/666.67,0)</f>
        <v>225</v>
      </c>
      <c r="J11" s="3193" t="s">
        <v>3062</v>
      </c>
    </row>
    <row r="12" spans="1:10">
      <c r="A12" s="2434" t="s">
        <v>2441</v>
      </c>
      <c r="B12" s="3190" t="s">
        <v>3014</v>
      </c>
      <c r="C12" s="749" t="s">
        <v>3058</v>
      </c>
      <c r="D12" s="749" t="s">
        <v>3058</v>
      </c>
      <c r="E12" s="749" t="s">
        <v>3058</v>
      </c>
      <c r="F12" s="750" t="s">
        <v>3058</v>
      </c>
      <c r="G12" s="751">
        <f>G13+G14</f>
        <v>0</v>
      </c>
      <c r="H12" s="751" t="e">
        <f>H13+H14</f>
        <v>#DIV/0!</v>
      </c>
      <c r="I12" s="3204"/>
      <c r="J12" s="3193" t="s">
        <v>3067</v>
      </c>
    </row>
    <row r="13" spans="1:10" ht="38.25">
      <c r="A13" s="2441" t="s">
        <v>3010</v>
      </c>
      <c r="B13" s="3190" t="s">
        <v>3016</v>
      </c>
      <c r="C13" s="2438">
        <v>1500</v>
      </c>
      <c r="D13" s="749" t="s">
        <v>3068</v>
      </c>
      <c r="E13" s="3211">
        <v>0</v>
      </c>
      <c r="F13" s="3195" t="s">
        <v>3061</v>
      </c>
      <c r="G13" s="751">
        <f>C13*E13/10000</f>
        <v>0</v>
      </c>
      <c r="H13" s="751" t="e">
        <f>ROUND(G13*10000/'数据-汇总表'!D3,2)</f>
        <v>#DIV/0!</v>
      </c>
      <c r="I13" s="3204"/>
      <c r="J13" s="3193" t="s">
        <v>3069</v>
      </c>
    </row>
    <row r="14" spans="1:10" ht="36">
      <c r="A14" s="2441" t="s">
        <v>3022</v>
      </c>
      <c r="B14" s="3190" t="s">
        <v>3119</v>
      </c>
      <c r="C14" s="2438">
        <v>2000</v>
      </c>
      <c r="D14" s="749" t="s">
        <v>3068</v>
      </c>
      <c r="E14" s="3210">
        <v>0</v>
      </c>
      <c r="F14" s="3195" t="s">
        <v>3061</v>
      </c>
      <c r="G14" s="751">
        <f>C14*E14/10000</f>
        <v>0</v>
      </c>
      <c r="H14" s="751" t="e">
        <f>ROUND(G14*10000/'数据-汇总表'!D3,2)</f>
        <v>#DIV/0!</v>
      </c>
      <c r="I14" s="3204"/>
      <c r="J14" s="3209" t="s">
        <v>3120</v>
      </c>
    </row>
    <row r="15" spans="1:10">
      <c r="A15" s="2441" t="s">
        <v>3019</v>
      </c>
      <c r="B15" s="3190" t="s">
        <v>3020</v>
      </c>
      <c r="C15" s="749" t="s">
        <v>3058</v>
      </c>
      <c r="D15" s="749" t="s">
        <v>3058</v>
      </c>
      <c r="E15" s="749" t="s">
        <v>3058</v>
      </c>
      <c r="F15" s="3191" t="s">
        <v>3058</v>
      </c>
      <c r="G15" s="751">
        <f>G16+G17+G18+G19+G20+G21+G22</f>
        <v>0</v>
      </c>
      <c r="H15" s="751" t="e">
        <f>H16+H17+H18+H19+H20+H21+H22</f>
        <v>#DIV/0!</v>
      </c>
      <c r="I15" s="3204">
        <v>350</v>
      </c>
      <c r="J15" s="3193" t="s">
        <v>3079</v>
      </c>
    </row>
    <row r="16" spans="1:10" ht="37.5">
      <c r="A16" s="2441" t="s">
        <v>3010</v>
      </c>
      <c r="B16" s="3190" t="s">
        <v>3023</v>
      </c>
      <c r="C16" s="2438">
        <v>1300</v>
      </c>
      <c r="D16" s="749" t="s">
        <v>3080</v>
      </c>
      <c r="E16" s="3210">
        <v>0</v>
      </c>
      <c r="F16" s="3195" t="s">
        <v>3081</v>
      </c>
      <c r="G16" s="751">
        <f>C16*E16/10000</f>
        <v>0</v>
      </c>
      <c r="H16" s="751" t="e">
        <f>ROUND(G16*10000/'数据-汇总表'!D3,2)</f>
        <v>#DIV/0!</v>
      </c>
      <c r="I16" s="3204"/>
      <c r="J16" s="3193" t="s">
        <v>3121</v>
      </c>
    </row>
    <row r="17" spans="1:10" ht="25.5">
      <c r="A17" s="2441" t="s">
        <v>3022</v>
      </c>
      <c r="B17" s="3190" t="s">
        <v>3025</v>
      </c>
      <c r="C17" s="2438">
        <v>25</v>
      </c>
      <c r="D17" s="749" t="s">
        <v>3083</v>
      </c>
      <c r="E17" s="3210">
        <v>0</v>
      </c>
      <c r="F17" s="3195" t="s">
        <v>3084</v>
      </c>
      <c r="G17" s="751">
        <f>C17*E17</f>
        <v>0</v>
      </c>
      <c r="H17" s="751" t="e">
        <f>ROUND(G17*10000/'数据-汇总表'!D3,2)</f>
        <v>#DIV/0!</v>
      </c>
      <c r="I17" s="3204"/>
      <c r="J17" s="3193" t="s">
        <v>3122</v>
      </c>
    </row>
    <row r="18" spans="1:10" ht="49.5">
      <c r="A18" s="2441" t="s">
        <v>3015</v>
      </c>
      <c r="B18" s="3190" t="s">
        <v>3026</v>
      </c>
      <c r="C18" s="2438">
        <v>400</v>
      </c>
      <c r="D18" s="749" t="s">
        <v>3080</v>
      </c>
      <c r="E18" s="3210">
        <v>0</v>
      </c>
      <c r="F18" s="3195" t="s">
        <v>3081</v>
      </c>
      <c r="G18" s="751">
        <f>C18*E18/10000</f>
        <v>0</v>
      </c>
      <c r="H18" s="751" t="e">
        <f>ROUND(G18*10000/'数据-汇总表'!D3,2)</f>
        <v>#DIV/0!</v>
      </c>
      <c r="I18" s="3204"/>
      <c r="J18" s="3193" t="s">
        <v>3088</v>
      </c>
    </row>
    <row r="19" spans="1:10" ht="63">
      <c r="A19" s="2441" t="s">
        <v>3075</v>
      </c>
      <c r="B19" s="3190" t="s">
        <v>3027</v>
      </c>
      <c r="C19" s="2438">
        <v>35</v>
      </c>
      <c r="D19" s="749" t="s">
        <v>3089</v>
      </c>
      <c r="E19" s="3210">
        <v>0</v>
      </c>
      <c r="F19" s="3195" t="s">
        <v>3090</v>
      </c>
      <c r="G19" s="751">
        <f>C19*E19/10000</f>
        <v>0</v>
      </c>
      <c r="H19" s="751" t="e">
        <f>ROUND(G19*10000/'数据-汇总表'!D3,2)</f>
        <v>#DIV/0!</v>
      </c>
      <c r="I19" s="3204"/>
      <c r="J19" s="3193" t="s">
        <v>3091</v>
      </c>
    </row>
    <row r="20" spans="1:10" ht="37.5">
      <c r="A20" s="2441" t="s">
        <v>3076</v>
      </c>
      <c r="B20" s="3190" t="s">
        <v>3028</v>
      </c>
      <c r="C20" s="2438">
        <v>1300</v>
      </c>
      <c r="D20" s="749" t="s">
        <v>3080</v>
      </c>
      <c r="E20" s="3210">
        <v>0</v>
      </c>
      <c r="F20" s="3195" t="s">
        <v>3081</v>
      </c>
      <c r="G20" s="751">
        <f>C20*E20/10000</f>
        <v>0</v>
      </c>
      <c r="H20" s="751" t="e">
        <f>ROUND(G20*10000/'数据-汇总表'!D3,2)</f>
        <v>#DIV/0!</v>
      </c>
      <c r="I20" s="3204"/>
      <c r="J20" s="3193" t="s">
        <v>3123</v>
      </c>
    </row>
    <row r="21" spans="1:10" ht="38.25">
      <c r="A21" s="2441" t="s">
        <v>3077</v>
      </c>
      <c r="B21" s="3190" t="s">
        <v>3029</v>
      </c>
      <c r="C21" s="2438">
        <v>1495</v>
      </c>
      <c r="D21" s="749" t="s">
        <v>3080</v>
      </c>
      <c r="E21" s="2438"/>
      <c r="F21" s="3195" t="s">
        <v>3081</v>
      </c>
      <c r="G21" s="751">
        <f>ROUND(C21*E21/10000,2)</f>
        <v>0</v>
      </c>
      <c r="H21" s="751" t="e">
        <f>ROUND(G21*10000/'数据-汇总表'!D3,2)</f>
        <v>#DIV/0!</v>
      </c>
      <c r="I21" s="3204"/>
      <c r="J21" s="3193" t="s">
        <v>3124</v>
      </c>
    </row>
    <row r="22" spans="1:10" ht="63">
      <c r="A22" s="2441" t="s">
        <v>3078</v>
      </c>
      <c r="B22" s="3190" t="s">
        <v>3034</v>
      </c>
      <c r="C22" s="3198">
        <v>1.7</v>
      </c>
      <c r="D22" s="749" t="s">
        <v>3089</v>
      </c>
      <c r="E22" s="3210">
        <v>0</v>
      </c>
      <c r="F22" s="3195" t="s">
        <v>3090</v>
      </c>
      <c r="G22" s="751">
        <f>C22*E22/10000</f>
        <v>0</v>
      </c>
      <c r="H22" s="751" t="e">
        <f>ROUND(G22*10000/'数据-汇总表'!D3,2)</f>
        <v>#DIV/0!</v>
      </c>
      <c r="I22" s="3204"/>
      <c r="J22" s="3193" t="s">
        <v>3098</v>
      </c>
    </row>
    <row r="23" spans="1:10">
      <c r="A23" s="2441" t="s">
        <v>3030</v>
      </c>
      <c r="B23" s="3190" t="s">
        <v>3031</v>
      </c>
      <c r="C23" s="749" t="s">
        <v>3058</v>
      </c>
      <c r="D23" s="749" t="s">
        <v>3058</v>
      </c>
      <c r="E23" s="749" t="s">
        <v>3058</v>
      </c>
      <c r="F23" s="3191" t="s">
        <v>3058</v>
      </c>
      <c r="G23" s="751">
        <f>G24+G25</f>
        <v>0</v>
      </c>
      <c r="H23" s="751" t="e">
        <f>H24+H25</f>
        <v>#DIV/0!</v>
      </c>
      <c r="I23" s="3204">
        <v>27</v>
      </c>
      <c r="J23" s="3193" t="s">
        <v>3095</v>
      </c>
    </row>
    <row r="24" spans="1:10" ht="62.25">
      <c r="A24" s="2441" t="s">
        <v>3010</v>
      </c>
      <c r="B24" s="3190" t="s">
        <v>3032</v>
      </c>
      <c r="C24" s="3198">
        <v>4.8</v>
      </c>
      <c r="D24" s="749" t="s">
        <v>3089</v>
      </c>
      <c r="E24" s="3210">
        <v>0</v>
      </c>
      <c r="F24" s="3195" t="s">
        <v>3090</v>
      </c>
      <c r="G24" s="751">
        <f>C24*E24/10000</f>
        <v>0</v>
      </c>
      <c r="H24" s="751" t="e">
        <f>ROUND(G24*10000/'数据-汇总表'!D3,2)</f>
        <v>#DIV/0!</v>
      </c>
      <c r="I24" s="3204"/>
      <c r="J24" s="3193" t="s">
        <v>3096</v>
      </c>
    </row>
    <row r="25" spans="1:10" ht="50.25">
      <c r="A25" s="2441" t="s">
        <v>3022</v>
      </c>
      <c r="B25" s="3190" t="s">
        <v>3033</v>
      </c>
      <c r="C25" s="3198">
        <v>1.6</v>
      </c>
      <c r="D25" s="749" t="s">
        <v>3089</v>
      </c>
      <c r="E25" s="3210">
        <v>0</v>
      </c>
      <c r="F25" s="3195" t="s">
        <v>3090</v>
      </c>
      <c r="G25" s="751">
        <f>C25*E25/10000</f>
        <v>0</v>
      </c>
      <c r="H25" s="751" t="e">
        <f>ROUND(G25*10000/'数据-汇总表'!D3,2)</f>
        <v>#DIV/0!</v>
      </c>
      <c r="I25" s="3204"/>
      <c r="J25" s="3193" t="s">
        <v>3097</v>
      </c>
    </row>
    <row r="26" spans="1:10">
      <c r="A26" s="2434" t="s">
        <v>3035</v>
      </c>
      <c r="B26" s="3192" t="s">
        <v>3037</v>
      </c>
      <c r="C26" s="749" t="s">
        <v>3058</v>
      </c>
      <c r="D26" s="749" t="s">
        <v>3058</v>
      </c>
      <c r="E26" s="749" t="s">
        <v>3058</v>
      </c>
      <c r="F26" s="3191" t="s">
        <v>3058</v>
      </c>
      <c r="G26" s="751" t="e">
        <f>G27+G28+G29+G30</f>
        <v>#DIV/0!</v>
      </c>
      <c r="H26" s="751" t="e">
        <f>H27+H28+H29+H30</f>
        <v>#DIV/0!</v>
      </c>
      <c r="I26" s="3204">
        <v>39.200000000000003</v>
      </c>
      <c r="J26" s="3193" t="s">
        <v>3099</v>
      </c>
    </row>
    <row r="27" spans="1:10" ht="38.25">
      <c r="A27" s="2434" t="s">
        <v>2440</v>
      </c>
      <c r="B27" s="3190" t="s">
        <v>3038</v>
      </c>
      <c r="C27" s="3218">
        <v>40</v>
      </c>
      <c r="D27" s="749" t="s">
        <v>3080</v>
      </c>
      <c r="E27" s="3213" t="e">
        <f>'数据-汇总表'!D3</f>
        <v>#DIV/0!</v>
      </c>
      <c r="F27" s="3199" t="s">
        <v>3061</v>
      </c>
      <c r="G27" s="751" t="e">
        <f>ROUND(C27*E27/10000,2)</f>
        <v>#DIV/0!</v>
      </c>
      <c r="H27" s="751" t="e">
        <f>ROUND(G27*10000/'数据-汇总表'!D3,2)</f>
        <v>#DIV/0!</v>
      </c>
      <c r="I27" s="3204"/>
      <c r="J27" s="3193" t="s">
        <v>3100</v>
      </c>
    </row>
    <row r="28" spans="1:10" ht="51">
      <c r="A28" s="2434" t="s">
        <v>2441</v>
      </c>
      <c r="B28" s="3190" t="s">
        <v>3039</v>
      </c>
      <c r="C28" s="2438">
        <v>20</v>
      </c>
      <c r="D28" s="749" t="s">
        <v>3080</v>
      </c>
      <c r="E28" s="3213" t="e">
        <f>'数据-汇总表'!D3</f>
        <v>#DIV/0!</v>
      </c>
      <c r="F28" s="3199" t="s">
        <v>3061</v>
      </c>
      <c r="G28" s="751" t="e">
        <f t="shared" ref="G28:G30" si="0">ROUND(C28*E28/10000,2)</f>
        <v>#DIV/0!</v>
      </c>
      <c r="H28" s="751" t="e">
        <f>ROUND(G28*10000/'数据-汇总表'!D3,2)</f>
        <v>#DIV/0!</v>
      </c>
      <c r="I28" s="3204"/>
      <c r="J28" s="3193" t="s">
        <v>3101</v>
      </c>
    </row>
    <row r="29" spans="1:10" ht="63">
      <c r="A29" s="2441" t="s">
        <v>3019</v>
      </c>
      <c r="B29" s="3190" t="s">
        <v>3040</v>
      </c>
      <c r="C29" s="2438">
        <v>12</v>
      </c>
      <c r="D29" s="749" t="s">
        <v>3060</v>
      </c>
      <c r="E29" s="3213" t="e">
        <f>E11</f>
        <v>#DIV/0!</v>
      </c>
      <c r="F29" s="3199" t="s">
        <v>3061</v>
      </c>
      <c r="G29" s="751" t="e">
        <f t="shared" si="0"/>
        <v>#DIV/0!</v>
      </c>
      <c r="H29" s="751" t="e">
        <f>ROUND(G29*10000/'数据-汇总表'!D3,2)</f>
        <v>#DIV/0!</v>
      </c>
      <c r="I29" s="3204"/>
      <c r="J29" s="3193" t="s">
        <v>3103</v>
      </c>
    </row>
    <row r="30" spans="1:10" ht="50.25">
      <c r="A30" s="2441" t="s">
        <v>3030</v>
      </c>
      <c r="B30" s="3190" t="s">
        <v>3041</v>
      </c>
      <c r="C30" s="2438">
        <v>15</v>
      </c>
      <c r="D30" s="749" t="s">
        <v>3080</v>
      </c>
      <c r="E30" s="3213" t="e">
        <f>E27</f>
        <v>#DIV/0!</v>
      </c>
      <c r="F30" s="3199" t="s">
        <v>3061</v>
      </c>
      <c r="G30" s="751" t="e">
        <f t="shared" si="0"/>
        <v>#DIV/0!</v>
      </c>
      <c r="H30" s="751" t="e">
        <f>ROUND(G30*10000/'数据-汇总表'!D3,2)</f>
        <v>#DIV/0!</v>
      </c>
      <c r="I30" s="3204"/>
      <c r="J30" s="3193" t="s">
        <v>3104</v>
      </c>
    </row>
    <row r="31" spans="1:10" ht="24.75">
      <c r="A31" s="2434" t="s">
        <v>3043</v>
      </c>
      <c r="B31" s="3192" t="s">
        <v>3042</v>
      </c>
      <c r="C31" s="749" t="s">
        <v>3058</v>
      </c>
      <c r="D31" s="749" t="s">
        <v>3058</v>
      </c>
      <c r="E31" s="749" t="s">
        <v>3058</v>
      </c>
      <c r="F31" s="3191" t="s">
        <v>3058</v>
      </c>
      <c r="G31" s="751" t="e">
        <f>ROUND(H31*'数据-汇总表'!D3/10000,2)</f>
        <v>#DIV/0!</v>
      </c>
      <c r="H31" s="751">
        <v>100</v>
      </c>
      <c r="I31" s="3204">
        <v>100</v>
      </c>
      <c r="J31" s="3193" t="s">
        <v>3105</v>
      </c>
    </row>
    <row r="32" spans="1:10" ht="37.5">
      <c r="A32" s="2434" t="s">
        <v>3044</v>
      </c>
      <c r="B32" s="3192" t="s">
        <v>3045</v>
      </c>
      <c r="C32" s="3200">
        <v>4.3499999999999997E-2</v>
      </c>
      <c r="D32" s="749" t="s">
        <v>3058</v>
      </c>
      <c r="E32" s="2438">
        <v>1</v>
      </c>
      <c r="F32" s="3195" t="s">
        <v>3106</v>
      </c>
      <c r="G32" s="751" t="e">
        <f>ROUND((G9+G26)*E32*C32+G31*(E32/2)*C32,2)</f>
        <v>#DIV/0!</v>
      </c>
      <c r="H32" s="751" t="e">
        <f>ROUND((H9+H26)*E32*C32+H31*(E32/2)*C32,2)</f>
        <v>#DIV/0!</v>
      </c>
      <c r="I32" s="3203">
        <f>ROUND((I9+I26)*E32*C32+I31*(E32/2)*C32,2)</f>
        <v>30.07</v>
      </c>
      <c r="J32" s="3193" t="s">
        <v>3107</v>
      </c>
    </row>
    <row r="33" spans="1:10" ht="25.5">
      <c r="A33" s="2434" t="s">
        <v>3046</v>
      </c>
      <c r="B33" s="3192" t="s">
        <v>3047</v>
      </c>
      <c r="C33" s="3200">
        <v>0.15</v>
      </c>
      <c r="D33" s="749" t="s">
        <v>3058</v>
      </c>
      <c r="E33" s="749" t="s">
        <v>3058</v>
      </c>
      <c r="F33" s="3191" t="s">
        <v>3058</v>
      </c>
      <c r="G33" s="751" t="e">
        <f>ROUND((G9+G26+G31)*8%,2)</f>
        <v>#DIV/0!</v>
      </c>
      <c r="H33" s="751" t="e">
        <f>ROUND((H9+H26+H31)*8%,2)</f>
        <v>#DIV/0!</v>
      </c>
      <c r="I33" s="3204">
        <f>ROUND((I9+I26+I31)*C33,2)</f>
        <v>111.18</v>
      </c>
      <c r="J33" s="3193" t="s">
        <v>3108</v>
      </c>
    </row>
    <row r="34" spans="1:10" ht="25.5">
      <c r="A34" s="2434" t="s">
        <v>3048</v>
      </c>
      <c r="B34" s="3192" t="s">
        <v>3049</v>
      </c>
      <c r="C34" s="749" t="s">
        <v>3058</v>
      </c>
      <c r="D34" s="749" t="s">
        <v>3058</v>
      </c>
      <c r="E34" s="749" t="s">
        <v>3058</v>
      </c>
      <c r="F34" s="3191" t="s">
        <v>3058</v>
      </c>
      <c r="G34" s="751" t="e">
        <f>ROUND(G9+G26+G31+G32+G33,2)</f>
        <v>#DIV/0!</v>
      </c>
      <c r="H34" s="751" t="e">
        <f>ROUND(H9+H26+H31+H32+H33,2)</f>
        <v>#DIV/0!</v>
      </c>
      <c r="I34" s="3204">
        <f>ROUND(I9+I26+I31+I32+I33,2)</f>
        <v>882.45</v>
      </c>
      <c r="J34" s="3193" t="s">
        <v>3110</v>
      </c>
    </row>
    <row r="35" spans="1:10" ht="37.5">
      <c r="A35" s="2434" t="s">
        <v>3050</v>
      </c>
      <c r="B35" s="3192" t="s">
        <v>3051</v>
      </c>
      <c r="C35" s="3212">
        <v>0.4</v>
      </c>
      <c r="D35" s="749" t="s">
        <v>3058</v>
      </c>
      <c r="E35" s="749" t="s">
        <v>3058</v>
      </c>
      <c r="F35" s="3191" t="s">
        <v>3058</v>
      </c>
      <c r="G35" s="751" t="e">
        <f>ROUND(G34*C35,2)</f>
        <v>#DIV/0!</v>
      </c>
      <c r="H35" s="751" t="e">
        <f>ROUND(H34*C35,2)</f>
        <v>#DIV/0!</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t="e">
        <f>ROUND((G34+G35)*C36*C37,0)</f>
        <v>#DIV/0!</v>
      </c>
      <c r="H38" s="751" t="e">
        <f>ROUND((H34+H35)*C36*C37,0)</f>
        <v>#DIV/0!</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334.78719999999998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938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3145</v>
      </c>
      <c r="J7" s="3538" t="s">
        <v>3007</v>
      </c>
    </row>
    <row r="8" spans="1:10" ht="24">
      <c r="A8" s="3541"/>
      <c r="B8" s="3543"/>
      <c r="C8" s="3187" t="s">
        <v>3000</v>
      </c>
      <c r="D8" s="3187" t="s">
        <v>3001</v>
      </c>
      <c r="E8" s="3188" t="s">
        <v>3000</v>
      </c>
      <c r="F8" s="3188" t="s">
        <v>3001</v>
      </c>
      <c r="G8" s="3196" t="s">
        <v>3005</v>
      </c>
      <c r="H8" s="3196" t="s">
        <v>3116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0.75560000000000005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938</v>
      </c>
      <c r="J23" s="3193" t="s">
        <v>3150</v>
      </c>
    </row>
    <row r="25" spans="1:10">
      <c r="A25" s="3224"/>
      <c r="B25" s="3225" t="s">
        <v>3133</v>
      </c>
      <c r="C25" s="3224">
        <f>ROUND((1-1/(1+B26)^B29)/(1-1/(1+B26)^B30),3)</f>
        <v>0.79900000000000004</v>
      </c>
    </row>
    <row r="26" spans="1:10">
      <c r="A26" s="3226" t="s">
        <v>3157</v>
      </c>
      <c r="B26" s="3227">
        <v>0.06</v>
      </c>
      <c r="C26" s="3224"/>
    </row>
    <row r="27" spans="1:10">
      <c r="A27" s="3228" t="s">
        <v>3153</v>
      </c>
      <c r="B27" s="3229">
        <f>项目基本情况!D3</f>
        <v>44827</v>
      </c>
      <c r="C27" s="3224"/>
    </row>
    <row r="28" spans="1:10">
      <c r="A28" s="3228" t="s">
        <v>3154</v>
      </c>
      <c r="B28" s="3229">
        <v>53661</v>
      </c>
      <c r="C28" s="3224"/>
    </row>
    <row r="29" spans="1:10">
      <c r="A29" s="3228" t="s">
        <v>3156</v>
      </c>
      <c r="B29" s="3224">
        <f>ROUND((B28-B27)/365,2)</f>
        <v>24.2</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1058.0291999999999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1108</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0.89270000000000005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1108</v>
      </c>
      <c r="J23" s="3193" t="s">
        <v>3150</v>
      </c>
    </row>
    <row r="25" spans="1:10">
      <c r="A25" s="3224"/>
      <c r="B25" s="3225" t="s">
        <v>3133</v>
      </c>
      <c r="C25" s="3224">
        <f>ROUND((1-1/(1+B26)^B29)/(1-1/(1+B26)^B30),3)</f>
        <v>0.94399999999999995</v>
      </c>
    </row>
    <row r="26" spans="1:10">
      <c r="A26" s="3226" t="s">
        <v>3157</v>
      </c>
      <c r="B26" s="3227">
        <v>0.06</v>
      </c>
      <c r="C26" s="3224"/>
    </row>
    <row r="27" spans="1:10">
      <c r="A27" s="3228" t="s">
        <v>3153</v>
      </c>
      <c r="B27" s="3229">
        <f>项目基本情况!D3</f>
        <v>44827</v>
      </c>
      <c r="C27" s="3224"/>
    </row>
    <row r="28" spans="1:10">
      <c r="A28" s="3228" t="s">
        <v>3154</v>
      </c>
      <c r="B28" s="3229">
        <v>58818</v>
      </c>
      <c r="C28" s="3224"/>
    </row>
    <row r="29" spans="1:10">
      <c r="A29" s="3228" t="s">
        <v>3156</v>
      </c>
      <c r="B29" s="3224">
        <f>ROUND((B28-B27)/365,2)</f>
        <v>38.33</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80" zoomScaleNormal="80" workbookViewId="0">
      <selection activeCell="J39" sqref="J39"/>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ROUND(B4*G1,4)</f>
        <v>103521315</v>
      </c>
      <c r="C2" s="2094"/>
      <c r="D2" s="2094"/>
      <c r="E2" s="2094"/>
      <c r="F2" s="2094"/>
      <c r="G2" s="2094"/>
      <c r="H2" s="2094"/>
    </row>
    <row r="3" spans="1:10" ht="15.75">
      <c r="A3" s="1376" t="s">
        <v>1684</v>
      </c>
      <c r="B3" s="425"/>
      <c r="C3" s="2094"/>
      <c r="D3" s="2094"/>
      <c r="E3" s="2094"/>
      <c r="F3" s="2094"/>
      <c r="G3" s="2094"/>
      <c r="H3" s="2094"/>
    </row>
    <row r="4" spans="1:10" ht="27">
      <c r="A4" s="3197" t="s">
        <v>468</v>
      </c>
      <c r="B4" s="427">
        <f>I23</f>
        <v>857</v>
      </c>
      <c r="C4" s="2047"/>
      <c r="D4" s="2094"/>
      <c r="E4" s="2094"/>
      <c r="F4" s="2094"/>
      <c r="G4" s="2094"/>
      <c r="H4" s="2094"/>
    </row>
    <row r="5" spans="1:10" ht="15.75">
      <c r="A5" s="429"/>
      <c r="B5" s="430">
        <f>ROUND(B2/(G1/666.67)/10000,2)</f>
        <v>57.13</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ROUND((I9+I14)*E17*C17+I16*((1+C17)^(E17/2)-1),2)</f>
        <v>30.04</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882.42</v>
      </c>
      <c r="J19" s="3193" t="s">
        <v>3147</v>
      </c>
    </row>
    <row r="20" spans="1:10" ht="36.75">
      <c r="A20" s="2434" t="s">
        <v>3050</v>
      </c>
      <c r="B20" s="3192" t="s">
        <v>3051</v>
      </c>
      <c r="C20" s="3212">
        <v>0.4</v>
      </c>
      <c r="D20" s="749" t="s">
        <v>3058</v>
      </c>
      <c r="E20" s="749" t="s">
        <v>3058</v>
      </c>
      <c r="F20" s="3191" t="s">
        <v>3058</v>
      </c>
      <c r="G20" s="751"/>
      <c r="H20" s="751"/>
      <c r="I20" s="3204">
        <f>ROUND(I19*C20,2)</f>
        <v>352.97</v>
      </c>
      <c r="J20" s="3193" t="s">
        <v>3148</v>
      </c>
    </row>
    <row r="21" spans="1:10">
      <c r="A21" s="2434" t="s">
        <v>3052</v>
      </c>
      <c r="B21" s="3192" t="s">
        <v>3053</v>
      </c>
      <c r="C21" s="3219">
        <f>ROUND(0.9457*C25,4)</f>
        <v>0.67369999999999997</v>
      </c>
      <c r="D21" s="749" t="s">
        <v>3058</v>
      </c>
      <c r="E21" s="749" t="s">
        <v>3058</v>
      </c>
      <c r="F21" s="3191" t="s">
        <v>3058</v>
      </c>
      <c r="G21" s="3191"/>
      <c r="H21" s="3191"/>
      <c r="I21" s="3206" t="s">
        <v>3058</v>
      </c>
      <c r="J21" s="3193" t="s">
        <v>3111</v>
      </c>
    </row>
    <row r="22" spans="1:10">
      <c r="A22" s="2434" t="s">
        <v>3054</v>
      </c>
      <c r="B22" s="3192" t="s">
        <v>3055</v>
      </c>
      <c r="C22" s="3220">
        <v>1.03</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857</v>
      </c>
      <c r="J23" s="3193" t="s">
        <v>3150</v>
      </c>
    </row>
    <row r="24" spans="1:10">
      <c r="B24" s="3230" t="s">
        <v>3158</v>
      </c>
      <c r="C24" s="3231">
        <v>1</v>
      </c>
      <c r="H24">
        <v>1005</v>
      </c>
    </row>
    <row r="25" spans="1:10">
      <c r="A25" s="3224"/>
      <c r="B25" s="3225" t="s">
        <v>3133</v>
      </c>
      <c r="C25" s="3224">
        <f>ROUND((1-1/(1+B26)^B29)/(1-1/(1+B26)^B30),4)</f>
        <v>0.71240000000000003</v>
      </c>
      <c r="G25">
        <f>ROUND(B4*G1/10000,4)</f>
        <v>10352.1315</v>
      </c>
      <c r="H25">
        <v>1117</v>
      </c>
    </row>
    <row r="26" spans="1:10">
      <c r="A26" s="3226" t="s">
        <v>3157</v>
      </c>
      <c r="B26" s="3227">
        <v>0.06</v>
      </c>
      <c r="C26" s="3224"/>
      <c r="G26">
        <f>ROUND(H25*G1/10000,4)</f>
        <v>13492.8015</v>
      </c>
      <c r="H26">
        <f>H25-H24</f>
        <v>112</v>
      </c>
    </row>
    <row r="27" spans="1:10">
      <c r="A27" s="3228" t="s">
        <v>3153</v>
      </c>
      <c r="B27" s="3229">
        <f>项目基本情况!D3</f>
        <v>44827</v>
      </c>
      <c r="C27" s="3224"/>
      <c r="G27">
        <f>G26-G25</f>
        <v>3140.67</v>
      </c>
    </row>
    <row r="28" spans="1:10">
      <c r="A28" s="3228" t="s">
        <v>3154</v>
      </c>
      <c r="B28" s="3229">
        <v>51845</v>
      </c>
      <c r="C28" s="3224"/>
      <c r="G28">
        <f>G27/G1</f>
        <v>2.6000000000000002E-2</v>
      </c>
    </row>
    <row r="29" spans="1:10">
      <c r="A29" s="3228" t="s">
        <v>3156</v>
      </c>
      <c r="B29" s="3224">
        <f>ROUNDDOWN(MIN(B28-B27)/365,2)</f>
        <v>19.22</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zoomScale="80" zoomScaleNormal="80" workbookViewId="0">
      <selection activeCell="F41" sqref="F41:F42"/>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811.56</v>
      </c>
      <c r="H1" s="2094"/>
    </row>
    <row r="2" spans="1:10" ht="15.75">
      <c r="A2" s="423" t="s">
        <v>467</v>
      </c>
      <c r="B2" s="425">
        <f>ROUND(B4*G1,4)</f>
        <v>689826</v>
      </c>
      <c r="C2" s="2094"/>
      <c r="D2" s="2094"/>
      <c r="E2" s="2094"/>
      <c r="F2" s="2094"/>
      <c r="G2" s="2094"/>
      <c r="H2" s="2094"/>
    </row>
    <row r="3" spans="1:10" ht="15.75">
      <c r="A3" s="1376" t="s">
        <v>1684</v>
      </c>
      <c r="B3" s="425"/>
      <c r="C3" s="2094"/>
      <c r="D3" s="2094"/>
      <c r="E3" s="2094"/>
      <c r="F3" s="2094"/>
      <c r="G3" s="2094"/>
      <c r="H3" s="2094"/>
    </row>
    <row r="4" spans="1:10" ht="27">
      <c r="A4" s="3197" t="s">
        <v>468</v>
      </c>
      <c r="B4" s="427">
        <f>I23</f>
        <v>850</v>
      </c>
      <c r="C4" s="2047"/>
      <c r="D4" s="2094"/>
      <c r="E4" s="2094"/>
      <c r="F4" s="2094"/>
      <c r="G4" s="2094"/>
      <c r="H4" s="2094"/>
    </row>
    <row r="5" spans="1:10" ht="15.75">
      <c r="A5" s="429"/>
      <c r="B5" s="430">
        <f>ROUND(B2/(G1/666.67)/10000,2)</f>
        <v>56.67</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3236">
        <v>15</v>
      </c>
      <c r="D11" s="749" t="s">
        <v>3060</v>
      </c>
      <c r="E11" s="3239"/>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f>I15+I16</f>
        <v>49.7</v>
      </c>
      <c r="J14" s="3193" t="s">
        <v>3141</v>
      </c>
    </row>
    <row r="15" spans="1:10" ht="60">
      <c r="A15" s="2434" t="s">
        <v>2440</v>
      </c>
      <c r="B15" s="3190" t="s">
        <v>3038</v>
      </c>
      <c r="C15" s="3237">
        <v>39.200000000000003</v>
      </c>
      <c r="D15" s="749" t="s">
        <v>3080</v>
      </c>
      <c r="E15" s="3240"/>
      <c r="F15" s="3199" t="s">
        <v>3061</v>
      </c>
      <c r="G15" s="751"/>
      <c r="H15" s="751"/>
      <c r="I15" s="3204">
        <v>39.200000000000003</v>
      </c>
      <c r="J15" s="3209" t="s">
        <v>3142</v>
      </c>
    </row>
    <row r="16" spans="1:10">
      <c r="A16" s="2434"/>
      <c r="B16" s="3190" t="s">
        <v>3162</v>
      </c>
      <c r="C16" s="3237"/>
      <c r="D16" s="749"/>
      <c r="E16" s="3240"/>
      <c r="F16" s="3232"/>
      <c r="G16" s="751"/>
      <c r="H16" s="751"/>
      <c r="I16" s="3204">
        <v>10.5</v>
      </c>
      <c r="J16" s="3209"/>
    </row>
    <row r="17" spans="1:10">
      <c r="A17" s="2434" t="s">
        <v>3043</v>
      </c>
      <c r="B17" s="3192" t="s">
        <v>3042</v>
      </c>
      <c r="C17" s="749" t="s">
        <v>3058</v>
      </c>
      <c r="D17" s="749" t="s">
        <v>3058</v>
      </c>
      <c r="E17" s="749" t="s">
        <v>3058</v>
      </c>
      <c r="F17" s="3191" t="s">
        <v>3058</v>
      </c>
      <c r="G17" s="751"/>
      <c r="H17" s="751"/>
      <c r="I17" s="3204">
        <v>100</v>
      </c>
      <c r="J17" s="3209" t="s">
        <v>3143</v>
      </c>
    </row>
    <row r="18" spans="1:10" ht="24.75">
      <c r="A18" s="2434" t="s">
        <v>3044</v>
      </c>
      <c r="B18" s="3192" t="s">
        <v>3045</v>
      </c>
      <c r="C18" s="3238">
        <v>4.3499999999999997E-2</v>
      </c>
      <c r="D18" s="749" t="s">
        <v>3058</v>
      </c>
      <c r="E18" s="3236">
        <v>1</v>
      </c>
      <c r="F18" s="3195" t="s">
        <v>3106</v>
      </c>
      <c r="G18" s="751"/>
      <c r="H18" s="751"/>
      <c r="I18" s="3203">
        <f>ROUND((I9+I14)*E18*C18+I17*((1+C18)^(E18/2)-1),2)</f>
        <v>30.5</v>
      </c>
      <c r="J18" s="3193" t="s">
        <v>3144</v>
      </c>
    </row>
    <row r="19" spans="1:10">
      <c r="A19" s="2434" t="s">
        <v>3046</v>
      </c>
      <c r="B19" s="3192" t="s">
        <v>3047</v>
      </c>
      <c r="C19" s="3238">
        <v>0.15</v>
      </c>
      <c r="D19" s="749" t="s">
        <v>3058</v>
      </c>
      <c r="E19" s="749" t="s">
        <v>3058</v>
      </c>
      <c r="F19" s="3191" t="s">
        <v>3058</v>
      </c>
      <c r="G19" s="751"/>
      <c r="H19" s="751"/>
      <c r="I19" s="3204">
        <f>ROUND((I9+I14+I17)*C19,2)</f>
        <v>112.76</v>
      </c>
      <c r="J19" s="3193" t="s">
        <v>3146</v>
      </c>
    </row>
    <row r="20" spans="1:10">
      <c r="A20" s="2434" t="s">
        <v>3048</v>
      </c>
      <c r="B20" s="3192" t="s">
        <v>3049</v>
      </c>
      <c r="C20" s="749" t="s">
        <v>3058</v>
      </c>
      <c r="D20" s="749" t="s">
        <v>3058</v>
      </c>
      <c r="E20" s="749" t="s">
        <v>3058</v>
      </c>
      <c r="F20" s="3191" t="s">
        <v>3058</v>
      </c>
      <c r="G20" s="751"/>
      <c r="H20" s="751"/>
      <c r="I20" s="3204">
        <f>ROUND(I9+I14+I17+I18+I19,2)</f>
        <v>894.96</v>
      </c>
      <c r="J20" s="3193" t="s">
        <v>3147</v>
      </c>
    </row>
    <row r="21" spans="1:10">
      <c r="A21" s="2434" t="s">
        <v>3054</v>
      </c>
      <c r="B21" s="3192" t="s">
        <v>3055</v>
      </c>
      <c r="C21" s="3235">
        <v>0.95</v>
      </c>
      <c r="D21" s="749" t="s">
        <v>3058</v>
      </c>
      <c r="E21" s="749" t="s">
        <v>3058</v>
      </c>
      <c r="F21" s="749" t="s">
        <v>3058</v>
      </c>
      <c r="G21" s="749"/>
      <c r="H21" s="749"/>
      <c r="I21" s="3207" t="s">
        <v>3058</v>
      </c>
      <c r="J21" s="3193" t="s">
        <v>3149</v>
      </c>
    </row>
    <row r="22" spans="1:10">
      <c r="A22" s="2434"/>
      <c r="B22" s="3192" t="s">
        <v>3163</v>
      </c>
      <c r="C22" s="3235">
        <v>1</v>
      </c>
      <c r="D22" s="749"/>
      <c r="E22" s="749"/>
      <c r="F22" s="749"/>
      <c r="G22" s="3233"/>
      <c r="H22" s="3233"/>
      <c r="I22" s="3234"/>
      <c r="J22" s="3193"/>
    </row>
    <row r="23" spans="1:10">
      <c r="A23" s="2434" t="s">
        <v>3056</v>
      </c>
      <c r="B23" s="3192" t="s">
        <v>3057</v>
      </c>
      <c r="C23" s="749" t="s">
        <v>3058</v>
      </c>
      <c r="D23" s="749" t="s">
        <v>3058</v>
      </c>
      <c r="E23" s="749" t="s">
        <v>3058</v>
      </c>
      <c r="F23" s="749" t="s">
        <v>3058</v>
      </c>
      <c r="G23" s="751"/>
      <c r="H23" s="751"/>
      <c r="I23" s="3204">
        <f>ROUND(I20*C21*C22,0)</f>
        <v>850</v>
      </c>
      <c r="J23" s="3193" t="s">
        <v>3150</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421.14879999999999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929</v>
      </c>
      <c r="C4" s="2047"/>
      <c r="D4" s="2094"/>
      <c r="E4" s="2094"/>
      <c r="F4" s="2094"/>
      <c r="G4" s="2094"/>
      <c r="H4" s="2094"/>
    </row>
    <row r="5" spans="1:10" ht="15.75">
      <c r="A5" s="429"/>
      <c r="B5" s="430">
        <f>ROUND(B2/(G1/666.67),0)</f>
        <v>62</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0.748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929</v>
      </c>
      <c r="J23" s="3193" t="s">
        <v>3150</v>
      </c>
    </row>
    <row r="25" spans="1:10">
      <c r="A25" s="3224"/>
      <c r="B25" s="3225" t="s">
        <v>3133</v>
      </c>
      <c r="C25" s="3224">
        <f>ROUND((1-1/(1+B26)^B29)/(1-1/(1+B26)^B30),3)</f>
        <v>0.79100000000000004</v>
      </c>
    </row>
    <row r="26" spans="1:10">
      <c r="A26" s="3226" t="s">
        <v>3157</v>
      </c>
      <c r="B26" s="3227">
        <v>0.06</v>
      </c>
      <c r="C26" s="3224"/>
    </row>
    <row r="27" spans="1:10">
      <c r="A27" s="3228" t="s">
        <v>3153</v>
      </c>
      <c r="B27" s="3229">
        <f>项目基本情况!D3</f>
        <v>44827</v>
      </c>
      <c r="C27" s="3224"/>
    </row>
    <row r="28" spans="1:10">
      <c r="A28" s="3228" t="s">
        <v>3154</v>
      </c>
      <c r="B28" s="3229">
        <v>53454</v>
      </c>
      <c r="C28" s="3224"/>
    </row>
    <row r="29" spans="1:10">
      <c r="A29" s="3228" t="s">
        <v>3156</v>
      </c>
      <c r="B29" s="3224">
        <f>ROUND((B28-B27)/365,2)</f>
        <v>23.64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ROUND(B4*G1/10000,4)</f>
        <v>959.37750000000005</v>
      </c>
      <c r="C2" s="2094"/>
      <c r="D2" s="2094"/>
      <c r="E2" s="2094"/>
      <c r="F2" s="2094"/>
      <c r="G2" s="2094"/>
      <c r="H2" s="2094"/>
    </row>
    <row r="3" spans="1:10" ht="15.75">
      <c r="A3" s="1376" t="s">
        <v>1684</v>
      </c>
      <c r="B3" s="425"/>
      <c r="C3" s="2094"/>
      <c r="D3" s="2094"/>
      <c r="E3" s="2094"/>
      <c r="F3" s="2094"/>
      <c r="G3" s="2094"/>
      <c r="H3" s="2094"/>
    </row>
    <row r="4" spans="1:10" ht="27">
      <c r="A4" s="3197" t="s">
        <v>468</v>
      </c>
      <c r="B4" s="427">
        <f>I23</f>
        <v>915</v>
      </c>
      <c r="C4" s="2047"/>
      <c r="D4" s="2094"/>
      <c r="E4" s="2094"/>
      <c r="F4" s="2094"/>
      <c r="G4" s="2094"/>
      <c r="H4" s="2094"/>
    </row>
    <row r="5" spans="1:10" ht="15.75">
      <c r="A5" s="429"/>
      <c r="B5" s="430">
        <f>ROUND(B2/(G1/666.67),0)</f>
        <v>61</v>
      </c>
      <c r="C5" s="431" t="s">
        <v>469</v>
      </c>
      <c r="D5" s="2094"/>
      <c r="E5" s="2094"/>
      <c r="F5" s="2094"/>
      <c r="G5" s="2094"/>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7"/>
      <c r="I7" s="3205" t="s">
        <v>3004</v>
      </c>
      <c r="J7" s="3538" t="s">
        <v>3007</v>
      </c>
    </row>
    <row r="8" spans="1:10" ht="24">
      <c r="A8" s="3541"/>
      <c r="B8" s="3543"/>
      <c r="C8" s="3187" t="s">
        <v>3000</v>
      </c>
      <c r="D8" s="3187" t="s">
        <v>3001</v>
      </c>
      <c r="E8" s="3188" t="s">
        <v>3000</v>
      </c>
      <c r="F8" s="3188" t="s">
        <v>3001</v>
      </c>
      <c r="G8" s="3196" t="s">
        <v>3005</v>
      </c>
      <c r="H8" s="3196" t="s">
        <v>3006</v>
      </c>
      <c r="I8" s="3205" t="s">
        <v>3006</v>
      </c>
      <c r="J8" s="3539"/>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0.73670000000000002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915</v>
      </c>
      <c r="J23" s="3193" t="s">
        <v>3150</v>
      </c>
    </row>
    <row r="25" spans="1:10">
      <c r="A25" s="3224"/>
      <c r="B25" s="3225" t="s">
        <v>3133</v>
      </c>
      <c r="C25" s="3224">
        <f>ROUND((1-1/(1+B26)^B29)/(1-1/(1+B26)^B30),3)</f>
        <v>0.77900000000000003</v>
      </c>
    </row>
    <row r="26" spans="1:10">
      <c r="A26" s="3226" t="s">
        <v>3157</v>
      </c>
      <c r="B26" s="3227">
        <v>0.06</v>
      </c>
      <c r="C26" s="3224"/>
    </row>
    <row r="27" spans="1:10">
      <c r="A27" s="3228" t="s">
        <v>3153</v>
      </c>
      <c r="B27" s="3229">
        <f>项目基本情况!D3</f>
        <v>44827</v>
      </c>
      <c r="C27" s="3224"/>
    </row>
    <row r="28" spans="1:10">
      <c r="A28" s="3228" t="s">
        <v>3154</v>
      </c>
      <c r="B28" s="3229">
        <v>53194</v>
      </c>
      <c r="C28" s="3224"/>
    </row>
    <row r="29" spans="1:10">
      <c r="A29" s="3228" t="s">
        <v>3156</v>
      </c>
      <c r="B29" s="3224">
        <f>ROUND((B28-B27)/365,2)</f>
        <v>22.92</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2038</v>
      </c>
      <c r="B1" s="3246"/>
      <c r="C1" s="3246"/>
      <c r="D1" s="3246"/>
      <c r="E1" s="3246"/>
      <c r="F1" s="3246"/>
      <c r="G1" s="3246"/>
      <c r="H1" s="3246"/>
      <c r="I1" s="3246"/>
      <c r="J1" s="3246"/>
      <c r="K1" s="3246"/>
      <c r="L1" s="3246"/>
      <c r="M1" s="3246"/>
      <c r="N1" s="3246"/>
      <c r="O1" s="3246"/>
      <c r="P1" s="3246"/>
      <c r="Q1" s="3246"/>
      <c r="R1" s="3246"/>
    </row>
    <row r="2" spans="1:18">
      <c r="A2" s="1793" t="s">
        <v>2040</v>
      </c>
      <c r="B2" s="1793"/>
      <c r="C2" s="1793"/>
      <c r="D2" s="1793"/>
      <c r="E2" s="1793"/>
      <c r="F2" s="1793"/>
      <c r="G2" s="1793"/>
      <c r="H2" s="1793"/>
      <c r="I2" s="1794"/>
      <c r="J2" s="1794"/>
      <c r="K2" s="1795" t="str">
        <f>"估价期日："&amp;TEXT(项目基本情况!D3,"yyyy年m月d日;;")</f>
        <v>估价期日：2022年9月23日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7" t="s">
        <v>2029</v>
      </c>
      <c r="B3" s="3247" t="s">
        <v>2731</v>
      </c>
      <c r="C3" s="3248" t="s">
        <v>2030</v>
      </c>
      <c r="D3" s="3247" t="s">
        <v>2735</v>
      </c>
      <c r="E3" s="3242" t="s">
        <v>2031</v>
      </c>
      <c r="F3" s="3242"/>
      <c r="G3" s="3242"/>
      <c r="H3" s="3242" t="s">
        <v>2032</v>
      </c>
      <c r="I3" s="3242"/>
      <c r="J3" s="3242"/>
      <c r="K3" s="3248" t="s">
        <v>2033</v>
      </c>
      <c r="L3" s="3248" t="s">
        <v>2034</v>
      </c>
      <c r="M3" s="3247" t="s">
        <v>2732</v>
      </c>
      <c r="N3" s="3249" t="str">
        <f>"（分摊）"&amp;项目基本情况!B16&amp;"国有建设用地使用权面积/㎡"</f>
        <v>（分摊）出让国有建设用地使用权面积/㎡</v>
      </c>
      <c r="O3" s="3247" t="s">
        <v>2063</v>
      </c>
      <c r="P3" s="3248" t="s">
        <v>2043</v>
      </c>
      <c r="Q3" s="3248" t="s">
        <v>2064</v>
      </c>
      <c r="R3" s="3248" t="s">
        <v>2035</v>
      </c>
    </row>
    <row r="4" spans="1:18" ht="36.75" customHeight="1">
      <c r="A4" s="3247"/>
      <c r="B4" s="3247"/>
      <c r="C4" s="3248"/>
      <c r="D4" s="3247"/>
      <c r="E4" s="2614" t="s">
        <v>2042</v>
      </c>
      <c r="F4" s="2614" t="s">
        <v>2744</v>
      </c>
      <c r="G4" s="2614" t="s">
        <v>2036</v>
      </c>
      <c r="H4" s="2614" t="s">
        <v>2037</v>
      </c>
      <c r="I4" s="2614" t="s">
        <v>2745</v>
      </c>
      <c r="J4" s="2614" t="s">
        <v>2036</v>
      </c>
      <c r="K4" s="3248"/>
      <c r="L4" s="3248"/>
      <c r="M4" s="3247"/>
      <c r="N4" s="3249"/>
      <c r="O4" s="3247"/>
      <c r="P4" s="3248"/>
      <c r="Q4" s="3248"/>
      <c r="R4" s="3248"/>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t="e">
        <f>项目基本情况!C22</f>
        <v>#DIV/0!</v>
      </c>
      <c r="O5" s="1796">
        <f>项目基本情况!C21</f>
        <v>0</v>
      </c>
      <c r="P5" s="1796" t="e">
        <f ca="1">结果表!E42</f>
        <v>#REF!</v>
      </c>
      <c r="Q5" s="1796" t="e">
        <f ca="1">结果表!D42</f>
        <v>#REF!</v>
      </c>
      <c r="R5" s="1797" t="e">
        <f ca="1">结果表!C42</f>
        <v>#REF!</v>
      </c>
    </row>
    <row r="6" spans="1:18">
      <c r="A6" s="3243" t="str">
        <f>IF(项目基本情况!B9="市场价格","——","抵押价格")</f>
        <v>抵押价格</v>
      </c>
      <c r="B6" s="3244"/>
      <c r="C6" s="3244"/>
      <c r="D6" s="3244"/>
      <c r="E6" s="3244"/>
      <c r="F6" s="3244"/>
      <c r="G6" s="3244"/>
      <c r="H6" s="3244"/>
      <c r="I6" s="3244"/>
      <c r="J6" s="3244"/>
      <c r="K6" s="3244"/>
      <c r="L6" s="3244"/>
      <c r="M6" s="3244"/>
      <c r="N6" s="3244"/>
      <c r="O6" s="3244"/>
      <c r="P6" s="3244"/>
      <c r="Q6" s="3245"/>
      <c r="R6" s="1798" t="str">
        <f>结果表!O39</f>
        <v>——</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798" t="str">
        <f>结果表!O40</f>
        <v>——</v>
      </c>
    </row>
    <row r="8" spans="1:18">
      <c r="A8" s="3243">
        <f>IF(项目基本情况!B9="市场价格","——",项目基本情况!E9)</f>
        <v>0</v>
      </c>
      <c r="B8" s="3244"/>
      <c r="C8" s="3244"/>
      <c r="D8" s="3244"/>
      <c r="E8" s="3244"/>
      <c r="F8" s="3244"/>
      <c r="G8" s="3244"/>
      <c r="H8" s="3244"/>
      <c r="I8" s="3244"/>
      <c r="J8" s="3244"/>
      <c r="K8" s="3244"/>
      <c r="L8" s="3244"/>
      <c r="M8" s="3244"/>
      <c r="N8" s="3244"/>
      <c r="O8" s="3244"/>
      <c r="P8" s="3244"/>
      <c r="Q8" s="324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t="e">
        <f>G41</f>
        <v>#DIV/0!</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t="e">
        <f>ROUND(B2*10000/'数据-汇总表'!D3,0)</f>
        <v>#DIV/0!</v>
      </c>
      <c r="C4" s="2047"/>
      <c r="D4" s="2094"/>
      <c r="E4" s="2094"/>
      <c r="F4" s="2094"/>
      <c r="G4" s="2094">
        <v>539.77</v>
      </c>
      <c r="H4" s="2094"/>
    </row>
    <row r="5" spans="1:10" ht="15.75">
      <c r="A5" s="429"/>
      <c r="B5" s="430" t="e">
        <f>ROUND(B2/('数据-汇总表'!D3/666.67),0)</f>
        <v>#DIV/0!</v>
      </c>
      <c r="C5" s="431" t="s">
        <v>469</v>
      </c>
      <c r="D5" s="2094"/>
      <c r="E5" s="2094"/>
      <c r="F5" s="2094"/>
      <c r="G5" s="2094">
        <f>SUM(G1:G4)</f>
        <v>21423.86</v>
      </c>
      <c r="H5" s="2094"/>
    </row>
    <row r="6" spans="1:10" ht="16.5" thickBot="1">
      <c r="A6" s="429"/>
      <c r="B6" s="3185"/>
      <c r="C6" s="3186"/>
      <c r="D6" s="2094"/>
      <c r="E6" s="2094"/>
      <c r="F6" s="2094"/>
      <c r="G6" s="2094"/>
      <c r="H6" s="2094"/>
    </row>
    <row r="7" spans="1:10">
      <c r="A7" s="3540" t="s">
        <v>2999</v>
      </c>
      <c r="B7" s="3542" t="s">
        <v>604</v>
      </c>
      <c r="C7" s="3544" t="s">
        <v>3002</v>
      </c>
      <c r="D7" s="3545"/>
      <c r="E7" s="3546" t="s">
        <v>3003</v>
      </c>
      <c r="F7" s="3547"/>
      <c r="G7" s="3546" t="s">
        <v>3004</v>
      </c>
      <c r="H7" s="3548"/>
      <c r="I7" s="3547"/>
      <c r="J7" s="3538" t="s">
        <v>3007</v>
      </c>
    </row>
    <row r="8" spans="1:10" ht="24">
      <c r="A8" s="3541"/>
      <c r="B8" s="3543"/>
      <c r="C8" s="3187" t="s">
        <v>3000</v>
      </c>
      <c r="D8" s="3187" t="s">
        <v>3001</v>
      </c>
      <c r="E8" s="3188" t="s">
        <v>3000</v>
      </c>
      <c r="F8" s="3188" t="s">
        <v>3001</v>
      </c>
      <c r="G8" s="3196" t="s">
        <v>3005</v>
      </c>
      <c r="H8" s="3196" t="s">
        <v>3116</v>
      </c>
      <c r="I8" s="3205" t="s">
        <v>3006</v>
      </c>
      <c r="J8" s="3539"/>
    </row>
    <row r="9" spans="1:10" ht="20.25" customHeight="1">
      <c r="A9" s="2434">
        <v>1</v>
      </c>
      <c r="B9" s="3192" t="s">
        <v>3036</v>
      </c>
      <c r="C9" s="749" t="s">
        <v>3058</v>
      </c>
      <c r="D9" s="749" t="s">
        <v>3058</v>
      </c>
      <c r="E9" s="750" t="s">
        <v>3058</v>
      </c>
      <c r="F9" s="750" t="s">
        <v>3058</v>
      </c>
      <c r="G9" s="3208" t="e">
        <f>G10+G13+G17+G25</f>
        <v>#DIV/0!</v>
      </c>
      <c r="H9" s="3202" t="e">
        <f>H10+H13+H17+H25</f>
        <v>#DIV/0!</v>
      </c>
      <c r="I9" s="3204">
        <f>I10+I13+I17+I25</f>
        <v>700.83</v>
      </c>
      <c r="J9" s="3189" t="s">
        <v>3008</v>
      </c>
    </row>
    <row r="10" spans="1:10" ht="19.5" customHeight="1">
      <c r="A10" s="2434" t="s">
        <v>2440</v>
      </c>
      <c r="B10" s="3190" t="s">
        <v>3009</v>
      </c>
      <c r="C10" s="749" t="s">
        <v>3058</v>
      </c>
      <c r="D10" s="749" t="s">
        <v>3058</v>
      </c>
      <c r="E10" s="750" t="s">
        <v>3058</v>
      </c>
      <c r="F10" s="750" t="s">
        <v>3058</v>
      </c>
      <c r="G10" s="751" t="e">
        <f>G11+G12</f>
        <v>#DIV/0!</v>
      </c>
      <c r="H10" s="751" t="e">
        <f>H11+H12</f>
        <v>#DIV/0!</v>
      </c>
      <c r="I10" s="3204">
        <f>I11+I12</f>
        <v>225</v>
      </c>
      <c r="J10" s="3193" t="s">
        <v>3059</v>
      </c>
    </row>
    <row r="11" spans="1:10" ht="42" customHeight="1">
      <c r="A11" s="2441" t="s">
        <v>3010</v>
      </c>
      <c r="B11" s="3190" t="s">
        <v>3012</v>
      </c>
      <c r="C11" s="2438">
        <v>12</v>
      </c>
      <c r="D11" s="749" t="s">
        <v>3060</v>
      </c>
      <c r="E11" s="3198" t="e">
        <f>ROUND('数据-汇总表'!D3/666.67,2)</f>
        <v>#DIV/0!</v>
      </c>
      <c r="F11" s="3194" t="s">
        <v>3061</v>
      </c>
      <c r="G11" s="751" t="e">
        <f>C11*E11</f>
        <v>#DIV/0!</v>
      </c>
      <c r="H11" s="751" t="e">
        <f>ROUND(G11/'数据-汇总表'!D3*10000,2)</f>
        <v>#DIV/0!</v>
      </c>
      <c r="I11" s="3204">
        <f>ROUND(C11*10000/666.67,0)</f>
        <v>180</v>
      </c>
      <c r="J11" s="3193" t="s">
        <v>3062</v>
      </c>
    </row>
    <row r="12" spans="1:10" ht="39.75" customHeight="1">
      <c r="A12" s="2441" t="s">
        <v>3011</v>
      </c>
      <c r="B12" s="3190" t="s">
        <v>3013</v>
      </c>
      <c r="C12" s="2438">
        <v>3</v>
      </c>
      <c r="D12" s="749" t="s">
        <v>3060</v>
      </c>
      <c r="E12" s="3198" t="e">
        <f>ROUND('数据-汇总表'!D3/666.67,2)</f>
        <v>#DIV/0!</v>
      </c>
      <c r="F12" s="3194" t="s">
        <v>3061</v>
      </c>
      <c r="G12" s="751" t="e">
        <f>C12*E12</f>
        <v>#DIV/0!</v>
      </c>
      <c r="H12" s="751" t="e">
        <f>ROUND(G12/'数据-汇总表'!D3*10000,2)</f>
        <v>#DIV/0!</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t="e">
        <f>H14+H15+H16</f>
        <v>#DIV/0!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t="e">
        <f>ROUND(G14*10000/'数据-汇总表'!D3,2)</f>
        <v>#DIV/0!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t="e">
        <f>ROUND(G15*10000/'数据-汇总表'!D3,2)</f>
        <v>#DIV/0!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t="e">
        <f>ROUND(G16*10000/'数据-汇总表'!D3,2)</f>
        <v>#DIV/0!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100</v>
      </c>
      <c r="H17" s="751" t="e">
        <f>H18+H19+H20+H21+H22+H23+H24</f>
        <v>#DIV/0!</v>
      </c>
      <c r="I17" s="3204">
        <f>I18+I19+I20+I21+I22+I23+I24</f>
        <v>417.11999999999995</v>
      </c>
      <c r="J17" s="3193" t="s">
        <v>3079</v>
      </c>
    </row>
    <row r="18" spans="1:10" ht="37.5">
      <c r="A18" s="2441" t="s">
        <v>3021</v>
      </c>
      <c r="B18" s="3190" t="s">
        <v>3023</v>
      </c>
      <c r="C18" s="2438">
        <v>2000</v>
      </c>
      <c r="D18" s="749" t="s">
        <v>3080</v>
      </c>
      <c r="E18" s="2438">
        <f>'数据-汇总表'!E3</f>
        <v>0</v>
      </c>
      <c r="F18" s="3195" t="s">
        <v>3081</v>
      </c>
      <c r="G18" s="751">
        <f>C18*E18/10000</f>
        <v>0</v>
      </c>
      <c r="H18" s="751" t="e">
        <f>ROUND(G18*10000/'数据-汇总表'!D3,2)</f>
        <v>#DIV/0!</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t="e">
        <f>ROUND(G19*10000/'数据-汇总表'!D3,2)</f>
        <v>#DIV/0!</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t="e">
        <f>ROUND(G20*10000/'数据-汇总表'!D3,2)</f>
        <v>#DIV/0!</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t="e">
        <f>ROUND(G21*10000/'数据-汇总表'!D3,2)</f>
        <v>#DIV/0!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t="e">
        <f>ROUND(G22*10000/'数据-汇总表'!D3,2)</f>
        <v>#DIV/0!</v>
      </c>
      <c r="I22" s="3204">
        <f>ROUND(C22*10000*1150000/(2536623.77*666.67),2)</f>
        <v>238.01</v>
      </c>
      <c r="J22" s="3193" t="s">
        <v>3091</v>
      </c>
    </row>
    <row r="23" spans="1:10" ht="37.5">
      <c r="A23" s="2441" t="s">
        <v>3077</v>
      </c>
      <c r="B23" s="3190" t="s">
        <v>3028</v>
      </c>
      <c r="C23" s="2438">
        <v>2000</v>
      </c>
      <c r="D23" s="749" t="s">
        <v>3087</v>
      </c>
      <c r="E23" s="2438">
        <f>'数据-汇总表'!E3</f>
        <v>0</v>
      </c>
      <c r="F23" s="3195" t="s">
        <v>3092</v>
      </c>
      <c r="G23" s="751">
        <f>C23*E23/10000</f>
        <v>0</v>
      </c>
      <c r="H23" s="751" t="e">
        <f>ROUND(G23*10000/'数据-汇总表'!D3,2)</f>
        <v>#DIV/0!</v>
      </c>
      <c r="I23" s="3204">
        <f>ROUND(C23*2988085.53/(2536623.77*666.67),2)</f>
        <v>3.53</v>
      </c>
      <c r="J23" s="3193" t="s">
        <v>3093</v>
      </c>
    </row>
    <row r="24" spans="1:10" ht="42" customHeight="1">
      <c r="A24" s="2441" t="s">
        <v>3078</v>
      </c>
      <c r="B24" s="3190" t="s">
        <v>3029</v>
      </c>
      <c r="C24" s="2438">
        <v>2300</v>
      </c>
      <c r="D24" s="749" t="s">
        <v>3087</v>
      </c>
      <c r="E24" s="2438">
        <f>'数据-汇总表'!E3</f>
        <v>0</v>
      </c>
      <c r="F24" s="3195" t="s">
        <v>3092</v>
      </c>
      <c r="G24" s="751">
        <f>C24*E24/10000</f>
        <v>0</v>
      </c>
      <c r="H24" s="751" t="e">
        <f>ROUND(G24*10000/'数据-汇总表'!D3,2)</f>
        <v>#DIV/0!</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t="e">
        <f>H26+H27+H28</f>
        <v>#DIV/0!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t="e">
        <f>ROUND(G26*10000/'数据-汇总表'!D3,2)</f>
        <v>#DIV/0!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t="e">
        <f>ROUND(G27*10000/'数据-汇总表'!D3,2)</f>
        <v>#DIV/0!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t="e">
        <f>ROUND(G28*10000/'数据-汇总表'!D3,2)</f>
        <v>#DIV/0!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t="e">
        <f>ROUND(G30*10000/'数据-汇总表'!D3,2)</f>
        <v>#DIV/0!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t="e">
        <f>ROUND(G31*10000/'数据-汇总表'!D3,2)</f>
        <v>#DIV/0!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t="e">
        <f>ROUND(G32*10000/'数据-汇总表'!D3,2)</f>
        <v>#DIV/0!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t="e">
        <f>ROUND(G33*10000/'数据-汇总表'!D3,2)</f>
        <v>#DIV/0!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t="e">
        <f>ROUND(H34*'数据-汇总表'!D3/10000,2)</f>
        <v>#DIV/0!</v>
      </c>
      <c r="H34" s="751">
        <v>100</v>
      </c>
      <c r="I34" s="3204">
        <v>100</v>
      </c>
      <c r="J34" s="3193" t="s">
        <v>3105</v>
      </c>
    </row>
    <row r="35" spans="1:10" ht="42" customHeight="1">
      <c r="A35" s="2434" t="s">
        <v>3044</v>
      </c>
      <c r="B35" s="3192" t="s">
        <v>3045</v>
      </c>
      <c r="C35" s="3200">
        <v>4.3499999999999997E-2</v>
      </c>
      <c r="D35" s="749" t="s">
        <v>3058</v>
      </c>
      <c r="E35" s="2438">
        <v>1</v>
      </c>
      <c r="F35" s="3195" t="s">
        <v>3106</v>
      </c>
      <c r="G35" s="751" t="e">
        <f>ROUND((G9+G29)*E35*C35+G34*(E35/2)*C35,2)</f>
        <v>#DIV/0!</v>
      </c>
      <c r="H35" s="751" t="e">
        <f>ROUND((H9+H29)*E35*C35+H34*(E35/2)*C35,2)</f>
        <v>#DIV/0!</v>
      </c>
      <c r="I35" s="3203">
        <f>ROUND((I9+I29)*E35*C35+I34*(E35/2)*C35,2)</f>
        <v>39.35</v>
      </c>
      <c r="J35" s="3193" t="s">
        <v>3107</v>
      </c>
    </row>
    <row r="36" spans="1:10" ht="30.75" customHeight="1">
      <c r="A36" s="2434" t="s">
        <v>3046</v>
      </c>
      <c r="B36" s="3192" t="s">
        <v>3047</v>
      </c>
      <c r="C36" s="3200">
        <v>0.08</v>
      </c>
      <c r="D36" s="749" t="s">
        <v>3058</v>
      </c>
      <c r="E36" s="749" t="s">
        <v>3058</v>
      </c>
      <c r="F36" s="3191" t="s">
        <v>3058</v>
      </c>
      <c r="G36" s="751" t="e">
        <f>ROUND((G9+G29+G34)*8%,2)</f>
        <v>#DIV/0!</v>
      </c>
      <c r="H36" s="751" t="e">
        <f>ROUND((H9+H29+H34)*8%,2)</f>
        <v>#DIV/0!</v>
      </c>
      <c r="I36" s="3204">
        <f>ROUND((I9+I29+I34)*8%,2)</f>
        <v>76.37</v>
      </c>
      <c r="J36" s="3193" t="s">
        <v>3108</v>
      </c>
    </row>
    <row r="37" spans="1:10" ht="31.5" customHeight="1">
      <c r="A37" s="2434" t="s">
        <v>3048</v>
      </c>
      <c r="B37" s="3192" t="s">
        <v>3049</v>
      </c>
      <c r="C37" s="749" t="s">
        <v>3058</v>
      </c>
      <c r="D37" s="749" t="s">
        <v>3058</v>
      </c>
      <c r="E37" s="749" t="s">
        <v>3058</v>
      </c>
      <c r="F37" s="3191" t="s">
        <v>3058</v>
      </c>
      <c r="G37" s="751" t="e">
        <f>ROUND(G9+G29+G34+G35+G36,2)</f>
        <v>#DIV/0!</v>
      </c>
      <c r="H37" s="751" t="e">
        <f>ROUND(H9+H29+H34+H35+H36,2)</f>
        <v>#DIV/0!</v>
      </c>
      <c r="I37" s="3204">
        <f>ROUND(I9+I29+I34+I35+I36,2)</f>
        <v>1070.3</v>
      </c>
      <c r="J37" s="3193" t="s">
        <v>3110</v>
      </c>
    </row>
    <row r="38" spans="1:10" ht="42" customHeight="1">
      <c r="A38" s="2434" t="s">
        <v>3050</v>
      </c>
      <c r="B38" s="3192" t="s">
        <v>3051</v>
      </c>
      <c r="C38" s="3200">
        <v>0.15</v>
      </c>
      <c r="D38" s="749" t="s">
        <v>3058</v>
      </c>
      <c r="E38" s="749" t="s">
        <v>3058</v>
      </c>
      <c r="F38" s="3191" t="s">
        <v>3058</v>
      </c>
      <c r="G38" s="751" t="e">
        <f>ROUND(G37*C38,2)</f>
        <v>#DIV/0!</v>
      </c>
      <c r="H38" s="751" t="e">
        <f>ROUND(H37*C38,2)</f>
        <v>#DIV/0!</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t="e">
        <f>ROUND((G37+G38)*C39*C40,0)</f>
        <v>#DIV/0!</v>
      </c>
      <c r="H41" s="751" t="e">
        <f>ROUND((H37+H38)*C39*C40,0)</f>
        <v>#DIV/0!</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50" t="s">
        <v>2065</v>
      </c>
      <c r="B1" s="3250"/>
      <c r="C1" s="3250"/>
      <c r="D1" s="3250"/>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2066</v>
      </c>
      <c r="B5" s="3253"/>
      <c r="C5" s="3253"/>
      <c r="D5" s="3253"/>
    </row>
    <row r="6" spans="1:4">
      <c r="A6" s="3250" t="s">
        <v>2044</v>
      </c>
      <c r="B6" s="3250"/>
      <c r="C6" s="3250"/>
      <c r="D6" s="3250"/>
    </row>
    <row r="7" spans="1:4" ht="33" customHeight="1">
      <c r="A7" s="3250" t="s">
        <v>2575</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2"/>
      <c r="C11" s="3252"/>
      <c r="D11" s="3252"/>
    </row>
    <row r="12" spans="1:4" ht="168" customHeight="1">
      <c r="A12" s="3253" t="s">
        <v>2068</v>
      </c>
      <c r="B12" s="3253"/>
      <c r="C12" s="3253"/>
      <c r="D12" s="3253"/>
    </row>
    <row r="13" spans="1:4">
      <c r="A13" s="3251" t="s">
        <v>2746</v>
      </c>
      <c r="B13" s="3251"/>
      <c r="C13" s="3251"/>
      <c r="D13" s="3251"/>
    </row>
    <row r="14" spans="1:4">
      <c r="A14" s="3252" t="str">
        <f>IF(项目基本情况!B8="抵押","综上，"&amp;结果表!K47,"——")</f>
        <v>综上，本次评估不存在估价师知悉的法定优先受偿款</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2702</v>
      </c>
      <c r="B17" s="3250"/>
      <c r="C17" s="3250"/>
      <c r="D17" s="3250"/>
    </row>
    <row r="18" spans="1:4">
      <c r="A18" s="3250" t="s">
        <v>2694</v>
      </c>
      <c r="B18" s="3250"/>
      <c r="C18" s="3250"/>
      <c r="D18" s="3250"/>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50" t="s">
        <v>2699</v>
      </c>
      <c r="B23" s="3250"/>
      <c r="C23" s="3250"/>
      <c r="D23" s="3250"/>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62" t="s">
        <v>53</v>
      </c>
      <c r="B15" s="3263" t="s">
        <v>846</v>
      </c>
      <c r="C15" s="3259"/>
    </row>
    <row r="16" spans="1:7" ht="14.25">
      <c r="A16" s="3262"/>
      <c r="B16" s="3260" t="s">
        <v>54</v>
      </c>
      <c r="C16" s="1168" t="s">
        <v>53</v>
      </c>
    </row>
    <row r="17" spans="1:3" ht="14.25">
      <c r="A17" s="3262"/>
      <c r="B17" s="3260"/>
      <c r="C17" s="1168" t="s">
        <v>55</v>
      </c>
    </row>
    <row r="18" spans="1:3" ht="14.25">
      <c r="A18" s="3262"/>
      <c r="B18" s="3260"/>
      <c r="C18" s="1168" t="s">
        <v>56</v>
      </c>
    </row>
    <row r="19" spans="1:3" ht="14.25">
      <c r="A19" s="3262"/>
      <c r="B19" s="3258" t="s">
        <v>57</v>
      </c>
      <c r="C19" s="3259"/>
    </row>
    <row r="20" spans="1:3" ht="14.25">
      <c r="A20" s="1169" t="s">
        <v>58</v>
      </c>
      <c r="B20" s="1170"/>
      <c r="C20" s="1171"/>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2" t="s">
        <v>837</v>
      </c>
    </row>
    <row r="25" spans="1:3" ht="14.25">
      <c r="A25" s="3261"/>
      <c r="B25" s="3265"/>
      <c r="C25" s="1172" t="s">
        <v>838</v>
      </c>
    </row>
    <row r="26" spans="1:3" ht="14.25">
      <c r="A26" s="3261"/>
      <c r="B26" s="3265"/>
      <c r="C26" s="1172" t="s">
        <v>839</v>
      </c>
    </row>
    <row r="27" spans="1:3" ht="14.25">
      <c r="A27" s="3261"/>
      <c r="B27" s="3265"/>
      <c r="C27" s="1172" t="s">
        <v>840</v>
      </c>
    </row>
    <row r="28" spans="1:3" ht="14.25">
      <c r="A28" s="3261"/>
      <c r="B28" s="3265"/>
      <c r="C28" s="1172" t="s">
        <v>841</v>
      </c>
    </row>
    <row r="29" spans="1:3" ht="14.25">
      <c r="A29" s="3261"/>
      <c r="B29" s="3265"/>
      <c r="C29" s="1172" t="s">
        <v>842</v>
      </c>
    </row>
    <row r="30" spans="1:3" ht="14.25">
      <c r="A30" s="3261"/>
      <c r="B30" s="3265"/>
      <c r="C30" s="1172" t="s">
        <v>843</v>
      </c>
    </row>
    <row r="31" spans="1:3" ht="14.25">
      <c r="A31" s="3261"/>
      <c r="B31" s="3265"/>
      <c r="C31" s="1172" t="s">
        <v>844</v>
      </c>
    </row>
    <row r="32" spans="1:3" ht="14.25">
      <c r="A32" s="3261"/>
      <c r="B32" s="3265"/>
      <c r="C32" s="1172" t="s">
        <v>1646</v>
      </c>
    </row>
    <row r="33" spans="1:3" ht="14.25">
      <c r="A33" s="3261"/>
      <c r="B33" s="3255" t="s">
        <v>1652</v>
      </c>
      <c r="C33" s="1172" t="s">
        <v>1647</v>
      </c>
    </row>
    <row r="34" spans="1:3" ht="14.25">
      <c r="A34" s="3261"/>
      <c r="B34" s="3256"/>
      <c r="C34" s="1177" t="s">
        <v>1648</v>
      </c>
    </row>
    <row r="35" spans="1:3" ht="14.25">
      <c r="A35" s="3261"/>
      <c r="B35" s="3256"/>
      <c r="C35" s="1178" t="s">
        <v>1649</v>
      </c>
    </row>
    <row r="36" spans="1:3" ht="14.25">
      <c r="A36" s="3261"/>
      <c r="B36" s="3256"/>
      <c r="C36" s="1178" t="s">
        <v>1650</v>
      </c>
    </row>
    <row r="37" spans="1:3" ht="14.25">
      <c r="A37" s="3261"/>
      <c r="B37" s="325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45097</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t="str">
        <f ca="1">IF(C11&lt;B2,"已过期",1120100036)</f>
        <v>已过期</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66" t="s">
        <v>1926</v>
      </c>
      <c r="B25" s="3266"/>
      <c r="C25" s="3266"/>
      <c r="D25" s="3266"/>
      <c r="E25" s="3266"/>
      <c r="F25" s="3266"/>
      <c r="G25" s="3266"/>
    </row>
    <row r="26" spans="1:7" ht="20.25" customHeight="1">
      <c r="A26" s="3267" t="s">
        <v>1927</v>
      </c>
      <c r="B26" s="3267"/>
      <c r="C26" s="3267"/>
      <c r="D26" s="3267" t="s">
        <v>1928</v>
      </c>
      <c r="E26" s="3267"/>
      <c r="F26" s="3267"/>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23日，在规划利用条件下、设定土地开发程度为红线外“七通”、宗地内场地，设定用途为，剩余土地使用年限为的出让国有建设用地使用权价格。</v>
      </c>
      <c r="D53" s="1753"/>
      <c r="E53" s="1753"/>
    </row>
    <row r="54" spans="1:5">
      <c r="A54" s="326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2023-06-20T06:15:25Z</dcterms:modified>
</cp:coreProperties>
</file>