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5" activeTab="19"/>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面积统计表" sheetId="70" state="hidden" r:id="rId12"/>
    <sheet name="数据-基础表" sheetId="3" r:id="rId13"/>
    <sheet name="住宅土地明细 (2)" sheetId="78" r:id="rId14"/>
    <sheet name="数据-汇总表" sheetId="6" r:id="rId15"/>
    <sheet name="数据-取费表" sheetId="1" r:id="rId16"/>
    <sheet name="估价对象房地状况" sheetId="20" r:id="rId17"/>
    <sheet name="工业土地明细 " sheetId="69" state="hidden" r:id="rId18"/>
    <sheet name="住宅土地明细" sheetId="68" state="hidden" r:id="rId19"/>
    <sheet name="系统读取表" sheetId="66" r:id="rId20"/>
    <sheet name="结果表" sheetId="9" r:id="rId21"/>
    <sheet name="剩余法-现房" sheetId="43" state="hidden" r:id="rId22"/>
    <sheet name="比较法-住宅、综合" sheetId="39"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土地案例" sheetId="71" r:id="rId33"/>
    <sheet name="剩余法-待开发" sheetId="12" r:id="rId34"/>
    <sheet name="不动产收益法" sheetId="15" r:id="rId35"/>
    <sheet name="酒店收入计算" sheetId="57" state="hidden" r:id="rId36"/>
    <sheet name="成本逼近法" sheetId="11" state="hidden" r:id="rId37"/>
    <sheet name="不动产比较法-小高层" sheetId="75" state="hidden" r:id="rId38"/>
    <sheet name="不动产比较法-多层" sheetId="74" r:id="rId39"/>
    <sheet name="不动产比较法-联排" sheetId="72"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 name="Sheet1" sheetId="77" r:id="rId48"/>
  </sheets>
  <externalReferences>
    <externalReference r:id="rId49"/>
    <externalReference r:id="rId50"/>
    <externalReference r:id="rId51"/>
    <externalReference r:id="rId52"/>
    <externalReference r:id="rId53"/>
  </externalReferences>
  <definedNames>
    <definedName name="_xlnm._FilterDatabase" localSheetId="23" hidden="1">'比较法-工业'!$A$1:$L$45</definedName>
    <definedName name="_xlnm._FilterDatabase" localSheetId="22"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38" hidden="1">'不动产比较法-多层'!$A$1:$L$49</definedName>
    <definedName name="_xlnm._FilterDatabase" localSheetId="42" hidden="1">'不动产比较法-工业'!$A$1:$L$43</definedName>
    <definedName name="_xlnm._FilterDatabase" localSheetId="39" hidden="1">'不动产比较法-联排'!$A$1:$L$49</definedName>
    <definedName name="_xlnm._FilterDatabase" localSheetId="40" hidden="1">'不动产比较法-商业'!$A$1:$L$49</definedName>
    <definedName name="_xlnm._FilterDatabase" localSheetId="37" hidden="1">'不动产比较法-小高层'!$A$1:$L$49</definedName>
    <definedName name="_xlnm._FilterDatabase" localSheetId="12" hidden="1">'数据-基础表'!$A$12:$AT$572</definedName>
    <definedName name="_xlnm._FilterDatabase" localSheetId="9" hidden="1">项目基本情况!$A$48:$N$48</definedName>
    <definedName name="_xlnm.Print_Area" localSheetId="13">'住宅土地明细 (2)'!$A$1:$AH$28</definedName>
    <definedName name="八级">区片价!$P$1:$P$40</definedName>
    <definedName name="办公层高" localSheetId="13">'[1]不动产比较法-办公'!$B$119:$M$119</definedName>
    <definedName name="办公层高">'不动产比较法-办公'!$B$119:$M$119</definedName>
    <definedName name="办公朝向" localSheetId="13">'[1]不动产比较法-办公'!$B$91:$M$91</definedName>
    <definedName name="办公朝向">'不动产比较法-办公'!$B$91:$M$91</definedName>
    <definedName name="办公道路级别" localSheetId="13">'[1]不动产比较法-办公'!$B$87:$M$87</definedName>
    <definedName name="办公道路级别">'不动产比较法-办公'!$B$87:$M$87</definedName>
    <definedName name="办公公共部分装修" localSheetId="13">'[1]不动产比较法-办公'!$B$108:$M$108</definedName>
    <definedName name="办公公共部分装修">'不动产比较法-办公'!$B$108:$M$108</definedName>
    <definedName name="办公基础设施水平" localSheetId="13">'[1]不动产比较法-办公'!$B$117:$M$117</definedName>
    <definedName name="办公基础设施水平">'不动产比较法-办公'!$B$117:$M$117</definedName>
    <definedName name="办公集聚程度" localSheetId="13">[1]定义!$M$1:$M$6</definedName>
    <definedName name="办公集聚程度">定义!$M$1:$M$6</definedName>
    <definedName name="办公建筑结构" localSheetId="13">'[1]不动产比较法-办公'!$B$106:$M$106</definedName>
    <definedName name="办公建筑结构">'不动产比较法-办公'!$B$106:$M$106</definedName>
    <definedName name="办公建筑类型" localSheetId="13">'[1]不动产比较法-办公'!$B$101:$M$101</definedName>
    <definedName name="办公建筑类型">'不动产比较法-办公'!$B$101:$M$101</definedName>
    <definedName name="办公交易情况" localSheetId="13">'[1]不动产比较法-办公'!$A$62:$M$62</definedName>
    <definedName name="办公交易情况">'不动产比较法-办公'!$A$62:$M$62</definedName>
    <definedName name="办公楼层" localSheetId="13">'[1]不动产比较法-办公'!$B$89:$M$89</definedName>
    <definedName name="办公楼层">'不动产比较法-办公'!$B$89:$M$89</definedName>
    <definedName name="办公内部装修" localSheetId="13">'[1]不动产比较法-办公'!$B$123:$M$123</definedName>
    <definedName name="办公内部装修">'不动产比较法-办公'!$B$123:$M$123</definedName>
    <definedName name="办公物业管理" localSheetId="13">'[1]不动产比较法-办公'!$B$115:$M$115</definedName>
    <definedName name="办公物业管理">'不动产比较法-办公'!$B$115:$M$115</definedName>
    <definedName name="办公用途" localSheetId="13">'[1]不动产比较法-办公'!$B$64:$M$64</definedName>
    <definedName name="办公用途">'不动产比较法-办公'!$B$64:$M$64</definedName>
    <definedName name="仓储公共部分装修" localSheetId="13">'[1]不动产比较法-仓储'!$B$77:$M$77</definedName>
    <definedName name="仓储公共部分装修">'不动产比较法-仓储'!$B$77:$M$77</definedName>
    <definedName name="仓储交易情况" localSheetId="13">'[1]不动产比较法-仓储'!$A$49:$M$49</definedName>
    <definedName name="仓储交易情况">'不动产比较法-仓储'!$A$49:$M$49</definedName>
    <definedName name="仓储楼层" localSheetId="13">'[1]不动产比较法-仓储'!$B$69:$M$69</definedName>
    <definedName name="仓储楼层">'不动产比较法-仓储'!$B$69:$M$69</definedName>
    <definedName name="仓储物业等级" localSheetId="13">'[1]不动产比较法-仓储'!$B$82:$M$82</definedName>
    <definedName name="仓储物业等级">'不动产比较法-仓储'!$B$82:$M$82</definedName>
    <definedName name="仓储用途" localSheetId="13">'[1]不动产比较法-仓储'!$B$51:$M$51</definedName>
    <definedName name="仓储用途">'不动产比较法-仓储'!$B$51:$M$51</definedName>
    <definedName name="产业集聚程度" localSheetId="13">[1]定义!$N$1:$N$6</definedName>
    <definedName name="产业集聚程度">定义!$N$1:$N$6</definedName>
    <definedName name="车位公共部分装修" localSheetId="13">'[1]不动产比较法-车位'!$B$83:$M$83</definedName>
    <definedName name="车位公共部分装修">'不动产比较法-车位'!$B$83:$M$83</definedName>
    <definedName name="车位交易情况" localSheetId="13">'[1]不动产比较法-车位'!$A$51:$M$51</definedName>
    <definedName name="车位交易情况">'不动产比较法-车位'!$A$51:$M$51</definedName>
    <definedName name="车位类型" localSheetId="13">'[1]不动产比较法-车位'!$B$93:$M$93</definedName>
    <definedName name="车位类型">'不动产比较法-车位'!$B$93:$M$93</definedName>
    <definedName name="车位楼层" localSheetId="13">'[1]不动产比较法-车位'!$B$71:$M$71</definedName>
    <definedName name="车位楼层">'不动产比较法-车位'!$B$71:$M$71</definedName>
    <definedName name="车位配套类型" localSheetId="13">'[1]不动产比较法-车位'!$B$79:$M$79</definedName>
    <definedName name="车位配套类型">'不动产比较法-车位'!$B$79:$M$79</definedName>
    <definedName name="车位物业等级" localSheetId="13">'[1]不动产比较法-车位'!$B$88:$M$88</definedName>
    <definedName name="车位物业等级">'不动产比较法-车位'!$B$88:$M$88</definedName>
    <definedName name="车位用途" localSheetId="13">'[1]不动产比较法-车位'!$B$53:$M$53</definedName>
    <definedName name="车位用途">'不动产比较法-车位'!$B$53:$M$53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区片价!$J$1:$J$20</definedName>
    <definedName name="二级分类" localSheetId="13">[1]修正!$C$17:$C$39</definedName>
    <definedName name="二级分类">修正!$C$17:$C$39</definedName>
    <definedName name="法定最高年限" localSheetId="13">[1]定义!$G$2:$G$4</definedName>
    <definedName name="法定最高年限">定义!$G$2:$G$4</definedName>
    <definedName name="工业公共部分装修" localSheetId="13">'[1]不动产比较法-工业'!$B$95:$M$95</definedName>
    <definedName name="工业公共部分装修">'不动产比较法-工业'!$B$95:$M$95</definedName>
    <definedName name="工业基础设施水平" localSheetId="13">'[1]不动产比较法-工业'!$B$102:$M$102</definedName>
    <definedName name="工业基础设施水平">'不动产比较法-工业'!$B$102:$M$102</definedName>
    <definedName name="工业建筑结构" localSheetId="13">'[1]不动产比较法-工业'!$B$93:$M$93</definedName>
    <definedName name="工业建筑结构">'不动产比较法-工业'!$B$93:$M$93</definedName>
    <definedName name="工业建筑类型" localSheetId="13">'[1]不动产比较法-工业'!$B$88:$M$88</definedName>
    <definedName name="工业建筑类型">'不动产比较法-工业'!$B$88:$M$88</definedName>
    <definedName name="工业交易情况" localSheetId="13">'[1]不动产比较法-工业'!$A$55:$M$55</definedName>
    <definedName name="工业交易情况">'不动产比较法-工业'!$A$55:$M$55</definedName>
    <definedName name="工业内部装修" localSheetId="13">'[1]不动产比较法-工业'!$B$104:$M$104</definedName>
    <definedName name="工业内部装修">'不动产比较法-工业'!$B$104:$M$104</definedName>
    <definedName name="工业物业管理" localSheetId="13">'[1]不动产比较法-工业'!$B$100:$M$100</definedName>
    <definedName name="工业物业管理">'不动产比较法-工业'!$B$100:$M$100</definedName>
    <definedName name="工业用途" localSheetId="13">'[1]不动产比较法-工业'!$B$57:$M$57</definedName>
    <definedName name="工业用途">'不动产比较法-工业'!$B$57:$M$57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基准地价!$N$19:$AG$19</definedName>
    <definedName name="季度2014">地价!$A$2:$A$20</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区片价!$O$1:$O$49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区片价!$K$1:$K$21</definedName>
    <definedName name="商业层高" localSheetId="13">'[1]不动产比较法-商业'!$B$116:$M$116</definedName>
    <definedName name="商业层高">'不动产比较法-商业'!$B$116:$M$116</definedName>
    <definedName name="商业成新度">'不动产比较法-商业'!$B$109:$M$109</definedName>
    <definedName name="商业繁华度" localSheetId="13">[1]定义!$L$1:$L$6</definedName>
    <definedName name="商业繁华度">定义!$L$1:$L$6</definedName>
    <definedName name="商业公共部分装修" localSheetId="13">'[1]不动产比较法-商业'!$B$107:$M$107</definedName>
    <definedName name="商业公共部分装修">'不动产比较法-商业'!$B$107:$M$107</definedName>
    <definedName name="商业基础设施水平" localSheetId="13">'[1]不动产比较法-商业'!$B$112:$M$112</definedName>
    <definedName name="商业基础设施水平">'不动产比较法-商业'!$B$112:$M$112</definedName>
    <definedName name="商业建筑结构" localSheetId="13">'[1]不动产比较法-商业'!$B$105:$M$105</definedName>
    <definedName name="商业建筑结构">'不动产比较法-商业'!$B$105:$M$105</definedName>
    <definedName name="商业交易情况" localSheetId="13">'[1]不动产比较法-商业'!$A$61:$M$61</definedName>
    <definedName name="商业交易情况">'不动产比较法-商业'!$A$61:$M$61</definedName>
    <definedName name="商业街名称" localSheetId="13">[1]修正!$C$59:$C$119</definedName>
    <definedName name="商业街名称">修正!$C$59:$C$119</definedName>
    <definedName name="商业进深比" localSheetId="13">'[1]不动产比较法-商业'!$B$120:$M$120</definedName>
    <definedName name="商业进深比">'不动产比较法-商业'!$B$120:$M$120</definedName>
    <definedName name="商业类型" localSheetId="13">'[1]不动产比较法-商业'!$B$100:$M$100</definedName>
    <definedName name="商业类型">'不动产比较法-商业'!$B$100:$M$100</definedName>
    <definedName name="商业临街状况" localSheetId="13">'[1]不动产比较法-商业'!$B$86:$M$86</definedName>
    <definedName name="商业临街状况">'不动产比较法-商业'!$B$86:$M$86</definedName>
    <definedName name="商业楼层" localSheetId="13">'[1]不动产比较法-商业'!$B$92:$M$92</definedName>
    <definedName name="商业楼层">'不动产比较法-商业'!$B$92:$M$92</definedName>
    <definedName name="商业内部装修" localSheetId="13">'[1]不动产比较法-商业'!$B$122:$M$122</definedName>
    <definedName name="商业内部装修">'不动产比较法-商业'!$B$122:$M$122</definedName>
    <definedName name="商业人流量" localSheetId="13">'[1]不动产比较法-商业'!$B$90:$M$90</definedName>
    <definedName name="商业人流量">'不动产比较法-商业'!$B$90:$M$90</definedName>
    <definedName name="商业业态" localSheetId="13">'[1]不动产比较法-商业'!$B$114:$M$114</definedName>
    <definedName name="商业业态">'不动产比较法-商业'!$B$114:$M$114</definedName>
    <definedName name="商业用途" localSheetId="13">'[1]不动产比较法-商业'!$B$63:$M$63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3">'[1]不动产比较法-仓储'!$B$89:$M$89</definedName>
    <definedName name="是否封闭">'不动产比较法-仓储'!$B$89:$M$89</definedName>
    <definedName name="是否直接入户" localSheetId="13">'[1]不动产比较法-车位'!$B$95:$M$95</definedName>
    <definedName name="是否直接入户">'不动产比较法-车位'!$B$95:$M$95</definedName>
    <definedName name="四级">区片价!$L$1:$L$28</definedName>
    <definedName name="套工交易情况" localSheetId="13">'[1]比较法-住宅、综合'!$A$75:$M$75</definedName>
    <definedName name="套工交易情况">'比较法-住宅、综合'!$A$75:$M$75</definedName>
    <definedName name="套工土地级别" localSheetId="13">'[1]比较法-工业'!$B$101:$M$101</definedName>
    <definedName name="套工土地级别">'比较法-工业'!$B$101:$M$101</definedName>
    <definedName name="套工用途" localSheetId="13">'[1]比较法-工业'!$B$72:$M$72</definedName>
    <definedName name="套工用途">'比较法-工业'!$B$72:$M$72</definedName>
    <definedName name="套综道路等级" localSheetId="13">'[1]比较法-住宅、综合'!$B$108:$M$108</definedName>
    <definedName name="套综道路等级">'比较法-住宅、综合'!$B$108:$M$108</definedName>
    <definedName name="套综工程地质条件" localSheetId="13">'[1]比较法-住宅、综合'!$B$127:$M$127</definedName>
    <definedName name="套综工程地质条件">'比较法-住宅、综合'!$B$127:$M$127</definedName>
    <definedName name="套综交易情况" localSheetId="13">'[1]比较法-住宅、综合'!$A$75:$M$75</definedName>
    <definedName name="套综交易情况">'比较法-住宅、综合'!$A$75:$M$75</definedName>
    <definedName name="套综临街宽度及深度" localSheetId="13">'[1]比较法-住宅、综合'!$B$123:$M$123</definedName>
    <definedName name="套综临街宽度及深度">'比较法-住宅、综合'!$B$123:$M$123</definedName>
    <definedName name="套综土地级别" localSheetId="13">'[1]比较法-住宅、综合'!$B$110:$M$110</definedName>
    <definedName name="套综土地级别">'比较法-住宅、综合'!$B$110:$M$110</definedName>
    <definedName name="套综用途" localSheetId="13">'[1]比较法-住宅、综合'!$B$77:$M$77</definedName>
    <definedName name="套综用途">'比较法-住宅、综合'!$B$77:$M$77</definedName>
    <definedName name="套综宗地内开发程度" localSheetId="13">'[1]比较法-住宅、综合'!$B$125:$M$125</definedName>
    <definedName name="套综宗地内开发程度">'比较法-住宅、综合'!$B$125:$M$125</definedName>
    <definedName name="套综宗地形状" localSheetId="13">'[1]比较法-住宅、综合'!$B$121:$M$121</definedName>
    <definedName name="套综宗地形状">'比较法-住宅、综合'!$B$121:$M$121</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区片价!$M$1:$M$35</definedName>
    <definedName name="项目类型" localSheetId="13">'[1]数据-汇总表'!$C$17:$C$26</definedName>
    <definedName name="项目类型">'数据-汇总表'!$C$17:$C$26</definedName>
    <definedName name="写字楼等级" localSheetId="13">'[1]不动产比较法-办公'!$B$113:$M$113</definedName>
    <definedName name="写字楼等级">'不动产比较法-办公'!$B$113:$M$113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类型" localSheetId="13">[1]定义!$A$1:$A$50</definedName>
    <definedName name="用途类型">定义!$A$1:$A$50</definedName>
    <definedName name="有无电梯" localSheetId="13">'[1]不动产比较法-仓储'!$B$84:$M$84</definedName>
    <definedName name="有无电梯">'不动产比较法-仓储'!$B$84:$M$84</definedName>
    <definedName name="主用途" localSheetId="13">[1]定义!$F$1:$F$10</definedName>
    <definedName name="主用途">定义!$F$1:$F$10</definedName>
    <definedName name="住宅朝向" localSheetId="38">'不动产比较法-多层'!$B$88:$M$88</definedName>
    <definedName name="住宅朝向" localSheetId="39">'不动产比较法-联排'!$B$88:$M$88</definedName>
    <definedName name="住宅朝向" localSheetId="37">'不动产比较法-小高层'!$B$88:$M$88</definedName>
    <definedName name="住宅朝向" localSheetId="13">#REF!</definedName>
    <definedName name="住宅朝向">#REF!</definedName>
    <definedName name="住宅房型" localSheetId="38">'不动产比较法-多层'!$B$118:$M$118</definedName>
    <definedName name="住宅房型" localSheetId="39">'不动产比较法-联排'!$B$118:$M$118</definedName>
    <definedName name="住宅房型" localSheetId="37">'不动产比较法-小高层'!$B$118:$M$118</definedName>
    <definedName name="住宅房型" localSheetId="13">#REF!</definedName>
    <definedName name="住宅房型">#REF!</definedName>
    <definedName name="住宅公共部分装修" localSheetId="38">'不动产比较法-多层'!$B$109:$M$109</definedName>
    <definedName name="住宅公共部分装修" localSheetId="39">'不动产比较法-联排'!$B$109:$M$109</definedName>
    <definedName name="住宅公共部分装修" localSheetId="37">'不动产比较法-小高层'!$B$109:$M$109</definedName>
    <definedName name="住宅公共部分装修" localSheetId="13">#REF!</definedName>
    <definedName name="住宅公共部分装修">#REF!</definedName>
    <definedName name="住宅基础设施水平" localSheetId="38">'不动产比较法-多层'!$B$116:$M$116</definedName>
    <definedName name="住宅基础设施水平" localSheetId="39">'不动产比较法-联排'!$B$116:$M$116</definedName>
    <definedName name="住宅基础设施水平" localSheetId="37">'不动产比较法-小高层'!$B$116:$M$116</definedName>
    <definedName name="住宅基础设施水平" localSheetId="13">#REF!</definedName>
    <definedName name="住宅基础设施水平">#REF!</definedName>
    <definedName name="住宅建筑结构" localSheetId="38">'不动产比较法-多层'!$B$105:$M$105</definedName>
    <definedName name="住宅建筑结构" localSheetId="39">'不动产比较法-联排'!$B$105:$M$105</definedName>
    <definedName name="住宅建筑结构" localSheetId="37">'不动产比较法-小高层'!$B$105:$M$105</definedName>
    <definedName name="住宅建筑结构" localSheetId="13">#REF!</definedName>
    <definedName name="住宅建筑结构">#REF!</definedName>
    <definedName name="住宅建筑类型" localSheetId="38">'不动产比较法-多层'!$B$100:$M$100</definedName>
    <definedName name="住宅建筑类型" localSheetId="39">'不动产比较法-联排'!$B$100:$M$100</definedName>
    <definedName name="住宅建筑类型" localSheetId="37">'不动产比较法-小高层'!$B$100:$M$100</definedName>
    <definedName name="住宅建筑类型" localSheetId="13">#REF!</definedName>
    <definedName name="住宅建筑类型">#REF!</definedName>
    <definedName name="住宅建筑品质" localSheetId="38">'不动产比较法-多层'!$B$107:$M$107</definedName>
    <definedName name="住宅建筑品质" localSheetId="39">'不动产比较法-联排'!$B$107:$M$107</definedName>
    <definedName name="住宅建筑品质" localSheetId="37">'不动产比较法-小高层'!$B$107:$M$107</definedName>
    <definedName name="住宅建筑品质" localSheetId="13">#REF!</definedName>
    <definedName name="住宅建筑品质">#REF!</definedName>
    <definedName name="住宅交易情况" localSheetId="38">'不动产比较法-多层'!$A$61:$M$61</definedName>
    <definedName name="住宅交易情况" localSheetId="39">'不动产比较法-联排'!$A$61:$M$61</definedName>
    <definedName name="住宅交易情况" localSheetId="37">'不动产比较法-小高层'!$A$61:$M$61</definedName>
    <definedName name="住宅交易情况" localSheetId="13">#REF!</definedName>
    <definedName name="住宅交易情况">#REF!</definedName>
    <definedName name="住宅楼层" localSheetId="38">'不动产比较法-多层'!$B$86:$M$86</definedName>
    <definedName name="住宅楼层" localSheetId="39">'不动产比较法-联排'!$B$86:$M$86</definedName>
    <definedName name="住宅楼层" localSheetId="37">'不动产比较法-小高层'!$B$86:$M$86</definedName>
    <definedName name="住宅楼层" localSheetId="13">#REF!</definedName>
    <definedName name="住宅楼层">#REF!</definedName>
    <definedName name="住宅内部装修" localSheetId="38">'不动产比较法-多层'!$B$122:$M$122</definedName>
    <definedName name="住宅内部装修" localSheetId="39">'不动产比较法-联排'!$B$122:$M$122</definedName>
    <definedName name="住宅内部装修" localSheetId="37">'不动产比较法-小高层'!$B$122:$M$122</definedName>
    <definedName name="住宅内部装修" localSheetId="13">#REF!</definedName>
    <definedName name="住宅内部装修">#REF!</definedName>
    <definedName name="住宅物业管理" localSheetId="38">'不动产比较法-多层'!$B$114:$M$114</definedName>
    <definedName name="住宅物业管理" localSheetId="39">'不动产比较法-联排'!$B$114:$M$114</definedName>
    <definedName name="住宅物业管理" localSheetId="37">'不动产比较法-小高层'!$B$114:$M$114</definedName>
    <definedName name="住宅物业管理" localSheetId="13">#REF!</definedName>
    <definedName name="住宅物业管理">#REF!</definedName>
    <definedName name="住宅用途" localSheetId="38">'不动产比较法-多层'!$B$63:$M$63</definedName>
    <definedName name="住宅用途" localSheetId="39">'不动产比较法-联排'!$B$63:$M$63</definedName>
    <definedName name="住宅用途" localSheetId="37">'不动产比较法-小高层'!$B$63:$M$63</definedName>
    <definedName name="住宅用途" localSheetId="13">#REF!</definedName>
    <definedName name="住宅用途">#REF!</definedName>
    <definedName name="住宅主力户型面积" localSheetId="38">'不动产比较法-多层'!$B$120:$M$120</definedName>
    <definedName name="住宅主力户型面积" localSheetId="39">'不动产比较法-联排'!$B$120:$M$120</definedName>
    <definedName name="住宅主力户型面积" localSheetId="37">'不动产比较法-小高层'!$B$120:$M$120</definedName>
    <definedName name="住宅主力户型面积">#REF!</definedName>
    <definedName name="注册房地产估价师">估价师及机构信息!$A$3:$A$24</definedName>
  </definedNames>
  <calcPr calcId="145621"/>
</workbook>
</file>

<file path=xl/calcChain.xml><?xml version="1.0" encoding="utf-8"?>
<calcChain xmlns="http://schemas.openxmlformats.org/spreadsheetml/2006/main">
  <c r="M15" i="9" l="1"/>
  <c r="G17" i="66" l="1"/>
  <c r="D17" i="66" s="1"/>
  <c r="E47" i="75" l="1"/>
  <c r="G47" i="75"/>
  <c r="I47" i="75"/>
  <c r="I47" i="74"/>
  <c r="G47" i="74"/>
  <c r="E47" i="74"/>
  <c r="Y27" i="78" l="1"/>
  <c r="X27" i="78"/>
  <c r="M27" i="78"/>
  <c r="Z26" i="78"/>
  <c r="Z25" i="78"/>
  <c r="Z24" i="78"/>
  <c r="Z23" i="78"/>
  <c r="Z22" i="78"/>
  <c r="M22" i="78"/>
  <c r="A3" i="3" s="1"/>
  <c r="AD21" i="78"/>
  <c r="Y21" i="78"/>
  <c r="X21" i="78" s="1"/>
  <c r="X22" i="78" s="1"/>
  <c r="K13" i="3" s="1"/>
  <c r="M20" i="78"/>
  <c r="AD19" i="78"/>
  <c r="Y19" i="78"/>
  <c r="X19" i="78" s="1"/>
  <c r="AD18" i="78"/>
  <c r="Y18" i="78"/>
  <c r="X18" i="78" s="1"/>
  <c r="AD17" i="78"/>
  <c r="Y17" i="78"/>
  <c r="X17" i="78" s="1"/>
  <c r="AD16" i="78"/>
  <c r="Y16" i="78"/>
  <c r="X16" i="78"/>
  <c r="AD15" i="78"/>
  <c r="Y15" i="78"/>
  <c r="X15" i="78" s="1"/>
  <c r="AD14" i="78"/>
  <c r="Y14" i="78"/>
  <c r="X14" i="78" s="1"/>
  <c r="AD13" i="78"/>
  <c r="Y13" i="78"/>
  <c r="X13" i="78" s="1"/>
  <c r="AD12" i="78"/>
  <c r="Y12" i="78"/>
  <c r="X12" i="78"/>
  <c r="AD11" i="78"/>
  <c r="Y11" i="78"/>
  <c r="X11" i="78" s="1"/>
  <c r="AD10" i="78"/>
  <c r="Y10" i="78"/>
  <c r="X10" i="78" s="1"/>
  <c r="AD9" i="78"/>
  <c r="Y9" i="78"/>
  <c r="X9" i="78" s="1"/>
  <c r="AD8" i="78"/>
  <c r="Z8" i="78"/>
  <c r="Z20" i="78" s="1"/>
  <c r="M7" i="78"/>
  <c r="M28" i="78" s="1"/>
  <c r="AD6" i="78"/>
  <c r="Y6" i="78"/>
  <c r="X6" i="78" s="1"/>
  <c r="X7" i="78" s="1"/>
  <c r="AD5" i="78"/>
  <c r="Z5" i="78"/>
  <c r="AD4" i="78"/>
  <c r="Z4" i="78"/>
  <c r="AD3" i="78"/>
  <c r="Z3" i="78"/>
  <c r="Z7" i="78" s="1"/>
  <c r="Y22" i="78" l="1"/>
  <c r="O13" i="3" s="1"/>
  <c r="Z27" i="78"/>
  <c r="AF27" i="78"/>
  <c r="AG22" i="78"/>
  <c r="AG20" i="78"/>
  <c r="AG7" i="78"/>
  <c r="AF22" i="78"/>
  <c r="AH22" i="78" s="1"/>
  <c r="AF20" i="78"/>
  <c r="AF7" i="78"/>
  <c r="AG27" i="78"/>
  <c r="X20" i="78"/>
  <c r="Z28" i="78"/>
  <c r="W28" i="78" s="1"/>
  <c r="X28" i="78"/>
  <c r="Y7" i="78"/>
  <c r="Y20" i="78"/>
  <c r="Y28" i="78" l="1"/>
  <c r="Y35" i="78" s="1"/>
  <c r="Y36" i="78" s="1"/>
  <c r="AF28" i="78"/>
  <c r="AH7" i="78"/>
  <c r="AH20" i="78"/>
  <c r="AG28" i="78"/>
  <c r="AH27" i="78"/>
  <c r="AH28" i="78" l="1"/>
  <c r="E40" i="39" l="1"/>
  <c r="E9" i="39"/>
  <c r="E7" i="39"/>
  <c r="E47" i="72" l="1"/>
  <c r="G47" i="72"/>
  <c r="I47" i="72"/>
  <c r="K23" i="74"/>
  <c r="E11" i="74"/>
  <c r="E33" i="75"/>
  <c r="E11" i="75"/>
  <c r="E6" i="75"/>
  <c r="E6" i="74" s="1"/>
  <c r="E5" i="75"/>
  <c r="E5" i="74" s="1"/>
  <c r="K21" i="74" l="1"/>
  <c r="K19" i="74"/>
  <c r="K17" i="74"/>
  <c r="K15" i="74"/>
  <c r="N12" i="9" l="1"/>
  <c r="L10" i="9"/>
  <c r="L18" i="9" s="1"/>
  <c r="L11" i="9"/>
  <c r="L19" i="9" s="1"/>
  <c r="L9" i="9"/>
  <c r="L17" i="9" s="1"/>
  <c r="K9" i="9"/>
  <c r="F22" i="6" l="1"/>
  <c r="F19" i="6"/>
  <c r="C145" i="75"/>
  <c r="K139" i="75" s="1"/>
  <c r="J142" i="75"/>
  <c r="J140" i="75"/>
  <c r="B130" i="75"/>
  <c r="B128" i="75"/>
  <c r="B126" i="75"/>
  <c r="D125" i="75"/>
  <c r="E125" i="75" s="1"/>
  <c r="F125" i="75" s="1"/>
  <c r="G125" i="75" s="1"/>
  <c r="D123" i="75"/>
  <c r="E123" i="75" s="1"/>
  <c r="F123" i="75" s="1"/>
  <c r="G123" i="75" s="1"/>
  <c r="H123" i="75" s="1"/>
  <c r="I123" i="75" s="1"/>
  <c r="J123" i="75" s="1"/>
  <c r="K123" i="75" s="1"/>
  <c r="L123" i="75" s="1"/>
  <c r="M123" i="75" s="1"/>
  <c r="D119" i="75"/>
  <c r="E119" i="75" s="1"/>
  <c r="F119" i="75" s="1"/>
  <c r="G119" i="75" s="1"/>
  <c r="H119" i="75" s="1"/>
  <c r="I119" i="75" s="1"/>
  <c r="J119" i="75" s="1"/>
  <c r="K119" i="75" s="1"/>
  <c r="L119" i="75" s="1"/>
  <c r="M119" i="75" s="1"/>
  <c r="D117" i="75"/>
  <c r="E117" i="75" s="1"/>
  <c r="F117" i="75" s="1"/>
  <c r="G117" i="75" s="1"/>
  <c r="D115" i="75"/>
  <c r="E115" i="75" s="1"/>
  <c r="F115" i="75" s="1"/>
  <c r="G115" i="75" s="1"/>
  <c r="H115" i="75" s="1"/>
  <c r="I115" i="75" s="1"/>
  <c r="J115" i="75" s="1"/>
  <c r="K115" i="75" s="1"/>
  <c r="L115" i="75" s="1"/>
  <c r="M115" i="75" s="1"/>
  <c r="E113" i="75"/>
  <c r="F113" i="75" s="1"/>
  <c r="G113" i="75" s="1"/>
  <c r="H113" i="75" s="1"/>
  <c r="D113" i="75"/>
  <c r="H111" i="75"/>
  <c r="G111" i="75"/>
  <c r="F111" i="75"/>
  <c r="E111" i="75"/>
  <c r="D111" i="75"/>
  <c r="C111" i="75"/>
  <c r="E110" i="75"/>
  <c r="F110" i="75" s="1"/>
  <c r="G110" i="75" s="1"/>
  <c r="H110" i="75" s="1"/>
  <c r="I110" i="75" s="1"/>
  <c r="J110" i="75" s="1"/>
  <c r="K110" i="75" s="1"/>
  <c r="L110" i="75" s="1"/>
  <c r="M110" i="75" s="1"/>
  <c r="D110" i="75"/>
  <c r="E108" i="75"/>
  <c r="F108" i="75" s="1"/>
  <c r="G108" i="75" s="1"/>
  <c r="H108" i="75" s="1"/>
  <c r="I108" i="75" s="1"/>
  <c r="J108" i="75" s="1"/>
  <c r="K108" i="75" s="1"/>
  <c r="L108" i="75" s="1"/>
  <c r="M108" i="75" s="1"/>
  <c r="D108" i="75"/>
  <c r="E106" i="75"/>
  <c r="F106" i="75" s="1"/>
  <c r="G106" i="75" s="1"/>
  <c r="H106" i="75" s="1"/>
  <c r="I106" i="75" s="1"/>
  <c r="J106" i="75" s="1"/>
  <c r="K106" i="75" s="1"/>
  <c r="L106" i="75" s="1"/>
  <c r="M106" i="75" s="1"/>
  <c r="D106" i="75"/>
  <c r="M102" i="75"/>
  <c r="L102" i="75"/>
  <c r="K102" i="75"/>
  <c r="J102" i="75"/>
  <c r="I102" i="75"/>
  <c r="H102" i="75"/>
  <c r="G102" i="75"/>
  <c r="F102" i="75"/>
  <c r="E102" i="75"/>
  <c r="D102" i="75"/>
  <c r="C102" i="75"/>
  <c r="D101" i="75"/>
  <c r="E101" i="75" s="1"/>
  <c r="F101" i="75" s="1"/>
  <c r="G101" i="75" s="1"/>
  <c r="H101" i="75" s="1"/>
  <c r="I101" i="75" s="1"/>
  <c r="J101" i="75" s="1"/>
  <c r="K101" i="75" s="1"/>
  <c r="L101" i="75" s="1"/>
  <c r="M101" i="75" s="1"/>
  <c r="B98" i="75"/>
  <c r="B96" i="75"/>
  <c r="B94" i="75"/>
  <c r="B92" i="75"/>
  <c r="B90" i="75"/>
  <c r="D89" i="75"/>
  <c r="E89" i="75" s="1"/>
  <c r="F89" i="75" s="1"/>
  <c r="G89" i="75" s="1"/>
  <c r="H89" i="75" s="1"/>
  <c r="I89" i="75" s="1"/>
  <c r="J89" i="75" s="1"/>
  <c r="K89" i="75" s="1"/>
  <c r="L89" i="75" s="1"/>
  <c r="M89" i="75" s="1"/>
  <c r="M87" i="75"/>
  <c r="L87" i="75"/>
  <c r="K87" i="75"/>
  <c r="J87" i="75"/>
  <c r="I87" i="75"/>
  <c r="H87" i="75"/>
  <c r="G87" i="75"/>
  <c r="F87" i="75"/>
  <c r="E87" i="75"/>
  <c r="D87" i="75"/>
  <c r="D85" i="75"/>
  <c r="E85" i="75" s="1"/>
  <c r="F85" i="75" s="1"/>
  <c r="G85" i="75" s="1"/>
  <c r="D83" i="75"/>
  <c r="E83" i="75" s="1"/>
  <c r="F83" i="75" s="1"/>
  <c r="G83" i="75" s="1"/>
  <c r="D81" i="75"/>
  <c r="E81" i="75" s="1"/>
  <c r="D79" i="75"/>
  <c r="E79" i="75" s="1"/>
  <c r="D77" i="75"/>
  <c r="E77" i="75" s="1"/>
  <c r="B74" i="75"/>
  <c r="B72" i="75"/>
  <c r="B70" i="75"/>
  <c r="D69" i="75"/>
  <c r="E69" i="75" s="1"/>
  <c r="F69" i="75" s="1"/>
  <c r="G69" i="75" s="1"/>
  <c r="H69" i="75" s="1"/>
  <c r="I69" i="75" s="1"/>
  <c r="J69" i="75" s="1"/>
  <c r="K69" i="75" s="1"/>
  <c r="L69" i="75" s="1"/>
  <c r="M69" i="75" s="1"/>
  <c r="M67" i="75"/>
  <c r="L67" i="75"/>
  <c r="K67" i="75"/>
  <c r="J67" i="75"/>
  <c r="I67" i="75"/>
  <c r="H67" i="75"/>
  <c r="G67" i="75"/>
  <c r="F67" i="75"/>
  <c r="E67" i="75"/>
  <c r="D67" i="75"/>
  <c r="C67" i="75"/>
  <c r="E66" i="75"/>
  <c r="F66" i="75" s="1"/>
  <c r="G66" i="75" s="1"/>
  <c r="H66" i="75" s="1"/>
  <c r="I66" i="75" s="1"/>
  <c r="D66" i="75"/>
  <c r="C63" i="75"/>
  <c r="P49" i="75"/>
  <c r="P48" i="75"/>
  <c r="T47" i="75"/>
  <c r="P47" i="75"/>
  <c r="I54" i="75"/>
  <c r="J54" i="75" s="1"/>
  <c r="E54" i="75"/>
  <c r="F54" i="75" s="1"/>
  <c r="Q46" i="75"/>
  <c r="Z46" i="75" s="1"/>
  <c r="J46" i="75"/>
  <c r="AC46" i="75" s="1"/>
  <c r="H46" i="75"/>
  <c r="AB46" i="75" s="1"/>
  <c r="F46" i="75"/>
  <c r="AA46" i="75" s="1"/>
  <c r="Q45" i="75"/>
  <c r="Z45" i="75" s="1"/>
  <c r="J45" i="75"/>
  <c r="H45" i="75"/>
  <c r="AB45" i="75" s="1"/>
  <c r="F45" i="75"/>
  <c r="Q44" i="75"/>
  <c r="Z44" i="75" s="1"/>
  <c r="J44" i="75"/>
  <c r="AC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J36" i="75"/>
  <c r="AC36" i="75" s="1"/>
  <c r="H36" i="75"/>
  <c r="AB36" i="75" s="1"/>
  <c r="F36" i="75"/>
  <c r="AA36" i="75" s="1"/>
  <c r="Q35" i="75"/>
  <c r="Z35" i="75" s="1"/>
  <c r="J35" i="75"/>
  <c r="AC35" i="75" s="1"/>
  <c r="H35" i="75"/>
  <c r="AB35" i="75" s="1"/>
  <c r="F35" i="75"/>
  <c r="AA35" i="75" s="1"/>
  <c r="Q34" i="75"/>
  <c r="Z34" i="75" s="1"/>
  <c r="J34" i="75"/>
  <c r="AC34" i="75" s="1"/>
  <c r="H34" i="75"/>
  <c r="AB34" i="75" s="1"/>
  <c r="F34" i="75"/>
  <c r="AA34" i="75" s="1"/>
  <c r="Q33" i="75"/>
  <c r="Z33" i="75" s="1"/>
  <c r="Q32" i="75"/>
  <c r="Z32" i="75" s="1"/>
  <c r="J32" i="75"/>
  <c r="AC32" i="75" s="1"/>
  <c r="H32" i="75"/>
  <c r="AB32" i="75" s="1"/>
  <c r="F32" i="75"/>
  <c r="AA32" i="75" s="1"/>
  <c r="Q31" i="75"/>
  <c r="Z31" i="75" s="1"/>
  <c r="J31" i="75"/>
  <c r="AC31" i="75" s="1"/>
  <c r="H31" i="75"/>
  <c r="AB31" i="75" s="1"/>
  <c r="F31" i="75"/>
  <c r="AA31" i="75" s="1"/>
  <c r="Q30" i="75"/>
  <c r="Z30" i="75" s="1"/>
  <c r="J30" i="75"/>
  <c r="AC30" i="75" s="1"/>
  <c r="H30" i="75"/>
  <c r="AB30" i="75" s="1"/>
  <c r="F30" i="75"/>
  <c r="AA30" i="75" s="1"/>
  <c r="Q29" i="75"/>
  <c r="Z29" i="75" s="1"/>
  <c r="J29" i="75"/>
  <c r="AC29" i="75" s="1"/>
  <c r="H29" i="75"/>
  <c r="AB29" i="75" s="1"/>
  <c r="F29" i="75"/>
  <c r="AA29" i="75" s="1"/>
  <c r="Q28" i="75"/>
  <c r="Z28" i="75" s="1"/>
  <c r="J28" i="75"/>
  <c r="AC28" i="75" s="1"/>
  <c r="H28" i="75"/>
  <c r="AB28" i="75" s="1"/>
  <c r="F28" i="75"/>
  <c r="AA28" i="75" s="1"/>
  <c r="Q27" i="75"/>
  <c r="Z27" i="75" s="1"/>
  <c r="J27" i="75"/>
  <c r="AC27" i="75" s="1"/>
  <c r="H27" i="75"/>
  <c r="AB27" i="75" s="1"/>
  <c r="F27" i="75"/>
  <c r="AA27" i="75" s="1"/>
  <c r="Q26" i="75"/>
  <c r="Z26" i="75" s="1"/>
  <c r="J26" i="75"/>
  <c r="AC26" i="75" s="1"/>
  <c r="H26" i="75"/>
  <c r="AB26" i="75" s="1"/>
  <c r="F26" i="75"/>
  <c r="AA26" i="75" s="1"/>
  <c r="Q25" i="75"/>
  <c r="Z25" i="75" s="1"/>
  <c r="J25" i="75"/>
  <c r="AC25" i="75" s="1"/>
  <c r="H25" i="75"/>
  <c r="AB25" i="75" s="1"/>
  <c r="F25" i="75"/>
  <c r="AA25" i="75" s="1"/>
  <c r="Q23" i="75"/>
  <c r="Z23" i="75" s="1"/>
  <c r="J23" i="75"/>
  <c r="AC23" i="75" s="1"/>
  <c r="H23" i="75"/>
  <c r="AB23" i="75" s="1"/>
  <c r="F23" i="75"/>
  <c r="AA23" i="75" s="1"/>
  <c r="C23" i="75"/>
  <c r="Q21" i="75"/>
  <c r="Z21" i="75" s="1"/>
  <c r="J21" i="75"/>
  <c r="AC21" i="75" s="1"/>
  <c r="H21" i="75"/>
  <c r="AB21" i="75" s="1"/>
  <c r="F21" i="75"/>
  <c r="AA21" i="75" s="1"/>
  <c r="C21" i="75"/>
  <c r="Q19" i="75"/>
  <c r="Z19" i="75" s="1"/>
  <c r="C19" i="75"/>
  <c r="Q17" i="75"/>
  <c r="Z17" i="75" s="1"/>
  <c r="C17" i="75"/>
  <c r="Q15" i="75"/>
  <c r="Z15" i="75" s="1"/>
  <c r="C15" i="75"/>
  <c r="Q14" i="75"/>
  <c r="Z14" i="75" s="1"/>
  <c r="J14" i="75"/>
  <c r="AC14" i="75" s="1"/>
  <c r="H14" i="75"/>
  <c r="AB14" i="75" s="1"/>
  <c r="F14" i="75"/>
  <c r="AA14" i="75" s="1"/>
  <c r="Q13" i="75"/>
  <c r="Z13" i="75" s="1"/>
  <c r="J13" i="75"/>
  <c r="AC13" i="75" s="1"/>
  <c r="H13" i="75"/>
  <c r="AB13" i="75" s="1"/>
  <c r="F13" i="75"/>
  <c r="AA13" i="75" s="1"/>
  <c r="Q12" i="75"/>
  <c r="Z12" i="75" s="1"/>
  <c r="J12" i="75"/>
  <c r="AC12" i="75" s="1"/>
  <c r="H12" i="75"/>
  <c r="AB12" i="75" s="1"/>
  <c r="F12" i="75"/>
  <c r="AA12" i="75" s="1"/>
  <c r="Q11" i="75"/>
  <c r="Z11" i="75" s="1"/>
  <c r="Q10" i="75"/>
  <c r="Z10" i="75" s="1"/>
  <c r="J10" i="75"/>
  <c r="AC10" i="75" s="1"/>
  <c r="H10" i="75"/>
  <c r="AB10" i="75" s="1"/>
  <c r="F10" i="75"/>
  <c r="AA10" i="75" s="1"/>
  <c r="Q9" i="75"/>
  <c r="Z9" i="75" s="1"/>
  <c r="J9" i="75"/>
  <c r="AC9" i="75" s="1"/>
  <c r="H9" i="75"/>
  <c r="AB9" i="75" s="1"/>
  <c r="F9" i="75"/>
  <c r="AA9" i="75" s="1"/>
  <c r="J8" i="75"/>
  <c r="AC8" i="75" s="1"/>
  <c r="H8" i="75"/>
  <c r="U8" i="75" s="1"/>
  <c r="F8" i="75"/>
  <c r="AA8" i="75" s="1"/>
  <c r="G7" i="75"/>
  <c r="I7" i="75" s="1"/>
  <c r="F21" i="6"/>
  <c r="F20" i="6"/>
  <c r="D3" i="4"/>
  <c r="I54" i="74"/>
  <c r="J54" i="74" s="1"/>
  <c r="T47" i="74"/>
  <c r="C145" i="74"/>
  <c r="K139" i="74" s="1"/>
  <c r="J142" i="74"/>
  <c r="J140" i="74"/>
  <c r="B130" i="74"/>
  <c r="B128" i="74"/>
  <c r="B126" i="74"/>
  <c r="D125" i="74"/>
  <c r="E125" i="74" s="1"/>
  <c r="F125" i="74" s="1"/>
  <c r="G125" i="74" s="1"/>
  <c r="D123" i="74"/>
  <c r="E123" i="74" s="1"/>
  <c r="F123" i="74" s="1"/>
  <c r="G123" i="74" s="1"/>
  <c r="H123" i="74" s="1"/>
  <c r="I123" i="74" s="1"/>
  <c r="J123" i="74" s="1"/>
  <c r="K123" i="74" s="1"/>
  <c r="L123" i="74" s="1"/>
  <c r="M123" i="74" s="1"/>
  <c r="D119" i="74"/>
  <c r="E119" i="74" s="1"/>
  <c r="F119" i="74" s="1"/>
  <c r="G119" i="74" s="1"/>
  <c r="H119" i="74" s="1"/>
  <c r="I119" i="74" s="1"/>
  <c r="J119" i="74" s="1"/>
  <c r="K119" i="74" s="1"/>
  <c r="L119" i="74" s="1"/>
  <c r="M119" i="74" s="1"/>
  <c r="D117" i="74"/>
  <c r="E117" i="74" s="1"/>
  <c r="F117" i="74" s="1"/>
  <c r="G117" i="74" s="1"/>
  <c r="D115" i="74"/>
  <c r="E115" i="74" s="1"/>
  <c r="F115" i="74" s="1"/>
  <c r="G115" i="74" s="1"/>
  <c r="H115" i="74" s="1"/>
  <c r="I115" i="74" s="1"/>
  <c r="J115" i="74" s="1"/>
  <c r="K115" i="74" s="1"/>
  <c r="L115" i="74" s="1"/>
  <c r="M115" i="74" s="1"/>
  <c r="E113" i="74"/>
  <c r="F113" i="74" s="1"/>
  <c r="G113" i="74" s="1"/>
  <c r="H113" i="74" s="1"/>
  <c r="D113" i="74"/>
  <c r="H111" i="74"/>
  <c r="G111" i="74"/>
  <c r="F111" i="74"/>
  <c r="E111" i="74"/>
  <c r="D111" i="74"/>
  <c r="C111" i="74"/>
  <c r="E110" i="74"/>
  <c r="F110" i="74" s="1"/>
  <c r="G110" i="74" s="1"/>
  <c r="H110" i="74" s="1"/>
  <c r="I110" i="74" s="1"/>
  <c r="J110" i="74" s="1"/>
  <c r="K110" i="74" s="1"/>
  <c r="L110" i="74" s="1"/>
  <c r="M110" i="74" s="1"/>
  <c r="D110" i="74"/>
  <c r="E108" i="74"/>
  <c r="F108" i="74" s="1"/>
  <c r="G108" i="74" s="1"/>
  <c r="H108" i="74" s="1"/>
  <c r="I108" i="74" s="1"/>
  <c r="J108" i="74" s="1"/>
  <c r="K108" i="74" s="1"/>
  <c r="L108" i="74" s="1"/>
  <c r="M108" i="74" s="1"/>
  <c r="D108" i="74"/>
  <c r="E106" i="74"/>
  <c r="F106" i="74" s="1"/>
  <c r="G106" i="74" s="1"/>
  <c r="H106" i="74" s="1"/>
  <c r="I106" i="74" s="1"/>
  <c r="J106" i="74" s="1"/>
  <c r="K106" i="74" s="1"/>
  <c r="L106" i="74" s="1"/>
  <c r="M106" i="74" s="1"/>
  <c r="D106" i="74"/>
  <c r="M102" i="74"/>
  <c r="L102" i="74"/>
  <c r="K102" i="74"/>
  <c r="J102" i="74"/>
  <c r="I102" i="74"/>
  <c r="H102" i="74"/>
  <c r="G102" i="74"/>
  <c r="F102" i="74"/>
  <c r="E102" i="74"/>
  <c r="D102" i="74"/>
  <c r="C102" i="74"/>
  <c r="D101" i="74"/>
  <c r="E101" i="74" s="1"/>
  <c r="F101" i="74" s="1"/>
  <c r="G101" i="74" s="1"/>
  <c r="H101" i="74" s="1"/>
  <c r="I101" i="74" s="1"/>
  <c r="J101" i="74" s="1"/>
  <c r="K101" i="74" s="1"/>
  <c r="L101" i="74" s="1"/>
  <c r="M101" i="74" s="1"/>
  <c r="B98" i="74"/>
  <c r="B96" i="74"/>
  <c r="B94" i="74"/>
  <c r="B92" i="74"/>
  <c r="B90" i="74"/>
  <c r="D89" i="74"/>
  <c r="E89" i="74" s="1"/>
  <c r="F89" i="74" s="1"/>
  <c r="G89" i="74" s="1"/>
  <c r="H89" i="74" s="1"/>
  <c r="I89" i="74" s="1"/>
  <c r="J89" i="74" s="1"/>
  <c r="K89" i="74" s="1"/>
  <c r="L89" i="74" s="1"/>
  <c r="M89" i="74" s="1"/>
  <c r="M87" i="74"/>
  <c r="L87" i="74"/>
  <c r="K87" i="74"/>
  <c r="J87" i="74"/>
  <c r="I87" i="74"/>
  <c r="H87" i="74"/>
  <c r="G87" i="74"/>
  <c r="F87" i="74"/>
  <c r="E87" i="74"/>
  <c r="D87" i="74"/>
  <c r="D85" i="74"/>
  <c r="E85" i="74" s="1"/>
  <c r="F85" i="74" s="1"/>
  <c r="G85" i="74" s="1"/>
  <c r="D83" i="74"/>
  <c r="E83" i="74" s="1"/>
  <c r="F83" i="74" s="1"/>
  <c r="G83" i="74" s="1"/>
  <c r="D81" i="74"/>
  <c r="E81" i="74" s="1"/>
  <c r="E79" i="74"/>
  <c r="F79" i="74" s="1"/>
  <c r="G79" i="74" s="1"/>
  <c r="D79" i="74"/>
  <c r="E77" i="74"/>
  <c r="F77" i="74" s="1"/>
  <c r="G77" i="74" s="1"/>
  <c r="D77" i="74"/>
  <c r="B74" i="74"/>
  <c r="B72" i="74"/>
  <c r="B70" i="74"/>
  <c r="D69" i="74"/>
  <c r="E69" i="74" s="1"/>
  <c r="F69" i="74" s="1"/>
  <c r="G69" i="74" s="1"/>
  <c r="H69" i="74" s="1"/>
  <c r="I69" i="74" s="1"/>
  <c r="J69" i="74" s="1"/>
  <c r="K69" i="74" s="1"/>
  <c r="L69" i="74" s="1"/>
  <c r="M69" i="74" s="1"/>
  <c r="M67" i="74"/>
  <c r="L67" i="74"/>
  <c r="K67" i="74"/>
  <c r="J67" i="74"/>
  <c r="I67" i="74"/>
  <c r="H67" i="74"/>
  <c r="G67" i="74"/>
  <c r="F67" i="74"/>
  <c r="E67" i="74"/>
  <c r="D67" i="74"/>
  <c r="C67" i="74"/>
  <c r="D66" i="74"/>
  <c r="E66" i="74" s="1"/>
  <c r="F66" i="74" s="1"/>
  <c r="G66" i="74" s="1"/>
  <c r="H66" i="74" s="1"/>
  <c r="I66" i="74" s="1"/>
  <c r="C63" i="74"/>
  <c r="P49" i="74"/>
  <c r="P48" i="74"/>
  <c r="P47" i="74"/>
  <c r="Q46" i="74"/>
  <c r="Z46" i="74" s="1"/>
  <c r="J46" i="74"/>
  <c r="W46" i="74" s="1"/>
  <c r="H46" i="74"/>
  <c r="AB46" i="74" s="1"/>
  <c r="F46" i="74"/>
  <c r="AA46" i="74" s="1"/>
  <c r="U45" i="74"/>
  <c r="Q45" i="74"/>
  <c r="Z45" i="74" s="1"/>
  <c r="J45" i="74"/>
  <c r="H45" i="74"/>
  <c r="AB45" i="74" s="1"/>
  <c r="F45" i="74"/>
  <c r="Q44" i="74"/>
  <c r="Z44" i="74" s="1"/>
  <c r="J44" i="74"/>
  <c r="AC44" i="74" s="1"/>
  <c r="H44" i="74"/>
  <c r="AB44" i="74" s="1"/>
  <c r="F44" i="74"/>
  <c r="AA44" i="74" s="1"/>
  <c r="Q43" i="74"/>
  <c r="Z43" i="74" s="1"/>
  <c r="J43" i="74"/>
  <c r="AC43" i="74" s="1"/>
  <c r="H43" i="74"/>
  <c r="AB43" i="74" s="1"/>
  <c r="F43" i="74"/>
  <c r="AA43" i="74" s="1"/>
  <c r="Q42" i="74"/>
  <c r="Z42" i="74" s="1"/>
  <c r="J42" i="74"/>
  <c r="AC42" i="74" s="1"/>
  <c r="H42" i="74"/>
  <c r="AB42" i="74" s="1"/>
  <c r="F42" i="74"/>
  <c r="AA42" i="74" s="1"/>
  <c r="Q41" i="74"/>
  <c r="Z41" i="74" s="1"/>
  <c r="J41" i="74"/>
  <c r="AC41" i="74" s="1"/>
  <c r="H41" i="74"/>
  <c r="AB41" i="74" s="1"/>
  <c r="F41" i="74"/>
  <c r="AA41" i="74" s="1"/>
  <c r="Q40" i="74"/>
  <c r="Z40" i="74" s="1"/>
  <c r="J40" i="74"/>
  <c r="AC40" i="74" s="1"/>
  <c r="H40" i="74"/>
  <c r="AB40" i="74" s="1"/>
  <c r="F40" i="74"/>
  <c r="AA40" i="74" s="1"/>
  <c r="Q39" i="74"/>
  <c r="Z39" i="74" s="1"/>
  <c r="J39" i="74"/>
  <c r="AC39" i="74" s="1"/>
  <c r="H39" i="74"/>
  <c r="AB39" i="74" s="1"/>
  <c r="F39" i="74"/>
  <c r="AA39" i="74" s="1"/>
  <c r="Q38" i="74"/>
  <c r="Z38" i="74" s="1"/>
  <c r="J38" i="74"/>
  <c r="AC38" i="74" s="1"/>
  <c r="H38" i="74"/>
  <c r="AB38" i="74" s="1"/>
  <c r="F38" i="74"/>
  <c r="AA38" i="74" s="1"/>
  <c r="Q37" i="74"/>
  <c r="Z37" i="74" s="1"/>
  <c r="J37" i="74"/>
  <c r="AC37" i="74" s="1"/>
  <c r="H37" i="74"/>
  <c r="AB37" i="74" s="1"/>
  <c r="F37" i="74"/>
  <c r="AA37" i="74" s="1"/>
  <c r="Q36" i="74"/>
  <c r="Z36" i="74" s="1"/>
  <c r="J36" i="74"/>
  <c r="AC36" i="74" s="1"/>
  <c r="H36" i="74"/>
  <c r="AB36" i="74" s="1"/>
  <c r="F36" i="74"/>
  <c r="AA36" i="74" s="1"/>
  <c r="Q35" i="74"/>
  <c r="Z35" i="74" s="1"/>
  <c r="J35" i="74"/>
  <c r="AC35" i="74" s="1"/>
  <c r="H35" i="74"/>
  <c r="AB35" i="74" s="1"/>
  <c r="F35" i="74"/>
  <c r="AA35" i="74" s="1"/>
  <c r="Q34" i="74"/>
  <c r="Z34" i="74" s="1"/>
  <c r="J34" i="74"/>
  <c r="AC34" i="74" s="1"/>
  <c r="H34" i="74"/>
  <c r="AB34" i="74" s="1"/>
  <c r="F34" i="74"/>
  <c r="AA34" i="74" s="1"/>
  <c r="Q33" i="74"/>
  <c r="Z33" i="74" s="1"/>
  <c r="Q32" i="74"/>
  <c r="Z32" i="74" s="1"/>
  <c r="J32" i="74"/>
  <c r="AC32" i="74" s="1"/>
  <c r="H32" i="74"/>
  <c r="AB32" i="74" s="1"/>
  <c r="F32" i="74"/>
  <c r="AA32" i="74" s="1"/>
  <c r="Q31" i="74"/>
  <c r="Z31" i="74" s="1"/>
  <c r="J31" i="74"/>
  <c r="AC31" i="74" s="1"/>
  <c r="H31" i="74"/>
  <c r="AB31" i="74" s="1"/>
  <c r="F31" i="74"/>
  <c r="AA31" i="74" s="1"/>
  <c r="Q30" i="74"/>
  <c r="Z30" i="74" s="1"/>
  <c r="J30" i="74"/>
  <c r="AC30" i="74" s="1"/>
  <c r="H30" i="74"/>
  <c r="AB30" i="74" s="1"/>
  <c r="F30" i="74"/>
  <c r="AA30" i="74" s="1"/>
  <c r="Q29" i="74"/>
  <c r="Z29" i="74" s="1"/>
  <c r="J29" i="74"/>
  <c r="AC29" i="74" s="1"/>
  <c r="H29" i="74"/>
  <c r="AB29" i="74" s="1"/>
  <c r="F29" i="74"/>
  <c r="AA29" i="74" s="1"/>
  <c r="Q28" i="74"/>
  <c r="Z28" i="74" s="1"/>
  <c r="J28" i="74"/>
  <c r="AC28" i="74" s="1"/>
  <c r="H28" i="74"/>
  <c r="AB28" i="74" s="1"/>
  <c r="F28" i="74"/>
  <c r="AA28" i="74" s="1"/>
  <c r="Q27" i="74"/>
  <c r="Z27" i="74" s="1"/>
  <c r="J27" i="74"/>
  <c r="AC27" i="74" s="1"/>
  <c r="H27" i="74"/>
  <c r="AB27" i="74" s="1"/>
  <c r="F27" i="74"/>
  <c r="AA27" i="74" s="1"/>
  <c r="Q26" i="74"/>
  <c r="Z26" i="74" s="1"/>
  <c r="J26" i="74"/>
  <c r="AC26" i="74" s="1"/>
  <c r="H26" i="74"/>
  <c r="AB26" i="74" s="1"/>
  <c r="F26" i="74"/>
  <c r="AA26" i="74" s="1"/>
  <c r="Q25" i="74"/>
  <c r="Z25" i="74" s="1"/>
  <c r="J25" i="74"/>
  <c r="AC25" i="74" s="1"/>
  <c r="H25" i="74"/>
  <c r="AB25" i="74" s="1"/>
  <c r="F25" i="74"/>
  <c r="AA25" i="74" s="1"/>
  <c r="Q23" i="74"/>
  <c r="Z23" i="74" s="1"/>
  <c r="J23" i="74"/>
  <c r="AC23" i="74" s="1"/>
  <c r="F23" i="74"/>
  <c r="AA23" i="74" s="1"/>
  <c r="C23" i="74"/>
  <c r="Q21" i="74"/>
  <c r="Z21" i="74" s="1"/>
  <c r="J21" i="74"/>
  <c r="AC21" i="74" s="1"/>
  <c r="H21" i="74"/>
  <c r="AB21" i="74" s="1"/>
  <c r="F21" i="74"/>
  <c r="AA21" i="74" s="1"/>
  <c r="C21" i="74"/>
  <c r="Q19" i="74"/>
  <c r="Z19" i="74" s="1"/>
  <c r="C19" i="74"/>
  <c r="Q17" i="74"/>
  <c r="Z17" i="74" s="1"/>
  <c r="H17" i="74"/>
  <c r="AB17" i="74" s="1"/>
  <c r="C17" i="74"/>
  <c r="Q15" i="74"/>
  <c r="Z15" i="74" s="1"/>
  <c r="J15" i="74"/>
  <c r="AC15" i="74" s="1"/>
  <c r="H15" i="74"/>
  <c r="AB15" i="74" s="1"/>
  <c r="F15" i="74"/>
  <c r="AA15" i="74" s="1"/>
  <c r="C15" i="74"/>
  <c r="Q14" i="74"/>
  <c r="Z14" i="74" s="1"/>
  <c r="J14" i="74"/>
  <c r="AC14" i="74" s="1"/>
  <c r="H14" i="74"/>
  <c r="AB14" i="74" s="1"/>
  <c r="F14" i="74"/>
  <c r="AA14" i="74" s="1"/>
  <c r="Q13" i="74"/>
  <c r="Z13" i="74" s="1"/>
  <c r="J13" i="74"/>
  <c r="AC13" i="74" s="1"/>
  <c r="H13" i="74"/>
  <c r="AB13" i="74" s="1"/>
  <c r="F13" i="74"/>
  <c r="AA13" i="74" s="1"/>
  <c r="Q12" i="74"/>
  <c r="Z12" i="74" s="1"/>
  <c r="J12" i="74"/>
  <c r="AC12" i="74" s="1"/>
  <c r="H12" i="74"/>
  <c r="AB12" i="74" s="1"/>
  <c r="F12" i="74"/>
  <c r="AA12" i="74" s="1"/>
  <c r="Q11" i="74"/>
  <c r="Z11" i="74" s="1"/>
  <c r="Q10" i="74"/>
  <c r="Z10" i="74" s="1"/>
  <c r="J10" i="74"/>
  <c r="AC10" i="74" s="1"/>
  <c r="H10" i="74"/>
  <c r="AB10" i="74" s="1"/>
  <c r="F10" i="74"/>
  <c r="AA10" i="74" s="1"/>
  <c r="Q9" i="74"/>
  <c r="Z9" i="74" s="1"/>
  <c r="J9" i="74"/>
  <c r="AC9" i="74" s="1"/>
  <c r="H9" i="74"/>
  <c r="AB9" i="74" s="1"/>
  <c r="F9" i="74"/>
  <c r="AA9" i="74" s="1"/>
  <c r="J8" i="74"/>
  <c r="AC8" i="74" s="1"/>
  <c r="H8" i="74"/>
  <c r="AB8" i="74" s="1"/>
  <c r="F8" i="74"/>
  <c r="AA8" i="74" s="1"/>
  <c r="G7" i="74"/>
  <c r="I7" i="74" s="1"/>
  <c r="I54" i="72"/>
  <c r="J54" i="72" s="1"/>
  <c r="C145" i="72"/>
  <c r="J142" i="72"/>
  <c r="J140" i="72"/>
  <c r="K139" i="72"/>
  <c r="B130" i="72"/>
  <c r="B128" i="72"/>
  <c r="H45" i="72" s="1"/>
  <c r="AB45" i="72" s="1"/>
  <c r="B126" i="72"/>
  <c r="D125" i="72"/>
  <c r="E125" i="72" s="1"/>
  <c r="F125" i="72" s="1"/>
  <c r="G125" i="72" s="1"/>
  <c r="D123" i="72"/>
  <c r="E123" i="72" s="1"/>
  <c r="F123" i="72" s="1"/>
  <c r="G123" i="72" s="1"/>
  <c r="H123" i="72" s="1"/>
  <c r="I123" i="72" s="1"/>
  <c r="J123" i="72" s="1"/>
  <c r="K123" i="72" s="1"/>
  <c r="L123" i="72" s="1"/>
  <c r="M123" i="72" s="1"/>
  <c r="D119" i="72"/>
  <c r="E119" i="72" s="1"/>
  <c r="F119" i="72" s="1"/>
  <c r="G119" i="72" s="1"/>
  <c r="H119" i="72" s="1"/>
  <c r="I119" i="72" s="1"/>
  <c r="J119" i="72" s="1"/>
  <c r="K119" i="72" s="1"/>
  <c r="L119" i="72" s="1"/>
  <c r="M119" i="72" s="1"/>
  <c r="D117" i="72"/>
  <c r="E117" i="72" s="1"/>
  <c r="F117" i="72" s="1"/>
  <c r="G117" i="72" s="1"/>
  <c r="D115" i="72"/>
  <c r="E115" i="72" s="1"/>
  <c r="F115" i="72" s="1"/>
  <c r="G115" i="72" s="1"/>
  <c r="H115" i="72" s="1"/>
  <c r="I115" i="72" s="1"/>
  <c r="J115" i="72" s="1"/>
  <c r="K115" i="72" s="1"/>
  <c r="L115" i="72" s="1"/>
  <c r="M115" i="72" s="1"/>
  <c r="D113" i="72"/>
  <c r="E113" i="72" s="1"/>
  <c r="F113" i="72" s="1"/>
  <c r="G113" i="72" s="1"/>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B96" i="72"/>
  <c r="B94" i="72"/>
  <c r="B92" i="72"/>
  <c r="B90" i="72"/>
  <c r="E89" i="72"/>
  <c r="F89" i="72" s="1"/>
  <c r="G89" i="72" s="1"/>
  <c r="H89" i="72" s="1"/>
  <c r="I89" i="72" s="1"/>
  <c r="J89" i="72" s="1"/>
  <c r="K89" i="72" s="1"/>
  <c r="L89" i="72" s="1"/>
  <c r="M89" i="72" s="1"/>
  <c r="D89" i="72"/>
  <c r="M87" i="72"/>
  <c r="L87" i="72"/>
  <c r="K87" i="72"/>
  <c r="J87" i="72"/>
  <c r="I87" i="72"/>
  <c r="H87" i="72"/>
  <c r="G87" i="72"/>
  <c r="F87" i="72"/>
  <c r="E87" i="72"/>
  <c r="D87" i="72"/>
  <c r="D85" i="72"/>
  <c r="E85" i="72" s="1"/>
  <c r="F85" i="72" s="1"/>
  <c r="G85" i="72" s="1"/>
  <c r="D83" i="72"/>
  <c r="E83" i="72" s="1"/>
  <c r="F83" i="72" s="1"/>
  <c r="G83" i="72" s="1"/>
  <c r="D81" i="72"/>
  <c r="E81" i="72" s="1"/>
  <c r="D79" i="72"/>
  <c r="E79" i="72" s="1"/>
  <c r="D77" i="72"/>
  <c r="E77" i="72" s="1"/>
  <c r="B74" i="72"/>
  <c r="B72" i="72"/>
  <c r="B70" i="72"/>
  <c r="D69" i="72"/>
  <c r="E69" i="72" s="1"/>
  <c r="F69" i="72" s="1"/>
  <c r="G69" i="72" s="1"/>
  <c r="H69" i="72" s="1"/>
  <c r="I69" i="72" s="1"/>
  <c r="J69" i="72" s="1"/>
  <c r="K69" i="72" s="1"/>
  <c r="L69" i="72" s="1"/>
  <c r="M69" i="72" s="1"/>
  <c r="M67" i="72"/>
  <c r="L67" i="72"/>
  <c r="K67" i="72"/>
  <c r="J67" i="72"/>
  <c r="I67" i="72"/>
  <c r="H67" i="72"/>
  <c r="G67" i="72"/>
  <c r="F67" i="72"/>
  <c r="E67" i="72"/>
  <c r="D67" i="72"/>
  <c r="C67" i="72"/>
  <c r="D66" i="72"/>
  <c r="E66" i="72" s="1"/>
  <c r="F66" i="72" s="1"/>
  <c r="G66" i="72" s="1"/>
  <c r="H66" i="72" s="1"/>
  <c r="I66" i="72" s="1"/>
  <c r="C63" i="72"/>
  <c r="P49" i="72"/>
  <c r="P48" i="72"/>
  <c r="V47" i="72"/>
  <c r="R47" i="72"/>
  <c r="P47" i="72"/>
  <c r="Q46" i="72"/>
  <c r="Z46" i="72" s="1"/>
  <c r="J46" i="72"/>
  <c r="AC46" i="72" s="1"/>
  <c r="H46" i="72"/>
  <c r="AB46" i="72" s="1"/>
  <c r="F46" i="72"/>
  <c r="AA46" i="72" s="1"/>
  <c r="Q45" i="72"/>
  <c r="Z45" i="72" s="1"/>
  <c r="J45" i="72"/>
  <c r="AC45" i="72" s="1"/>
  <c r="F45" i="72"/>
  <c r="AA45" i="72" s="1"/>
  <c r="Q44" i="72"/>
  <c r="Z44" i="72" s="1"/>
  <c r="J44" i="72"/>
  <c r="AC44" i="72" s="1"/>
  <c r="H44" i="72"/>
  <c r="AB44" i="72" s="1"/>
  <c r="F44" i="72"/>
  <c r="AA44" i="72" s="1"/>
  <c r="Q43" i="72"/>
  <c r="Z43" i="72" s="1"/>
  <c r="J43" i="72"/>
  <c r="AC43" i="72" s="1"/>
  <c r="F43" i="72"/>
  <c r="AA43" i="72" s="1"/>
  <c r="Q42" i="72"/>
  <c r="Z42" i="72" s="1"/>
  <c r="J42" i="72"/>
  <c r="AC42" i="72" s="1"/>
  <c r="H42" i="72"/>
  <c r="AB42" i="72" s="1"/>
  <c r="F42" i="72"/>
  <c r="AA42" i="72" s="1"/>
  <c r="Q41" i="72"/>
  <c r="Z41" i="72" s="1"/>
  <c r="J41" i="72"/>
  <c r="AC41" i="72" s="1"/>
  <c r="H41" i="72"/>
  <c r="AB41" i="72" s="1"/>
  <c r="F41" i="72"/>
  <c r="AA41" i="72" s="1"/>
  <c r="Q40" i="72"/>
  <c r="Z40" i="72" s="1"/>
  <c r="J40" i="72"/>
  <c r="AC40" i="72" s="1"/>
  <c r="H40" i="72"/>
  <c r="AB40" i="72" s="1"/>
  <c r="F40" i="72"/>
  <c r="AA40" i="72" s="1"/>
  <c r="Q39" i="72"/>
  <c r="Z39" i="72" s="1"/>
  <c r="J39" i="72"/>
  <c r="AC39" i="72" s="1"/>
  <c r="H39" i="72"/>
  <c r="AB39" i="72" s="1"/>
  <c r="F39" i="72"/>
  <c r="AA39" i="72" s="1"/>
  <c r="Q38" i="72"/>
  <c r="Z38" i="72" s="1"/>
  <c r="J38" i="72"/>
  <c r="AC38" i="72" s="1"/>
  <c r="H38" i="72"/>
  <c r="AB38" i="72" s="1"/>
  <c r="F38" i="72"/>
  <c r="AA38" i="72" s="1"/>
  <c r="Q37" i="72"/>
  <c r="Z37" i="72" s="1"/>
  <c r="Q36" i="72"/>
  <c r="Z36" i="72" s="1"/>
  <c r="J36" i="72"/>
  <c r="AC36" i="72" s="1"/>
  <c r="H36" i="72"/>
  <c r="AB36" i="72" s="1"/>
  <c r="F36" i="72"/>
  <c r="AA36" i="72" s="1"/>
  <c r="Q35" i="72"/>
  <c r="Z35" i="72" s="1"/>
  <c r="J35" i="72"/>
  <c r="AC35" i="72" s="1"/>
  <c r="H35" i="72"/>
  <c r="AB35" i="72" s="1"/>
  <c r="F35" i="72"/>
  <c r="AA35" i="72" s="1"/>
  <c r="Q34" i="72"/>
  <c r="Z34" i="72" s="1"/>
  <c r="J34" i="72"/>
  <c r="AC34" i="72" s="1"/>
  <c r="H34" i="72"/>
  <c r="AB34" i="72" s="1"/>
  <c r="F34" i="72"/>
  <c r="AA34" i="72" s="1"/>
  <c r="Q33" i="72"/>
  <c r="Z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AC27" i="72" s="1"/>
  <c r="H27" i="72"/>
  <c r="AB27" i="72" s="1"/>
  <c r="F27" i="72"/>
  <c r="AA27" i="72" s="1"/>
  <c r="Q26" i="72"/>
  <c r="Z26" i="72" s="1"/>
  <c r="J26" i="72"/>
  <c r="AC26" i="72" s="1"/>
  <c r="H26" i="72"/>
  <c r="AB26" i="72" s="1"/>
  <c r="F26" i="72"/>
  <c r="AA26" i="72" s="1"/>
  <c r="Q25" i="72"/>
  <c r="Z25" i="72" s="1"/>
  <c r="J25" i="72"/>
  <c r="AC25" i="72" s="1"/>
  <c r="H25" i="72"/>
  <c r="AB25" i="72" s="1"/>
  <c r="F25" i="72"/>
  <c r="AA25" i="72" s="1"/>
  <c r="Q23" i="72"/>
  <c r="Z23" i="72" s="1"/>
  <c r="J23" i="72"/>
  <c r="AC23" i="72" s="1"/>
  <c r="H23" i="72"/>
  <c r="AB23" i="72" s="1"/>
  <c r="F23" i="72"/>
  <c r="AA23" i="72" s="1"/>
  <c r="C23" i="72"/>
  <c r="Q21" i="72"/>
  <c r="Z21" i="72" s="1"/>
  <c r="J21" i="72"/>
  <c r="AC21" i="72" s="1"/>
  <c r="H21" i="72"/>
  <c r="AB21" i="72" s="1"/>
  <c r="F21" i="72"/>
  <c r="AA21" i="72" s="1"/>
  <c r="C21" i="72"/>
  <c r="Q19" i="72"/>
  <c r="Z19" i="72" s="1"/>
  <c r="C19" i="72"/>
  <c r="Q17" i="72"/>
  <c r="Z17" i="72" s="1"/>
  <c r="C17" i="72"/>
  <c r="Q15" i="72"/>
  <c r="Z15" i="72" s="1"/>
  <c r="C15" i="72"/>
  <c r="Q14" i="72"/>
  <c r="Z14" i="72" s="1"/>
  <c r="J14" i="72"/>
  <c r="H14" i="72"/>
  <c r="AB14" i="72" s="1"/>
  <c r="F14" i="72"/>
  <c r="AA14" i="72" s="1"/>
  <c r="Q13" i="72"/>
  <c r="Z13" i="72" s="1"/>
  <c r="J13" i="72"/>
  <c r="AC13" i="72" s="1"/>
  <c r="H13" i="72"/>
  <c r="AB13" i="72" s="1"/>
  <c r="F13" i="72"/>
  <c r="AA13" i="72" s="1"/>
  <c r="Q12" i="72"/>
  <c r="Z12" i="72" s="1"/>
  <c r="J12" i="72"/>
  <c r="W12" i="72" s="1"/>
  <c r="H12" i="72"/>
  <c r="AB12" i="72" s="1"/>
  <c r="F12" i="72"/>
  <c r="AA12" i="72" s="1"/>
  <c r="Q11" i="72"/>
  <c r="Z11" i="72" s="1"/>
  <c r="Q10" i="72"/>
  <c r="Z10" i="72" s="1"/>
  <c r="J10" i="72"/>
  <c r="AC10" i="72" s="1"/>
  <c r="H10" i="72"/>
  <c r="AB10" i="72" s="1"/>
  <c r="F10" i="72"/>
  <c r="AA10" i="72" s="1"/>
  <c r="Q9" i="72"/>
  <c r="Z9" i="72" s="1"/>
  <c r="J9" i="72"/>
  <c r="AC9" i="72" s="1"/>
  <c r="H9" i="72"/>
  <c r="AB9" i="72" s="1"/>
  <c r="F9" i="72"/>
  <c r="AA9" i="72" s="1"/>
  <c r="S8" i="72"/>
  <c r="J8" i="72"/>
  <c r="AC8" i="72" s="1"/>
  <c r="H8" i="72"/>
  <c r="U8" i="72" s="1"/>
  <c r="F8" i="72"/>
  <c r="AA8" i="72" s="1"/>
  <c r="G7" i="72"/>
  <c r="I7" i="72" s="1"/>
  <c r="F77" i="72" l="1"/>
  <c r="G77" i="72" s="1"/>
  <c r="J15" i="72"/>
  <c r="AC15" i="72" s="1"/>
  <c r="H15" i="72"/>
  <c r="AB15" i="72" s="1"/>
  <c r="F15" i="72"/>
  <c r="AA15" i="72" s="1"/>
  <c r="F77" i="75"/>
  <c r="G77" i="75" s="1"/>
  <c r="H15" i="75"/>
  <c r="AB15" i="75" s="1"/>
  <c r="J15" i="75"/>
  <c r="AC15" i="75" s="1"/>
  <c r="F15" i="75"/>
  <c r="AA15" i="75" s="1"/>
  <c r="F79" i="72"/>
  <c r="G79" i="72" s="1"/>
  <c r="J17" i="72"/>
  <c r="AC17" i="72" s="1"/>
  <c r="F17" i="72"/>
  <c r="AA17" i="72" s="1"/>
  <c r="H17" i="72"/>
  <c r="AB17" i="72" s="1"/>
  <c r="H113" i="72"/>
  <c r="J37" i="72"/>
  <c r="AC37" i="72" s="1"/>
  <c r="F37" i="72"/>
  <c r="AA37" i="72" s="1"/>
  <c r="H37" i="72"/>
  <c r="AB37" i="72" s="1"/>
  <c r="W8" i="72"/>
  <c r="H43" i="72"/>
  <c r="AB43" i="72" s="1"/>
  <c r="K145" i="72"/>
  <c r="S8" i="74"/>
  <c r="AC46" i="74"/>
  <c r="S8" i="75"/>
  <c r="W8" i="74"/>
  <c r="K145" i="74"/>
  <c r="W8" i="75"/>
  <c r="K145" i="75"/>
  <c r="H23" i="74"/>
  <c r="AB23" i="74" s="1"/>
  <c r="F79" i="75"/>
  <c r="G79" i="75" s="1"/>
  <c r="J17" i="75"/>
  <c r="AC17" i="75" s="1"/>
  <c r="H17" i="75"/>
  <c r="AB17" i="75" s="1"/>
  <c r="F17" i="75"/>
  <c r="AA17" i="75" s="1"/>
  <c r="F17" i="74"/>
  <c r="AA17" i="74" s="1"/>
  <c r="J17" i="74"/>
  <c r="W17" i="74" s="1"/>
  <c r="F81" i="74"/>
  <c r="H19" i="74" s="1"/>
  <c r="J19" i="74"/>
  <c r="AC19" i="74" s="1"/>
  <c r="F81" i="75"/>
  <c r="H19" i="75"/>
  <c r="AB19" i="75" s="1"/>
  <c r="J19" i="75"/>
  <c r="AC19" i="75" s="1"/>
  <c r="AB8" i="75"/>
  <c r="S9" i="75"/>
  <c r="W9" i="75"/>
  <c r="U10" i="75"/>
  <c r="S12" i="75"/>
  <c r="W12" i="75"/>
  <c r="U13" i="75"/>
  <c r="S14" i="75"/>
  <c r="W14" i="75"/>
  <c r="S15" i="75"/>
  <c r="W15" i="75"/>
  <c r="S17" i="75"/>
  <c r="W17" i="75"/>
  <c r="U9" i="75"/>
  <c r="S10" i="75"/>
  <c r="W10" i="75"/>
  <c r="U12" i="75"/>
  <c r="S13" i="75"/>
  <c r="W13" i="75"/>
  <c r="U14" i="75"/>
  <c r="U15" i="75"/>
  <c r="U17" i="75"/>
  <c r="S21" i="75"/>
  <c r="W21" i="75"/>
  <c r="S23" i="75"/>
  <c r="W23" i="75"/>
  <c r="U25" i="75"/>
  <c r="S26" i="75"/>
  <c r="W26" i="75"/>
  <c r="U27" i="75"/>
  <c r="S28" i="75"/>
  <c r="W28" i="75"/>
  <c r="U29" i="75"/>
  <c r="S30" i="75"/>
  <c r="W30" i="75"/>
  <c r="U31" i="75"/>
  <c r="S32" i="75"/>
  <c r="W32" i="75"/>
  <c r="U34" i="75"/>
  <c r="S35" i="75"/>
  <c r="W35" i="75"/>
  <c r="U36" i="75"/>
  <c r="S37" i="75"/>
  <c r="W37" i="75"/>
  <c r="U38" i="75"/>
  <c r="S39" i="75"/>
  <c r="W39" i="75"/>
  <c r="U40" i="75"/>
  <c r="S41" i="75"/>
  <c r="W41" i="75"/>
  <c r="U42" i="75"/>
  <c r="S43" i="75"/>
  <c r="W43" i="75"/>
  <c r="U44" i="75"/>
  <c r="AA45" i="75"/>
  <c r="S45" i="75"/>
  <c r="AC45" i="75"/>
  <c r="W45" i="75"/>
  <c r="U45" i="75"/>
  <c r="W46" i="75"/>
  <c r="G54" i="75"/>
  <c r="H54" i="75" s="1"/>
  <c r="U21" i="75"/>
  <c r="U23" i="75"/>
  <c r="S25" i="75"/>
  <c r="W25" i="75"/>
  <c r="U26" i="75"/>
  <c r="S27" i="75"/>
  <c r="W27" i="75"/>
  <c r="U28" i="75"/>
  <c r="S29" i="75"/>
  <c r="W29" i="75"/>
  <c r="U30" i="75"/>
  <c r="S31" i="75"/>
  <c r="W31" i="75"/>
  <c r="U32" i="75"/>
  <c r="S34" i="75"/>
  <c r="W34" i="75"/>
  <c r="U35" i="75"/>
  <c r="S36" i="75"/>
  <c r="W36" i="75"/>
  <c r="U37" i="75"/>
  <c r="S38" i="75"/>
  <c r="W38" i="75"/>
  <c r="U39" i="75"/>
  <c r="S40" i="75"/>
  <c r="W40" i="75"/>
  <c r="U41" i="75"/>
  <c r="S42" i="75"/>
  <c r="W42" i="75"/>
  <c r="U43" i="75"/>
  <c r="S44" i="75"/>
  <c r="W44" i="75"/>
  <c r="S46" i="75"/>
  <c r="U46" i="75"/>
  <c r="R47" i="75"/>
  <c r="V47" i="75"/>
  <c r="K141" i="75"/>
  <c r="K143" i="75"/>
  <c r="K144" i="75"/>
  <c r="U8" i="74"/>
  <c r="U9" i="74"/>
  <c r="S10" i="74"/>
  <c r="W10" i="74"/>
  <c r="U12" i="74"/>
  <c r="S13" i="74"/>
  <c r="W13" i="74"/>
  <c r="U14" i="74"/>
  <c r="W15" i="74"/>
  <c r="S9" i="74"/>
  <c r="W9" i="74"/>
  <c r="U10" i="74"/>
  <c r="S12" i="74"/>
  <c r="W12" i="74"/>
  <c r="U13" i="74"/>
  <c r="S14" i="74"/>
  <c r="W14" i="74"/>
  <c r="S15" i="74"/>
  <c r="U15" i="74"/>
  <c r="U17" i="74"/>
  <c r="U21" i="74"/>
  <c r="S25" i="74"/>
  <c r="W25" i="74"/>
  <c r="U26" i="74"/>
  <c r="S27" i="74"/>
  <c r="W27" i="74"/>
  <c r="U28" i="74"/>
  <c r="S29" i="74"/>
  <c r="W29" i="74"/>
  <c r="U30" i="74"/>
  <c r="S31" i="74"/>
  <c r="W31" i="74"/>
  <c r="U32" i="74"/>
  <c r="S34" i="74"/>
  <c r="W34" i="74"/>
  <c r="U35" i="74"/>
  <c r="S36" i="74"/>
  <c r="W36" i="74"/>
  <c r="U37" i="74"/>
  <c r="S38" i="74"/>
  <c r="W38" i="74"/>
  <c r="U39" i="74"/>
  <c r="S40" i="74"/>
  <c r="W40" i="74"/>
  <c r="U41" i="74"/>
  <c r="S42" i="74"/>
  <c r="W42" i="74"/>
  <c r="U43" i="74"/>
  <c r="S44" i="74"/>
  <c r="W44" i="74"/>
  <c r="S46" i="74"/>
  <c r="E54" i="74"/>
  <c r="F54" i="74" s="1"/>
  <c r="S21" i="74"/>
  <c r="W21" i="74"/>
  <c r="S23" i="74"/>
  <c r="W23" i="74"/>
  <c r="U25" i="74"/>
  <c r="S26" i="74"/>
  <c r="W26" i="74"/>
  <c r="U27" i="74"/>
  <c r="S28" i="74"/>
  <c r="W28" i="74"/>
  <c r="U29" i="74"/>
  <c r="S30" i="74"/>
  <c r="W30" i="74"/>
  <c r="U31" i="74"/>
  <c r="S32" i="74"/>
  <c r="W32" i="74"/>
  <c r="U34" i="74"/>
  <c r="S35" i="74"/>
  <c r="W35" i="74"/>
  <c r="U36" i="74"/>
  <c r="S37" i="74"/>
  <c r="W37" i="74"/>
  <c r="U38" i="74"/>
  <c r="S39" i="74"/>
  <c r="W39" i="74"/>
  <c r="U40" i="74"/>
  <c r="S41" i="74"/>
  <c r="W41" i="74"/>
  <c r="U42" i="74"/>
  <c r="S43" i="74"/>
  <c r="W43" i="74"/>
  <c r="U44" i="74"/>
  <c r="AA45" i="74"/>
  <c r="S45" i="74"/>
  <c r="AC45" i="74"/>
  <c r="W45" i="74"/>
  <c r="G54" i="74"/>
  <c r="H54" i="74" s="1"/>
  <c r="U46" i="74"/>
  <c r="R47" i="74"/>
  <c r="V47" i="74"/>
  <c r="K141" i="74"/>
  <c r="K143" i="74"/>
  <c r="K144" i="74"/>
  <c r="F81" i="72"/>
  <c r="G81" i="72" s="1"/>
  <c r="H19" i="72"/>
  <c r="AB19" i="72" s="1"/>
  <c r="J19" i="72"/>
  <c r="AC19" i="72" s="1"/>
  <c r="F19" i="72"/>
  <c r="AA19" i="72" s="1"/>
  <c r="G54" i="72"/>
  <c r="H54" i="72" s="1"/>
  <c r="T47" i="72"/>
  <c r="E54" i="72"/>
  <c r="F54" i="72" s="1"/>
  <c r="AC12" i="72"/>
  <c r="AB8" i="72"/>
  <c r="W9" i="72"/>
  <c r="S12" i="72"/>
  <c r="U13" i="72"/>
  <c r="S9" i="72"/>
  <c r="U10" i="72"/>
  <c r="AC14" i="72"/>
  <c r="W14" i="72"/>
  <c r="S14" i="72"/>
  <c r="S15" i="72"/>
  <c r="W15" i="72"/>
  <c r="S17" i="72"/>
  <c r="W17" i="72"/>
  <c r="U9" i="72"/>
  <c r="S10" i="72"/>
  <c r="W10" i="72"/>
  <c r="U12" i="72"/>
  <c r="S13" i="72"/>
  <c r="W13" i="72"/>
  <c r="U14" i="72"/>
  <c r="U15" i="72"/>
  <c r="U17" i="72"/>
  <c r="U21" i="72"/>
  <c r="U23" i="72"/>
  <c r="S25" i="72"/>
  <c r="W25" i="72"/>
  <c r="U26" i="72"/>
  <c r="S27" i="72"/>
  <c r="W27" i="72"/>
  <c r="U28" i="72"/>
  <c r="S29" i="72"/>
  <c r="W29" i="72"/>
  <c r="U30" i="72"/>
  <c r="S31" i="72"/>
  <c r="W31" i="72"/>
  <c r="U32" i="72"/>
  <c r="U34" i="72"/>
  <c r="S35" i="72"/>
  <c r="W35" i="72"/>
  <c r="U36" i="72"/>
  <c r="S37" i="72"/>
  <c r="W37" i="72"/>
  <c r="U38" i="72"/>
  <c r="S39" i="72"/>
  <c r="W39" i="72"/>
  <c r="U40" i="72"/>
  <c r="S41" i="72"/>
  <c r="W41" i="72"/>
  <c r="U42" i="72"/>
  <c r="S43" i="72"/>
  <c r="W43" i="72"/>
  <c r="U44" i="72"/>
  <c r="W45" i="72"/>
  <c r="W19" i="72"/>
  <c r="S21" i="72"/>
  <c r="W21" i="72"/>
  <c r="S23" i="72"/>
  <c r="W23" i="72"/>
  <c r="U25" i="72"/>
  <c r="S26" i="72"/>
  <c r="W26" i="72"/>
  <c r="U27" i="72"/>
  <c r="S28" i="72"/>
  <c r="W28" i="72"/>
  <c r="U29" i="72"/>
  <c r="S30" i="72"/>
  <c r="W30" i="72"/>
  <c r="U31" i="72"/>
  <c r="S32" i="72"/>
  <c r="W32" i="72"/>
  <c r="S34" i="72"/>
  <c r="W34" i="72"/>
  <c r="U35" i="72"/>
  <c r="S36" i="72"/>
  <c r="W36" i="72"/>
  <c r="U37" i="72"/>
  <c r="S38" i="72"/>
  <c r="W38" i="72"/>
  <c r="U39" i="72"/>
  <c r="S40" i="72"/>
  <c r="W40" i="72"/>
  <c r="U41" i="72"/>
  <c r="S42" i="72"/>
  <c r="W42" i="72"/>
  <c r="U43" i="72"/>
  <c r="S45" i="72"/>
  <c r="S44" i="72"/>
  <c r="W44" i="72"/>
  <c r="U45" i="72"/>
  <c r="S46" i="72"/>
  <c r="W46" i="72"/>
  <c r="K141" i="72"/>
  <c r="K143" i="72"/>
  <c r="U46" i="72"/>
  <c r="K144" i="72"/>
  <c r="AB19" i="74" l="1"/>
  <c r="U19" i="74"/>
  <c r="U19" i="72"/>
  <c r="S17" i="74"/>
  <c r="U19" i="75"/>
  <c r="U23" i="74"/>
  <c r="AC17" i="74"/>
  <c r="W19" i="74"/>
  <c r="G81" i="74"/>
  <c r="F19" i="74"/>
  <c r="W19" i="75"/>
  <c r="G81" i="75"/>
  <c r="F19" i="75"/>
  <c r="S19" i="72"/>
  <c r="D73" i="39"/>
  <c r="E73" i="39" s="1"/>
  <c r="F73" i="39" s="1"/>
  <c r="G73" i="39" s="1"/>
  <c r="H73" i="39" s="1"/>
  <c r="I73" i="39" s="1"/>
  <c r="J73" i="39" s="1"/>
  <c r="K73" i="39" s="1"/>
  <c r="L73" i="39" s="1"/>
  <c r="M73" i="39" s="1"/>
  <c r="N73" i="39" s="1"/>
  <c r="I40" i="39"/>
  <c r="G40" i="39"/>
  <c r="I9" i="39"/>
  <c r="G9" i="39"/>
  <c r="I7" i="39"/>
  <c r="G7" i="39"/>
  <c r="N31" i="71"/>
  <c r="N30" i="71"/>
  <c r="N29" i="71"/>
  <c r="N28" i="71"/>
  <c r="N27" i="71"/>
  <c r="N26" i="71"/>
  <c r="N25" i="71"/>
  <c r="N24" i="71"/>
  <c r="N23" i="71"/>
  <c r="N22" i="71"/>
  <c r="N21" i="71"/>
  <c r="N20" i="71"/>
  <c r="N19" i="71"/>
  <c r="N18" i="71"/>
  <c r="N17" i="71"/>
  <c r="N16" i="71"/>
  <c r="N15" i="71"/>
  <c r="N14" i="71"/>
  <c r="N13" i="71"/>
  <c r="N12" i="71"/>
  <c r="N11" i="71"/>
  <c r="N10" i="71"/>
  <c r="N9" i="71"/>
  <c r="N8" i="71"/>
  <c r="N7" i="71"/>
  <c r="N6" i="71"/>
  <c r="N5" i="71"/>
  <c r="N4" i="71"/>
  <c r="N3" i="71"/>
  <c r="N2" i="71"/>
  <c r="P4" i="68"/>
  <c r="P5" i="68"/>
  <c r="P6" i="68"/>
  <c r="P7" i="68"/>
  <c r="P8" i="68"/>
  <c r="P9" i="68"/>
  <c r="P10" i="68"/>
  <c r="P11" i="68"/>
  <c r="P12" i="68"/>
  <c r="P13" i="68"/>
  <c r="P14" i="68"/>
  <c r="P15" i="68"/>
  <c r="P16" i="68"/>
  <c r="P17" i="68"/>
  <c r="P18" i="68"/>
  <c r="P19" i="68"/>
  <c r="P20" i="68"/>
  <c r="P21" i="68"/>
  <c r="P22" i="68"/>
  <c r="P23" i="68"/>
  <c r="P3" i="68"/>
  <c r="AA19" i="74" l="1"/>
  <c r="S19" i="74"/>
  <c r="S19" i="75"/>
  <c r="AA19" i="75"/>
  <c r="M18" i="68"/>
  <c r="L23" i="68"/>
  <c r="K23" i="68" s="1"/>
  <c r="L22" i="68"/>
  <c r="K22" i="68" s="1"/>
  <c r="L21" i="68"/>
  <c r="K21" i="68" s="1"/>
  <c r="L20" i="68"/>
  <c r="K20" i="68" s="1"/>
  <c r="L19" i="68"/>
  <c r="K19" i="68" s="1"/>
  <c r="L17" i="68"/>
  <c r="K17" i="68" s="1"/>
  <c r="L16" i="68"/>
  <c r="K16" i="68" s="1"/>
  <c r="L15" i="68"/>
  <c r="K15" i="68" s="1"/>
  <c r="L11" i="68"/>
  <c r="K11" i="68" s="1"/>
  <c r="L12" i="68"/>
  <c r="K12" i="68" s="1"/>
  <c r="L13" i="68"/>
  <c r="K13" i="68" s="1"/>
  <c r="M4" i="68"/>
  <c r="M5" i="68"/>
  <c r="M6" i="68"/>
  <c r="M7" i="68"/>
  <c r="M8" i="68"/>
  <c r="M9" i="68"/>
  <c r="M3" i="68"/>
  <c r="L14" i="68"/>
  <c r="K14" i="68" s="1"/>
  <c r="L10" i="68"/>
  <c r="L1" i="70"/>
  <c r="L2" i="70"/>
  <c r="L3" i="70"/>
  <c r="L4" i="70"/>
  <c r="L5" i="70"/>
  <c r="L6" i="70"/>
  <c r="L7" i="70"/>
  <c r="L8" i="70"/>
  <c r="L9" i="70"/>
  <c r="L10" i="70"/>
  <c r="L11" i="70"/>
  <c r="L12" i="70"/>
  <c r="L13" i="70"/>
  <c r="L14" i="70"/>
  <c r="L15" i="70"/>
  <c r="L16" i="70"/>
  <c r="L17" i="70"/>
  <c r="L18" i="70"/>
  <c r="L19" i="70"/>
  <c r="L20" i="70"/>
  <c r="L21" i="70"/>
  <c r="L22" i="70"/>
  <c r="L23" i="70"/>
  <c r="L24" i="70"/>
  <c r="L25" i="70"/>
  <c r="L26" i="70"/>
  <c r="L27" i="70"/>
  <c r="L28" i="70"/>
  <c r="L24" i="68" l="1"/>
  <c r="M24" i="68"/>
  <c r="K10" i="68"/>
  <c r="K24" i="68" s="1"/>
  <c r="G8" i="69" l="1"/>
  <c r="H8" i="69" s="1"/>
  <c r="H12" i="69" s="1"/>
  <c r="G24" i="68" l="1"/>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E9" i="67"/>
  <c r="B11" i="67"/>
  <c r="F10" i="67"/>
  <c r="B13" i="67"/>
  <c r="E11" i="67"/>
  <c r="F9" i="67"/>
  <c r="F12" i="67"/>
  <c r="F11" i="67"/>
  <c r="F13" i="67"/>
  <c r="E8" i="67"/>
  <c r="E12" i="67"/>
  <c r="E10" i="67"/>
  <c r="B10" i="67"/>
  <c r="F14" i="67"/>
  <c r="E13" i="67"/>
  <c r="B12" i="67"/>
  <c r="B9" i="67"/>
  <c r="E14" i="67"/>
  <c r="F8" i="67"/>
  <c r="B8" i="67"/>
  <c r="B14" i="67"/>
  <c r="K75" i="9" l="1"/>
  <c r="K6" i="4"/>
  <c r="O76" i="9" s="1"/>
  <c r="L76" i="9" l="1"/>
  <c r="K76" i="9"/>
  <c r="K77" i="9" s="1"/>
  <c r="K79" i="9" s="1"/>
  <c r="K81" i="9" s="1"/>
  <c r="B22" i="31"/>
  <c r="E17" i="66" l="1"/>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4" i="65"/>
  <c r="N3" i="65"/>
  <c r="N6" i="65"/>
  <c r="N5" i="65"/>
  <c r="I7" i="65"/>
  <c r="C4" i="65" l="1"/>
  <c r="B39" i="1" s="1"/>
  <c r="I4" i="65"/>
  <c r="J5" i="65"/>
  <c r="J6" i="65"/>
  <c r="J4" i="65"/>
  <c r="I5" i="65"/>
  <c r="I3" i="65"/>
  <c r="J3" i="65"/>
  <c r="J7" i="65"/>
  <c r="I6"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C5" i="59" l="1"/>
  <c r="D6"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7" i="40"/>
  <c r="Z27" i="40" s="1"/>
  <c r="D96" i="40"/>
  <c r="E96" i="40" s="1"/>
  <c r="F27" i="40"/>
  <c r="AA27" i="40" s="1"/>
  <c r="Q31" i="39"/>
  <c r="Z31" i="39" s="1"/>
  <c r="D105" i="39"/>
  <c r="E105" i="39" s="1"/>
  <c r="F31" i="39"/>
  <c r="AA31" i="39" s="1"/>
  <c r="G20" i="20"/>
  <c r="B85" i="46" s="1"/>
  <c r="C22" i="20"/>
  <c r="B65" i="46" s="1"/>
  <c r="S18" i="36" l="1"/>
  <c r="S18" i="35"/>
  <c r="S21" i="37"/>
  <c r="S21" i="34"/>
  <c r="S27" i="40"/>
  <c r="S31" i="39"/>
  <c r="C27" i="40"/>
  <c r="C31" i="39"/>
  <c r="B54" i="46"/>
  <c r="B74" i="46"/>
  <c r="E66" i="36"/>
  <c r="H18" i="35"/>
  <c r="J18" i="35"/>
  <c r="H21" i="37"/>
  <c r="J21" i="37"/>
  <c r="E84" i="34"/>
  <c r="F84" i="34" s="1"/>
  <c r="G84" i="34" s="1"/>
  <c r="J21" i="34"/>
  <c r="H21" i="34"/>
  <c r="F21" i="33"/>
  <c r="H21" i="33"/>
  <c r="J21" i="33"/>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0" i="1"/>
  <c r="AE11" i="1"/>
  <c r="AE12" i="1"/>
  <c r="AE13" i="1"/>
  <c r="M47" i="15"/>
  <c r="J50" i="15"/>
  <c r="J51" i="15" s="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7" i="75" s="1"/>
  <c r="C58" i="75"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C9" i="12" s="1"/>
  <c r="E20" i="6"/>
  <c r="E21" i="6"/>
  <c r="E22" i="6"/>
  <c r="K9" i="1" s="1"/>
  <c r="M9" i="1" s="1"/>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s="1"/>
  <c r="AA31" i="33" s="1"/>
  <c r="B96" i="33"/>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G18" i="20"/>
  <c r="B87" i="46" s="1"/>
  <c r="C25" i="40"/>
  <c r="G16" i="20"/>
  <c r="B81" i="46" s="1"/>
  <c r="G15" i="20"/>
  <c r="B80" i="46" s="1"/>
  <c r="C24" i="20"/>
  <c r="B72" i="46" s="1"/>
  <c r="C21" i="20"/>
  <c r="B73" i="46" s="1"/>
  <c r="C20" i="20"/>
  <c r="B76" i="46" s="1"/>
  <c r="C18" i="20"/>
  <c r="B70" i="46" s="1"/>
  <c r="C17" i="20"/>
  <c r="B58" i="46" s="1"/>
  <c r="C16" i="20"/>
  <c r="B47" i="46" s="1"/>
  <c r="C15" i="20"/>
  <c r="B69" i="46"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S10" i="39"/>
  <c r="U30" i="37"/>
  <c r="E103" i="37"/>
  <c r="F103" i="37"/>
  <c r="F39" i="37"/>
  <c r="S39" i="37" s="1"/>
  <c r="W39" i="37"/>
  <c r="F29" i="36"/>
  <c r="AA29" i="36" s="1"/>
  <c r="F16" i="36"/>
  <c r="AA16" i="36" s="1"/>
  <c r="U22" i="36"/>
  <c r="W23" i="36"/>
  <c r="W22" i="36"/>
  <c r="U26" i="36"/>
  <c r="AC31" i="36"/>
  <c r="J33" i="36"/>
  <c r="W33" i="36" s="1"/>
  <c r="AC27" i="35"/>
  <c r="U31" i="35"/>
  <c r="W36" i="35"/>
  <c r="S31" i="35"/>
  <c r="W31" i="35"/>
  <c r="U34" i="35"/>
  <c r="F36" i="34"/>
  <c r="S36" i="34" s="1"/>
  <c r="W9" i="34"/>
  <c r="S34" i="34"/>
  <c r="W39" i="34"/>
  <c r="H39" i="33"/>
  <c r="AB39" i="33" s="1"/>
  <c r="F26" i="33"/>
  <c r="AA26" i="33" s="1"/>
  <c r="U9" i="33"/>
  <c r="U33" i="33"/>
  <c r="W38" i="33"/>
  <c r="S40" i="33"/>
  <c r="S33" i="33"/>
  <c r="W33" i="33"/>
  <c r="U38" i="33"/>
  <c r="H39" i="37"/>
  <c r="AB39" i="37" s="1"/>
  <c r="AB27" i="35"/>
  <c r="S10" i="40"/>
  <c r="W10" i="40"/>
  <c r="S11" i="40"/>
  <c r="U11" i="40"/>
  <c r="S36" i="40"/>
  <c r="U36" i="40"/>
  <c r="S40" i="39"/>
  <c r="S36" i="39"/>
  <c r="C29" i="39"/>
  <c r="C23" i="39"/>
  <c r="U36" i="39"/>
  <c r="S42" i="39"/>
  <c r="H32" i="33"/>
  <c r="AB32" i="33" s="1"/>
  <c r="F100" i="40"/>
  <c r="AA12" i="33"/>
  <c r="J27" i="36"/>
  <c r="W27" i="36" s="1"/>
  <c r="J34" i="36"/>
  <c r="W34" i="36" s="1"/>
  <c r="J30" i="35"/>
  <c r="W30" i="35" s="1"/>
  <c r="F22" i="35"/>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113" i="33" s="1"/>
  <c r="G113" i="33" s="1"/>
  <c r="H113" i="33" s="1"/>
  <c r="I113" i="33" s="1"/>
  <c r="J113" i="33" s="1"/>
  <c r="K113" i="33" s="1"/>
  <c r="L113" i="33" s="1"/>
  <c r="M113" i="33" s="1"/>
  <c r="F36" i="33"/>
  <c r="S36" i="33" s="1"/>
  <c r="F19" i="33"/>
  <c r="S19" i="33" s="1"/>
  <c r="J19" i="33"/>
  <c r="W40" i="33"/>
  <c r="AB30" i="36"/>
  <c r="AC34"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AB13" i="35"/>
  <c r="W46" i="33"/>
  <c r="U30" i="33"/>
  <c r="AB40" i="37"/>
  <c r="J36" i="37"/>
  <c r="AC36" i="37" s="1"/>
  <c r="AB28" i="36"/>
  <c r="S46" i="33"/>
  <c r="U36" i="37"/>
  <c r="AC13" i="36"/>
  <c r="AB31" i="33"/>
  <c r="AA27"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c r="BA559" i="3"/>
  <c r="AZ559" i="3" s="1"/>
  <c r="BA557" i="3"/>
  <c r="AZ557" i="3" s="1"/>
  <c r="BA555" i="3"/>
  <c r="AZ555" i="3" s="1"/>
  <c r="BA551" i="3"/>
  <c r="AZ551" i="3" s="1"/>
  <c r="BA545" i="3"/>
  <c r="AZ545" i="3" s="1"/>
  <c r="BA543" i="3"/>
  <c r="BA541" i="3"/>
  <c r="AZ541" i="3" s="1"/>
  <c r="BA531" i="3"/>
  <c r="BA521" i="3"/>
  <c r="BA509" i="3"/>
  <c r="BA505" i="3"/>
  <c r="BA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AZ546" i="3" s="1"/>
  <c r="BQ544" i="3"/>
  <c r="BL544" i="3" s="1"/>
  <c r="AZ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AZ493" i="3" s="1"/>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AB43" i="33"/>
  <c r="AC33" i="36"/>
  <c r="AC12" i="35"/>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G483" i="3"/>
  <c r="G515" i="3"/>
  <c r="G507" i="3"/>
  <c r="G501" i="3"/>
  <c r="BA15" i="3"/>
  <c r="BL17" i="3"/>
  <c r="BL15" i="3"/>
  <c r="BA14" i="3"/>
  <c r="AZ14" i="3" s="1"/>
  <c r="BT5" i="3"/>
  <c r="J57" i="39"/>
  <c r="H13" i="40"/>
  <c r="U13" i="40" s="1"/>
  <c r="H12" i="48"/>
  <c r="I59" i="40"/>
  <c r="C59" i="40" s="1"/>
  <c r="I60" i="40"/>
  <c r="C60" i="40" s="1"/>
  <c r="W9" i="33"/>
  <c r="G297" i="3"/>
  <c r="BL298" i="3"/>
  <c r="G299" i="3"/>
  <c r="BL300" i="3"/>
  <c r="BA302" i="3"/>
  <c r="AZ302" i="3" s="1"/>
  <c r="BA303" i="3"/>
  <c r="AZ303" i="3" s="1"/>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BL115" i="3"/>
  <c r="AZ115" i="3" s="1"/>
  <c r="G116" i="3"/>
  <c r="BA118" i="3"/>
  <c r="AZ118" i="3"/>
  <c r="BL119" i="3"/>
  <c r="AZ119" i="3"/>
  <c r="G120" i="3"/>
  <c r="BA122" i="3"/>
  <c r="AZ122" i="3" s="1"/>
  <c r="BL123" i="3"/>
  <c r="G124" i="3"/>
  <c r="BA126" i="3"/>
  <c r="AZ126" i="3"/>
  <c r="BL127" i="3"/>
  <c r="G128" i="3"/>
  <c r="BA130" i="3"/>
  <c r="BL131" i="3"/>
  <c r="AZ131" i="3"/>
  <c r="G132" i="3"/>
  <c r="BA134" i="3"/>
  <c r="AZ134" i="3" s="1"/>
  <c r="BL135" i="3"/>
  <c r="AZ135" i="3" s="1"/>
  <c r="G136" i="3"/>
  <c r="BA138" i="3"/>
  <c r="AZ138" i="3"/>
  <c r="BL139" i="3"/>
  <c r="G140" i="3"/>
  <c r="BA142" i="3"/>
  <c r="AZ142" i="3" s="1"/>
  <c r="BL143" i="3"/>
  <c r="G144" i="3"/>
  <c r="BA146" i="3"/>
  <c r="BL147" i="3"/>
  <c r="AZ147" i="3" s="1"/>
  <c r="G148" i="3"/>
  <c r="BA150" i="3"/>
  <c r="AZ150" i="3" s="1"/>
  <c r="BL151" i="3"/>
  <c r="AZ151" i="3" s="1"/>
  <c r="BA153" i="3"/>
  <c r="AZ153" i="3" s="1"/>
  <c r="BL154" i="3"/>
  <c r="G155" i="3"/>
  <c r="BA157" i="3"/>
  <c r="AZ157" i="3" s="1"/>
  <c r="BL158" i="3"/>
  <c r="AZ158" i="3" s="1"/>
  <c r="G159" i="3"/>
  <c r="BA161" i="3"/>
  <c r="BL162" i="3"/>
  <c r="G163" i="3"/>
  <c r="BA165" i="3"/>
  <c r="BL166" i="3"/>
  <c r="AZ166" i="3" s="1"/>
  <c r="G167" i="3"/>
  <c r="BA169" i="3"/>
  <c r="AZ169" i="3" s="1"/>
  <c r="BL170" i="3"/>
  <c r="G171" i="3"/>
  <c r="BA173" i="3"/>
  <c r="AZ173" i="3" s="1"/>
  <c r="BL174" i="3"/>
  <c r="G175" i="3"/>
  <c r="BA178" i="3"/>
  <c r="BL179" i="3"/>
  <c r="G180" i="3"/>
  <c r="AZ27" i="3"/>
  <c r="AZ35" i="3"/>
  <c r="AZ43" i="3"/>
  <c r="AZ51"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106" i="3"/>
  <c r="G491" i="3"/>
  <c r="BA298" i="3"/>
  <c r="AZ298" i="3"/>
  <c r="BA299" i="3"/>
  <c r="AZ299" i="3"/>
  <c r="BL299" i="3"/>
  <c r="G300" i="3"/>
  <c r="G303" i="3"/>
  <c r="BL304" i="3"/>
  <c r="BA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AZ347" i="3" s="1"/>
  <c r="BL347" i="3"/>
  <c r="G348" i="3"/>
  <c r="G351" i="3"/>
  <c r="BL352" i="3"/>
  <c r="BA354" i="3"/>
  <c r="BA355" i="3"/>
  <c r="AZ355" i="3" s="1"/>
  <c r="BL355" i="3"/>
  <c r="G356"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BA381" i="3"/>
  <c r="AZ381" i="3" s="1"/>
  <c r="BL381" i="3"/>
  <c r="G382" i="3"/>
  <c r="G385" i="3"/>
  <c r="AZ154" i="3"/>
  <c r="AZ162" i="3"/>
  <c r="AZ170" i="3"/>
  <c r="AZ179" i="3"/>
  <c r="AZ183" i="3"/>
  <c r="AZ187" i="3"/>
  <c r="AZ191" i="3"/>
  <c r="AZ195" i="3"/>
  <c r="AZ199" i="3"/>
  <c r="AZ203" i="3"/>
  <c r="G523" i="3"/>
  <c r="BL297" i="3"/>
  <c r="G298" i="3"/>
  <c r="BA300" i="3"/>
  <c r="BL301" i="3"/>
  <c r="G302" i="3"/>
  <c r="BA304" i="3"/>
  <c r="BL305" i="3"/>
  <c r="AZ305" i="3" s="1"/>
  <c r="G306" i="3"/>
  <c r="BA308" i="3"/>
  <c r="AZ308" i="3" s="1"/>
  <c r="BL309" i="3"/>
  <c r="G310" i="3"/>
  <c r="BA310" i="3"/>
  <c r="AZ310" i="3" s="1"/>
  <c r="BL311" i="3"/>
  <c r="AZ311" i="3" s="1"/>
  <c r="G312" i="3"/>
  <c r="BA312" i="3"/>
  <c r="BL313" i="3"/>
  <c r="G314" i="3"/>
  <c r="BA314" i="3"/>
  <c r="BL315" i="3"/>
  <c r="G316" i="3"/>
  <c r="BA316" i="3"/>
  <c r="AZ316" i="3" s="1"/>
  <c r="BL317" i="3"/>
  <c r="AZ317" i="3" s="1"/>
  <c r="G318" i="3"/>
  <c r="BA320" i="3"/>
  <c r="AZ320" i="3" s="1"/>
  <c r="BL321" i="3"/>
  <c r="G322" i="3"/>
  <c r="BA324" i="3"/>
  <c r="AZ324" i="3" s="1"/>
  <c r="BL325" i="3"/>
  <c r="AZ325" i="3" s="1"/>
  <c r="G326" i="3"/>
  <c r="BA328" i="3"/>
  <c r="AZ328" i="3" s="1"/>
  <c r="BL329" i="3"/>
  <c r="AZ329" i="3" s="1"/>
  <c r="G330" i="3"/>
  <c r="BA332" i="3"/>
  <c r="BL333" i="3"/>
  <c r="G334" i="3"/>
  <c r="BA336" i="3"/>
  <c r="AZ336" i="3" s="1"/>
  <c r="BL337" i="3"/>
  <c r="G338" i="3"/>
  <c r="BA340" i="3"/>
  <c r="AZ340" i="3" s="1"/>
  <c r="BL341" i="3"/>
  <c r="G342" i="3"/>
  <c r="BA344" i="3"/>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09" i="3"/>
  <c r="AZ221" i="3"/>
  <c r="AZ225" i="3"/>
  <c r="AZ233" i="3"/>
  <c r="AZ245" i="3"/>
  <c r="AZ309" i="3"/>
  <c r="AZ321" i="3"/>
  <c r="AZ363" i="3"/>
  <c r="G368" i="3"/>
  <c r="BA370" i="3"/>
  <c r="AZ370" i="3" s="1"/>
  <c r="BL371" i="3"/>
  <c r="AZ371" i="3" s="1"/>
  <c r="G372" i="3"/>
  <c r="BA374" i="3"/>
  <c r="AZ374" i="3"/>
  <c r="BL375" i="3"/>
  <c r="G376" i="3"/>
  <c r="BA378" i="3"/>
  <c r="AZ378" i="3"/>
  <c r="BL379" i="3"/>
  <c r="AZ379" i="3"/>
  <c r="G380" i="3"/>
  <c r="BA382" i="3"/>
  <c r="AZ382" i="3" s="1"/>
  <c r="BL383" i="3"/>
  <c r="G384" i="3"/>
  <c r="AZ249" i="3"/>
  <c r="AZ261" i="3"/>
  <c r="AZ265" i="3"/>
  <c r="AZ375" i="3"/>
  <c r="AZ383" i="3"/>
  <c r="AZ274" i="3"/>
  <c r="AZ278" i="3"/>
  <c r="AZ295" i="3"/>
  <c r="AZ394" i="3"/>
  <c r="AZ410" i="3"/>
  <c r="AZ426" i="3"/>
  <c r="AZ430" i="3"/>
  <c r="AZ442" i="3"/>
  <c r="AZ446" i="3"/>
  <c r="AZ467" i="3"/>
  <c r="AZ471"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22" i="3"/>
  <c r="AA36" i="35"/>
  <c r="H11" i="37"/>
  <c r="AB11" i="37" s="1"/>
  <c r="W37" i="37"/>
  <c r="AA30" i="33"/>
  <c r="AA36" i="37"/>
  <c r="S42" i="33"/>
  <c r="U32" i="33"/>
  <c r="AB17" i="37"/>
  <c r="AZ48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AC5" i="3"/>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S43" i="39" s="1"/>
  <c r="H43" i="39"/>
  <c r="U43" i="39" s="1"/>
  <c r="J43" i="39"/>
  <c r="AC43" i="39" s="1"/>
  <c r="AC27" i="37"/>
  <c r="U25" i="35"/>
  <c r="S45" i="34"/>
  <c r="U31" i="34"/>
  <c r="AC40" i="37"/>
  <c r="W40" i="37"/>
  <c r="W27" i="33"/>
  <c r="S28" i="33"/>
  <c r="AA44" i="34"/>
  <c r="AB29" i="35"/>
  <c r="U29" i="35"/>
  <c r="AC19" i="33"/>
  <c r="W19" i="33"/>
  <c r="U43" i="34"/>
  <c r="AB43" i="34"/>
  <c r="AC34" i="37"/>
  <c r="S35" i="37"/>
  <c r="AA35" i="37"/>
  <c r="AB10" i="35"/>
  <c r="BL571" i="3"/>
  <c r="BA571" i="3"/>
  <c r="AZ571" i="3" s="1"/>
  <c r="BL570"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BL529" i="3"/>
  <c r="BA529" i="3"/>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15" i="3"/>
  <c r="AZ431" i="3"/>
  <c r="AZ439" i="3"/>
  <c r="B41" i="1"/>
  <c r="F71" i="9" s="1"/>
  <c r="J42" i="40"/>
  <c r="AC42" i="40" s="1"/>
  <c r="J40" i="40"/>
  <c r="AC40" i="40" s="1"/>
  <c r="J34" i="40"/>
  <c r="AC34" i="40" s="1"/>
  <c r="H16" i="40"/>
  <c r="AB16" i="40" s="1"/>
  <c r="H14" i="40"/>
  <c r="U14" i="40" s="1"/>
  <c r="F32" i="40"/>
  <c r="AA32" i="40" s="1"/>
  <c r="AZ401" i="3"/>
  <c r="AZ428" i="3"/>
  <c r="AZ433" i="3"/>
  <c r="AZ441" i="3"/>
  <c r="AZ444" i="3"/>
  <c r="AZ449" i="3"/>
  <c r="M1" i="46"/>
  <c r="M6" i="46"/>
  <c r="M10" i="46"/>
  <c r="N2" i="46"/>
  <c r="N5" i="46"/>
  <c r="F58" i="46" s="1"/>
  <c r="F47" i="46"/>
  <c r="H49" i="46" s="1"/>
  <c r="N7" i="46"/>
  <c r="AZ466" i="3"/>
  <c r="AZ469" i="3"/>
  <c r="AZ388" i="3"/>
  <c r="AZ207" i="3"/>
  <c r="AZ220" i="3"/>
  <c r="AZ223" i="3"/>
  <c r="AZ231" i="3"/>
  <c r="AZ244" i="3"/>
  <c r="AZ247" i="3"/>
  <c r="AZ260" i="3"/>
  <c r="AZ263" i="3"/>
  <c r="AZ276" i="3"/>
  <c r="AZ281" i="3"/>
  <c r="AZ289" i="3"/>
  <c r="AZ124" i="3"/>
  <c r="AZ140" i="3"/>
  <c r="AZ152" i="3"/>
  <c r="M7" i="46"/>
  <c r="M11" i="46"/>
  <c r="N3" i="46"/>
  <c r="N6" i="46"/>
  <c r="N10" i="46"/>
  <c r="AZ167" i="3"/>
  <c r="AZ180" i="3"/>
  <c r="AZ32" i="3"/>
  <c r="AZ48" i="3"/>
  <c r="AZ63" i="3"/>
  <c r="AZ71" i="3"/>
  <c r="AZ99" i="3"/>
  <c r="AZ107" i="3"/>
  <c r="H47" i="46"/>
  <c r="J13" i="40"/>
  <c r="W13" i="40" s="1"/>
  <c r="W40" i="40"/>
  <c r="F66" i="9"/>
  <c r="P72" i="9" s="1"/>
  <c r="S33" i="40"/>
  <c r="U37" i="34"/>
  <c r="AB37" i="34"/>
  <c r="AC41" i="40"/>
  <c r="W41" i="40"/>
  <c r="U41" i="40"/>
  <c r="J23" i="40"/>
  <c r="AC23" i="40" s="1"/>
  <c r="F23" i="40"/>
  <c r="S23" i="40" s="1"/>
  <c r="AC15" i="40"/>
  <c r="W15" i="40"/>
  <c r="AB16" i="39"/>
  <c r="U23" i="35"/>
  <c r="AB23" i="35"/>
  <c r="H20" i="35"/>
  <c r="U20" i="35" s="1"/>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33" i="36"/>
  <c r="AA11" i="36"/>
  <c r="AA14" i="35"/>
  <c r="S14" i="35"/>
  <c r="G99" i="37"/>
  <c r="F33" i="37" s="1"/>
  <c r="U46" i="34"/>
  <c r="AC30" i="34"/>
  <c r="AA14" i="34"/>
  <c r="W12" i="34"/>
  <c r="U29" i="33"/>
  <c r="AC13" i="33"/>
  <c r="U17" i="34"/>
  <c r="AA11" i="34"/>
  <c r="W32" i="33"/>
  <c r="H15" i="33"/>
  <c r="U15" i="33" s="1"/>
  <c r="AA11" i="33"/>
  <c r="U16" i="40"/>
  <c r="AB34" i="40"/>
  <c r="AB42" i="40"/>
  <c r="U42" i="40"/>
  <c r="AC16" i="40"/>
  <c r="W32" i="40"/>
  <c r="H25" i="40"/>
  <c r="AB25" i="40" s="1"/>
  <c r="F94" i="40"/>
  <c r="G94" i="40" s="1"/>
  <c r="U47" i="39"/>
  <c r="W15" i="39"/>
  <c r="J37" i="34"/>
  <c r="AC37" i="34" s="1"/>
  <c r="J36" i="33"/>
  <c r="W36" i="33" s="1"/>
  <c r="S41" i="40"/>
  <c r="AB23" i="40"/>
  <c r="H23" i="39"/>
  <c r="AB23" i="39" s="1"/>
  <c r="J23" i="39"/>
  <c r="AC23" i="39" s="1"/>
  <c r="F97" i="39"/>
  <c r="F23" i="39" s="1"/>
  <c r="AA23"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F25" i="40"/>
  <c r="AA25" i="40" s="1"/>
  <c r="J11" i="33"/>
  <c r="W11" i="33" s="1"/>
  <c r="H33" i="37"/>
  <c r="AB33" i="37" s="1"/>
  <c r="W15" i="34"/>
  <c r="AC15" i="34"/>
  <c r="AB20" i="35"/>
  <c r="W23" i="40"/>
  <c r="D73" i="9"/>
  <c r="N73" i="9" s="1"/>
  <c r="AP11" i="1"/>
  <c r="B11" i="1"/>
  <c r="E11" i="1" s="1"/>
  <c r="K11" i="1"/>
  <c r="M11" i="1" s="1"/>
  <c r="B9" i="1"/>
  <c r="E9" i="1" s="1"/>
  <c r="B7" i="1"/>
  <c r="E7" i="1" s="1"/>
  <c r="K7" i="1"/>
  <c r="M7" i="1" s="1"/>
  <c r="O7" i="1" s="1"/>
  <c r="P7" i="1" s="1"/>
  <c r="C20" i="43"/>
  <c r="E2" i="65"/>
  <c r="U45" i="33" l="1"/>
  <c r="AB45" i="33"/>
  <c r="AC14" i="40"/>
  <c r="AZ496" i="3"/>
  <c r="AZ506" i="3"/>
  <c r="AZ523" i="3"/>
  <c r="AZ567" i="3"/>
  <c r="H29" i="39"/>
  <c r="U29" i="39" s="1"/>
  <c r="F29" i="39"/>
  <c r="AA29" i="39" s="1"/>
  <c r="AZ352" i="3"/>
  <c r="AZ344" i="3"/>
  <c r="AZ314" i="3"/>
  <c r="AZ304" i="3"/>
  <c r="AZ380" i="3"/>
  <c r="AZ339" i="3"/>
  <c r="AZ331" i="3"/>
  <c r="AZ323" i="3"/>
  <c r="AZ354" i="3"/>
  <c r="AZ343" i="3"/>
  <c r="AZ327" i="3"/>
  <c r="AZ526" i="3"/>
  <c r="AZ534" i="3"/>
  <c r="G13" i="3"/>
  <c r="G569" i="3"/>
  <c r="G564" i="3"/>
  <c r="G555" i="3"/>
  <c r="G543" i="3"/>
  <c r="G535" i="3"/>
  <c r="G528" i="3"/>
  <c r="G520" i="3"/>
  <c r="G511" i="3"/>
  <c r="G500" i="3"/>
  <c r="G490" i="3"/>
  <c r="G482" i="3"/>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BA315" i="3"/>
  <c r="BL319" i="3"/>
  <c r="AZ319" i="3" s="1"/>
  <c r="G325" i="3"/>
  <c r="BL326" i="3"/>
  <c r="AZ326" i="3" s="1"/>
  <c r="BL332" i="3"/>
  <c r="BA334" i="3"/>
  <c r="AZ334" i="3" s="1"/>
  <c r="BA337" i="3"/>
  <c r="BA341" i="3"/>
  <c r="AZ341" i="3" s="1"/>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AZ337" i="3"/>
  <c r="AZ332" i="3"/>
  <c r="AZ315" i="3"/>
  <c r="AZ312" i="3"/>
  <c r="AZ514" i="3"/>
  <c r="AZ556" i="3"/>
  <c r="AA38" i="37"/>
  <c r="BI5" i="3"/>
  <c r="BG5" i="3"/>
  <c r="BE5" i="3"/>
  <c r="F9" i="1"/>
  <c r="AZ395" i="3"/>
  <c r="AZ402" i="3"/>
  <c r="AZ417" i="3"/>
  <c r="AZ420" i="3"/>
  <c r="AZ427" i="3"/>
  <c r="AZ432" i="3"/>
  <c r="AZ443" i="3"/>
  <c r="G230" i="3"/>
  <c r="BL230" i="3"/>
  <c r="AZ230" i="3" s="1"/>
  <c r="G233" i="3"/>
  <c r="G234" i="3"/>
  <c r="BL234" i="3"/>
  <c r="AZ234" i="3" s="1"/>
  <c r="BA235" i="3"/>
  <c r="AZ235" i="3" s="1"/>
  <c r="BA236" i="3"/>
  <c r="AZ236" i="3" s="1"/>
  <c r="BA237" i="3"/>
  <c r="AZ237" i="3" s="1"/>
  <c r="BL239" i="3"/>
  <c r="AZ239" i="3" s="1"/>
  <c r="BA240" i="3"/>
  <c r="AZ240" i="3" s="1"/>
  <c r="BA241" i="3"/>
  <c r="AZ241" i="3" s="1"/>
  <c r="G244" i="3"/>
  <c r="G245" i="3"/>
  <c r="G246" i="3"/>
  <c r="BL246" i="3"/>
  <c r="AZ246" i="3" s="1"/>
  <c r="G249" i="3"/>
  <c r="G250" i="3"/>
  <c r="BL250" i="3"/>
  <c r="AZ250" i="3" s="1"/>
  <c r="BA251" i="3"/>
  <c r="AZ251" i="3" s="1"/>
  <c r="BA252" i="3"/>
  <c r="AZ252" i="3" s="1"/>
  <c r="BA253" i="3"/>
  <c r="AZ253" i="3" s="1"/>
  <c r="BL255" i="3"/>
  <c r="AZ255" i="3" s="1"/>
  <c r="BA256" i="3"/>
  <c r="AZ256" i="3" s="1"/>
  <c r="BA257" i="3"/>
  <c r="AZ257" i="3" s="1"/>
  <c r="G260" i="3"/>
  <c r="G261" i="3"/>
  <c r="G262" i="3"/>
  <c r="BL262" i="3"/>
  <c r="AZ262" i="3" s="1"/>
  <c r="G265" i="3"/>
  <c r="G266" i="3"/>
  <c r="BL266" i="3"/>
  <c r="AZ266" i="3" s="1"/>
  <c r="BA267" i="3"/>
  <c r="AZ267" i="3" s="1"/>
  <c r="BA268" i="3"/>
  <c r="AZ268" i="3" s="1"/>
  <c r="BL270" i="3"/>
  <c r="AZ270" i="3" s="1"/>
  <c r="BA271" i="3"/>
  <c r="AZ271" i="3" s="1"/>
  <c r="BL273" i="3"/>
  <c r="AZ273" i="3" s="1"/>
  <c r="G276" i="3"/>
  <c r="G277" i="3"/>
  <c r="BL277" i="3"/>
  <c r="AZ277" i="3" s="1"/>
  <c r="G280" i="3"/>
  <c r="BL280" i="3"/>
  <c r="AZ280" i="3" s="1"/>
  <c r="BL282" i="3"/>
  <c r="AZ282" i="3" s="1"/>
  <c r="BA283" i="3"/>
  <c r="AZ283" i="3" s="1"/>
  <c r="BA284" i="3"/>
  <c r="AZ284" i="3" s="1"/>
  <c r="BL286" i="3"/>
  <c r="AZ286" i="3" s="1"/>
  <c r="BA287" i="3"/>
  <c r="AZ287" i="3" s="1"/>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6" i="3"/>
  <c r="AZ146" i="3" s="1"/>
  <c r="BA148" i="3"/>
  <c r="AZ148" i="3" s="1"/>
  <c r="G152" i="3"/>
  <c r="G153" i="3"/>
  <c r="BA155" i="3"/>
  <c r="AZ155" i="3" s="1"/>
  <c r="G158" i="3"/>
  <c r="BA160" i="3"/>
  <c r="AZ160" i="3" s="1"/>
  <c r="BL161" i="3"/>
  <c r="AZ161" i="3" s="1"/>
  <c r="BA163" i="3"/>
  <c r="AZ163" i="3" s="1"/>
  <c r="BA164" i="3"/>
  <c r="AZ164" i="3" s="1"/>
  <c r="BL165" i="3"/>
  <c r="AZ165" i="3" s="1"/>
  <c r="G169" i="3"/>
  <c r="G172" i="3"/>
  <c r="BL172" i="3"/>
  <c r="BA174" i="3"/>
  <c r="AZ174" i="3" s="1"/>
  <c r="BL175" i="3"/>
  <c r="BA176" i="3"/>
  <c r="AZ176" i="3" s="1"/>
  <c r="BA177" i="3"/>
  <c r="AZ177" i="3" s="1"/>
  <c r="BL178" i="3"/>
  <c r="AZ178" i="3" s="1"/>
  <c r="G183" i="3"/>
  <c r="G184" i="3"/>
  <c r="G187" i="3"/>
  <c r="G188" i="3"/>
  <c r="G191" i="3"/>
  <c r="G192" i="3"/>
  <c r="G195" i="3"/>
  <c r="G196" i="3"/>
  <c r="G199" i="3"/>
  <c r="G200" i="3"/>
  <c r="G202" i="3"/>
  <c r="BL202" i="3"/>
  <c r="G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G59" i="3"/>
  <c r="G60" i="3"/>
  <c r="D1" i="57"/>
  <c r="E10" i="57" s="1"/>
  <c r="I21" i="57"/>
  <c r="AZ172" i="3"/>
  <c r="AZ175" i="3"/>
  <c r="AZ202" i="3"/>
  <c r="AZ28" i="3"/>
  <c r="AZ34" i="3"/>
  <c r="AZ37" i="3"/>
  <c r="AZ44" i="3"/>
  <c r="AZ50" i="3"/>
  <c r="AZ53" i="3"/>
  <c r="G62" i="3"/>
  <c r="BL62" i="3"/>
  <c r="G65" i="3"/>
  <c r="BL65" i="3"/>
  <c r="G68" i="3"/>
  <c r="BL68" i="3"/>
  <c r="G70" i="3"/>
  <c r="G71" i="3"/>
  <c r="G72" i="3"/>
  <c r="BL72" i="3"/>
  <c r="G74" i="3"/>
  <c r="G75" i="3"/>
  <c r="BL75" i="3"/>
  <c r="G77" i="3"/>
  <c r="BL77" i="3"/>
  <c r="BL79" i="3"/>
  <c r="AZ79" i="3" s="1"/>
  <c r="G81" i="3"/>
  <c r="BL81" i="3"/>
  <c r="G84" i="3"/>
  <c r="G85" i="3"/>
  <c r="BL85" i="3"/>
  <c r="AZ85" i="3" s="1"/>
  <c r="BA87" i="3"/>
  <c r="AZ87" i="3" s="1"/>
  <c r="BA89" i="3"/>
  <c r="AZ89" i="3" s="1"/>
  <c r="BA90" i="3"/>
  <c r="AZ90" i="3" s="1"/>
  <c r="BA91" i="3"/>
  <c r="AZ91" i="3" s="1"/>
  <c r="BA93" i="3"/>
  <c r="AZ93" i="3" s="1"/>
  <c r="BA94" i="3"/>
  <c r="AZ94" i="3" s="1"/>
  <c r="BA96" i="3"/>
  <c r="AZ96" i="3" s="1"/>
  <c r="BL98" i="3"/>
  <c r="AZ98" i="3" s="1"/>
  <c r="BA100" i="3"/>
  <c r="AZ100" i="3" s="1"/>
  <c r="BL102" i="3"/>
  <c r="AZ102" i="3" s="1"/>
  <c r="BA103" i="3"/>
  <c r="AZ103" i="3" s="1"/>
  <c r="G106" i="3"/>
  <c r="G107" i="3"/>
  <c r="G108" i="3"/>
  <c r="BL108" i="3"/>
  <c r="BA109" i="3"/>
  <c r="AZ109" i="3" s="1"/>
  <c r="BA110" i="3"/>
  <c r="AZ110" i="3" s="1"/>
  <c r="BL112" i="3"/>
  <c r="AZ112" i="3" s="1"/>
  <c r="AZ108" i="3"/>
  <c r="D58" i="75"/>
  <c r="E58" i="75" s="1"/>
  <c r="F58" i="75" s="1"/>
  <c r="G58" i="75" s="1"/>
  <c r="H58" i="75" s="1"/>
  <c r="I58" i="75" s="1"/>
  <c r="J58" i="75" s="1"/>
  <c r="K58" i="75" s="1"/>
  <c r="L58" i="75" s="1"/>
  <c r="M58" i="75" s="1"/>
  <c r="N58" i="75" s="1"/>
  <c r="O58" i="75" s="1"/>
  <c r="H7" i="75"/>
  <c r="J7" i="75"/>
  <c r="G97" i="39"/>
  <c r="AB17" i="39"/>
  <c r="S17" i="39"/>
  <c r="U19" i="39"/>
  <c r="AA19" i="39"/>
  <c r="S23" i="39"/>
  <c r="AB29" i="39"/>
  <c r="K8" i="1"/>
  <c r="M8" i="1" s="1"/>
  <c r="O8" i="1" s="1"/>
  <c r="P8" i="1" s="1"/>
  <c r="D3" i="75"/>
  <c r="E32" i="6"/>
  <c r="D3" i="74"/>
  <c r="D3" i="72"/>
  <c r="C42" i="1"/>
  <c r="C7" i="74"/>
  <c r="C58" i="74" s="1"/>
  <c r="C7" i="72"/>
  <c r="C58" i="72" s="1"/>
  <c r="AZ484" i="3"/>
  <c r="AZ550" i="3"/>
  <c r="BA572" i="3"/>
  <c r="AZ572" i="3" s="1"/>
  <c r="BF5" i="3"/>
  <c r="AC24" i="35"/>
  <c r="W24" i="35"/>
  <c r="J17" i="40"/>
  <c r="F86" i="40"/>
  <c r="G86" i="40" s="1"/>
  <c r="AZ405" i="3"/>
  <c r="AC36" i="33"/>
  <c r="W34" i="40"/>
  <c r="AB32" i="40"/>
  <c r="W35" i="40"/>
  <c r="AB14" i="40"/>
  <c r="U12" i="37"/>
  <c r="AZ542" i="3"/>
  <c r="AZ502" i="3"/>
  <c r="AC31" i="34"/>
  <c r="W31" i="34"/>
  <c r="AA22" i="35"/>
  <c r="S22" i="35"/>
  <c r="BA570" i="3"/>
  <c r="AZ570" i="3" s="1"/>
  <c r="AZ392" i="3"/>
  <c r="AZ397" i="3"/>
  <c r="BL13" i="3"/>
  <c r="H5" i="3"/>
  <c r="F9" i="34"/>
  <c r="AA9" i="34" s="1"/>
  <c r="J9" i="35"/>
  <c r="W9" i="35" s="1"/>
  <c r="F34" i="35"/>
  <c r="H24" i="36"/>
  <c r="J25" i="37"/>
  <c r="G15" i="3"/>
  <c r="G14" i="3"/>
  <c r="A14" i="55"/>
  <c r="B65" i="63" s="1"/>
  <c r="A2" i="55"/>
  <c r="B55" i="63" s="1"/>
  <c r="A11" i="55"/>
  <c r="B62" i="63" s="1"/>
  <c r="AZ447" i="3"/>
  <c r="C92" i="9"/>
  <c r="C18" i="9"/>
  <c r="L8" i="9" s="1"/>
  <c r="F8" i="1"/>
  <c r="G8" i="1" s="1"/>
  <c r="AZ411" i="3"/>
  <c r="AZ413" i="3"/>
  <c r="AZ424" i="3"/>
  <c r="AZ437" i="3"/>
  <c r="AZ448" i="3"/>
  <c r="AZ468" i="3"/>
  <c r="AZ472" i="3"/>
  <c r="AZ206" i="3"/>
  <c r="AZ210" i="3"/>
  <c r="AZ222" i="3"/>
  <c r="AZ226" i="3"/>
  <c r="AZ238" i="3"/>
  <c r="AZ242" i="3"/>
  <c r="AZ254" i="3"/>
  <c r="AZ258" i="3"/>
  <c r="AZ269" i="3"/>
  <c r="AZ272" i="3"/>
  <c r="AZ285" i="3"/>
  <c r="AZ288" i="3"/>
  <c r="AZ296" i="3"/>
  <c r="AZ125" i="3"/>
  <c r="AZ128" i="3"/>
  <c r="AZ141" i="3"/>
  <c r="AZ144" i="3"/>
  <c r="AZ149" i="3"/>
  <c r="AZ156" i="3"/>
  <c r="AZ159" i="3"/>
  <c r="AZ25" i="3"/>
  <c r="AZ30" i="3"/>
  <c r="AZ41" i="3"/>
  <c r="AZ46" i="3"/>
  <c r="AZ57" i="3"/>
  <c r="AZ62" i="3"/>
  <c r="AZ65" i="3"/>
  <c r="BA21" i="3"/>
  <c r="AZ21" i="3" s="1"/>
  <c r="AZ68" i="3"/>
  <c r="AZ72" i="3"/>
  <c r="AZ75" i="3"/>
  <c r="AZ77" i="3"/>
  <c r="AZ81" i="3"/>
  <c r="AZ88" i="3"/>
  <c r="AZ92" i="3"/>
  <c r="AZ95" i="3"/>
  <c r="AZ97" i="3"/>
  <c r="AZ101" i="3"/>
  <c r="U27" i="39"/>
  <c r="W27" i="39"/>
  <c r="U34" i="39"/>
  <c r="AB25" i="39"/>
  <c r="AA43" i="39"/>
  <c r="W43" i="39"/>
  <c r="AB44" i="39"/>
  <c r="S47" i="39"/>
  <c r="S33" i="39"/>
  <c r="W33" i="39"/>
  <c r="AB21" i="39"/>
  <c r="W14" i="39"/>
  <c r="AC47" i="39"/>
  <c r="A30" i="51"/>
  <c r="A30" i="64"/>
  <c r="F27" i="43"/>
  <c r="C27" i="43" s="1"/>
  <c r="F72" i="9"/>
  <c r="F34" i="44"/>
  <c r="D23" i="15"/>
  <c r="F6" i="1"/>
  <c r="AP6" i="1" s="1"/>
  <c r="G11" i="1"/>
  <c r="M22" i="44"/>
  <c r="F32" i="15"/>
  <c r="F59" i="15" s="1"/>
  <c r="F29" i="12"/>
  <c r="F70" i="9"/>
  <c r="D86" i="9"/>
  <c r="M20" i="44"/>
  <c r="F31" i="43"/>
  <c r="C31" i="43" s="1"/>
  <c r="F30" i="44"/>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B56" i="46" s="1"/>
  <c r="C24" i="46" s="1"/>
  <c r="C52" i="15"/>
  <c r="A4" i="64"/>
  <c r="A4" i="51"/>
  <c r="C51" i="10"/>
  <c r="H58" i="46"/>
  <c r="H61" i="46"/>
  <c r="H62" i="46"/>
  <c r="H71" i="46"/>
  <c r="H76" i="46"/>
  <c r="I100" i="46"/>
  <c r="N100" i="46"/>
  <c r="H100" i="46"/>
  <c r="F108" i="46"/>
  <c r="H80" i="46"/>
  <c r="B45" i="46"/>
  <c r="E100" i="46"/>
  <c r="G100" i="46"/>
  <c r="H84" i="46"/>
  <c r="H65" i="46"/>
  <c r="H66" i="46"/>
  <c r="C100" i="46"/>
  <c r="J100" i="46"/>
  <c r="M100" i="46"/>
  <c r="AA12" i="36"/>
  <c r="U12" i="35"/>
  <c r="AB12" i="35"/>
  <c r="W11" i="35"/>
  <c r="AA11" i="35"/>
  <c r="S14" i="37"/>
  <c r="U13" i="37"/>
  <c r="C24" i="9"/>
  <c r="C30" i="9"/>
  <c r="C25" i="9" s="1"/>
  <c r="AP7" i="1"/>
  <c r="G7" i="1"/>
  <c r="AP9" i="1"/>
  <c r="G9" i="1"/>
  <c r="AP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69"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G96" i="40"/>
  <c r="J27" i="40"/>
  <c r="S17" i="40"/>
  <c r="W30" i="40"/>
  <c r="S34"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I4" i="4" s="1"/>
  <c r="B7" i="52"/>
  <c r="E6" i="52"/>
  <c r="B10" i="52"/>
  <c r="B14" i="52"/>
  <c r="B9" i="52"/>
  <c r="E21" i="52"/>
  <c r="B4" i="52"/>
  <c r="B22" i="52"/>
  <c r="B8" i="52"/>
  <c r="B13" i="52"/>
  <c r="E9" i="52"/>
  <c r="B5" i="52"/>
  <c r="E10" i="52"/>
  <c r="E8" i="52"/>
  <c r="B23" i="52"/>
  <c r="B11" i="52"/>
  <c r="B16" i="52"/>
  <c r="E16" i="52"/>
  <c r="B6" i="52"/>
  <c r="E4" i="52"/>
  <c r="E5" i="52"/>
  <c r="D24" i="15"/>
  <c r="M11" i="44"/>
  <c r="F9" i="44"/>
  <c r="F43" i="44"/>
  <c r="F16" i="15"/>
  <c r="F10" i="44"/>
  <c r="M31" i="44"/>
  <c r="M22" i="15"/>
  <c r="F26" i="15"/>
  <c r="F18" i="44"/>
  <c r="M25" i="44"/>
  <c r="F9" i="15"/>
  <c r="J15" i="15"/>
  <c r="F45" i="44"/>
  <c r="M28" i="44"/>
  <c r="F15" i="44"/>
  <c r="M24" i="44"/>
  <c r="J17" i="44"/>
  <c r="M27" i="15"/>
  <c r="M10" i="44"/>
  <c r="M26" i="44"/>
  <c r="M29" i="44"/>
  <c r="F37" i="15"/>
  <c r="F8" i="44"/>
  <c r="M30" i="44"/>
  <c r="L48" i="44"/>
  <c r="F36" i="15"/>
  <c r="F8" i="15"/>
  <c r="F11" i="44"/>
  <c r="F13" i="15"/>
  <c r="M8" i="44"/>
  <c r="F38" i="44"/>
  <c r="F40" i="44"/>
  <c r="M6" i="15"/>
  <c r="M24" i="15"/>
  <c r="L48" i="15"/>
  <c r="L49" i="44"/>
  <c r="F28" i="44"/>
  <c r="M26" i="15"/>
  <c r="F39" i="44"/>
  <c r="F42" i="15"/>
  <c r="M44" i="9" l="1"/>
  <c r="M8" i="9"/>
  <c r="AC7" i="75"/>
  <c r="W7" i="75"/>
  <c r="F7" i="75"/>
  <c r="AB7" i="75"/>
  <c r="U7" i="75"/>
  <c r="E8" i="6"/>
  <c r="E58" i="39" s="1"/>
  <c r="C30" i="44"/>
  <c r="D58" i="74"/>
  <c r="E58" i="74" s="1"/>
  <c r="F58" i="74" s="1"/>
  <c r="G58" i="74" s="1"/>
  <c r="H58" i="74" s="1"/>
  <c r="I58" i="74" s="1"/>
  <c r="J58" i="74" s="1"/>
  <c r="K58" i="74" s="1"/>
  <c r="L58" i="74" s="1"/>
  <c r="M58" i="74" s="1"/>
  <c r="N58" i="74" s="1"/>
  <c r="O58" i="74" s="1"/>
  <c r="H7" i="74"/>
  <c r="F7" i="74"/>
  <c r="J7" i="74"/>
  <c r="D58" i="72"/>
  <c r="E58" i="72" s="1"/>
  <c r="F58" i="72" s="1"/>
  <c r="G58" i="72" s="1"/>
  <c r="H58" i="72" s="1"/>
  <c r="I58" i="72" s="1"/>
  <c r="J58" i="72" s="1"/>
  <c r="K58" i="72" s="1"/>
  <c r="L58" i="72" s="1"/>
  <c r="M58" i="72" s="1"/>
  <c r="N58" i="72" s="1"/>
  <c r="O58" i="72" s="1"/>
  <c r="F7" i="72"/>
  <c r="H7" i="72"/>
  <c r="J7" i="72"/>
  <c r="W25" i="37"/>
  <c r="AC25" i="37"/>
  <c r="AA34" i="35"/>
  <c r="S34" i="35"/>
  <c r="U17" i="40"/>
  <c r="W37" i="40"/>
  <c r="H74" i="46"/>
  <c r="H73" i="46"/>
  <c r="B73" i="39"/>
  <c r="C7" i="46"/>
  <c r="AB24" i="36"/>
  <c r="U24" i="36"/>
  <c r="AB11" i="46"/>
  <c r="AB13" i="46" s="1"/>
  <c r="G6" i="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F50" i="15"/>
  <c r="F63" i="15"/>
  <c r="L56" i="15"/>
  <c r="J57" i="15"/>
  <c r="J55" i="15" s="1"/>
  <c r="J58" i="15" s="1"/>
  <c r="Q51" i="15" s="1"/>
  <c r="G66" i="36"/>
  <c r="J18" i="36"/>
  <c r="AE8" i="1"/>
  <c r="AE6" i="1"/>
  <c r="AE7" i="1"/>
  <c r="F33" i="44"/>
  <c r="F31" i="15"/>
  <c r="M19" i="44"/>
  <c r="C16" i="15"/>
  <c r="F6" i="15"/>
  <c r="M29" i="15"/>
  <c r="M9" i="15"/>
  <c r="F38" i="15"/>
  <c r="AE9" i="1"/>
  <c r="M28" i="15"/>
  <c r="C18" i="44"/>
  <c r="M23" i="15"/>
  <c r="J36" i="15"/>
  <c r="L47" i="15"/>
  <c r="F46" i="44"/>
  <c r="F40" i="15"/>
  <c r="F7" i="15"/>
  <c r="M8" i="15"/>
  <c r="F43" i="15"/>
  <c r="S7" i="75" l="1"/>
  <c r="AA7" i="75"/>
  <c r="F27" i="6"/>
  <c r="F31" i="6" s="1"/>
  <c r="AB7" i="72"/>
  <c r="U7" i="72"/>
  <c r="AA7" i="74"/>
  <c r="S7" i="74"/>
  <c r="AC7" i="72"/>
  <c r="W7" i="72"/>
  <c r="S7" i="72"/>
  <c r="AA7" i="72"/>
  <c r="W7" i="74"/>
  <c r="AC7" i="74"/>
  <c r="U7" i="74"/>
  <c r="AB7" i="74"/>
  <c r="C10" i="15"/>
  <c r="L58" i="15"/>
  <c r="Q74" i="15" s="1"/>
  <c r="L59" i="15"/>
  <c r="Q75" i="15" s="1"/>
  <c r="F70" i="15"/>
  <c r="F67" i="15"/>
  <c r="F49" i="15"/>
  <c r="C48" i="15" s="1"/>
  <c r="M7" i="15"/>
  <c r="F65" i="15"/>
  <c r="Q72" i="15"/>
  <c r="C6" i="15"/>
  <c r="K105" i="46"/>
  <c r="K104" i="46"/>
  <c r="J109" i="46"/>
  <c r="C105" i="46"/>
  <c r="K107" i="46"/>
  <c r="J105" i="46"/>
  <c r="F106" i="46"/>
  <c r="C104" i="46"/>
  <c r="F103" i="46"/>
  <c r="C107" i="46"/>
  <c r="J107" i="46"/>
  <c r="F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G43" i="35"/>
  <c r="H43" i="35" s="1"/>
  <c r="I42" i="35"/>
  <c r="J42" i="35" s="1"/>
  <c r="G52" i="33"/>
  <c r="H52" i="33" s="1"/>
  <c r="G53" i="33"/>
  <c r="H53" i="33" s="1"/>
  <c r="E67" i="40"/>
  <c r="F65" i="40"/>
  <c r="E72" i="39"/>
  <c r="F70" i="39"/>
  <c r="E39" i="46"/>
  <c r="I53" i="34"/>
  <c r="J53" i="34" s="1"/>
  <c r="Q53" i="15"/>
  <c r="C20" i="11"/>
  <c r="C21" i="11" s="1"/>
  <c r="C22" i="11" s="1"/>
  <c r="C23" i="11" s="1"/>
  <c r="B2" i="11" s="1"/>
  <c r="AC12" i="40"/>
  <c r="W12" i="40"/>
  <c r="E46" i="37"/>
  <c r="F46" i="37" s="1"/>
  <c r="C48" i="33"/>
  <c r="C49" i="33"/>
  <c r="B3" i="33" s="1"/>
  <c r="B2" i="33" s="1"/>
  <c r="F58" i="15"/>
  <c r="M17" i="15"/>
  <c r="F7" i="67"/>
  <c r="F41" i="15"/>
  <c r="L52" i="44"/>
  <c r="F68" i="15" l="1"/>
  <c r="Q61" i="15"/>
  <c r="Q62" i="15"/>
  <c r="C5" i="15"/>
  <c r="C38" i="15" s="1"/>
  <c r="AB12" i="39"/>
  <c r="S2" i="46"/>
  <c r="T2" i="46" s="1"/>
  <c r="V2" i="46" s="1"/>
  <c r="S3" i="46"/>
  <c r="T3" i="46" s="1"/>
  <c r="V3" i="46" s="1"/>
  <c r="S7" i="46"/>
  <c r="T7" i="46" s="1"/>
  <c r="V7" i="46" s="1"/>
  <c r="S6" i="46"/>
  <c r="T6" i="46" s="1"/>
  <c r="V6" i="46" s="1"/>
  <c r="S4" i="46"/>
  <c r="T4" i="46" s="1"/>
  <c r="V4" i="46" s="1"/>
  <c r="S5" i="46"/>
  <c r="T5" i="46" s="1"/>
  <c r="V5"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F72" i="39"/>
  <c r="G70" i="39"/>
  <c r="F67" i="40"/>
  <c r="G65" i="40"/>
  <c r="J24" i="15"/>
  <c r="C32" i="15"/>
  <c r="J20" i="44"/>
  <c r="J26" i="44"/>
  <c r="E7" i="67"/>
  <c r="C19" i="44"/>
  <c r="C17" i="15"/>
  <c r="B14" i="66" l="1"/>
  <c r="B1" i="66" s="1"/>
  <c r="C33" i="75"/>
  <c r="C33" i="74"/>
  <c r="C33" i="72"/>
  <c r="B3" i="1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H33" i="72" l="1"/>
  <c r="J33" i="72"/>
  <c r="F33" i="72"/>
  <c r="H33" i="75"/>
  <c r="F33" i="75"/>
  <c r="J33" i="75"/>
  <c r="H33" i="74"/>
  <c r="J33" i="74"/>
  <c r="F33" i="74"/>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AA33" i="74" l="1"/>
  <c r="S33" i="74"/>
  <c r="AA33" i="75"/>
  <c r="S33" i="75"/>
  <c r="AC33" i="74"/>
  <c r="W33" i="74"/>
  <c r="W33" i="75"/>
  <c r="AC33" i="75"/>
  <c r="U33" i="75"/>
  <c r="AB33" i="75"/>
  <c r="AC33" i="72"/>
  <c r="W33" i="72"/>
  <c r="AB33" i="74"/>
  <c r="U33" i="74"/>
  <c r="AA33" i="72"/>
  <c r="S33" i="72"/>
  <c r="AB33" i="72"/>
  <c r="U33" i="72"/>
  <c r="C18" i="15"/>
  <c r="C15" i="15"/>
  <c r="C20" i="44"/>
  <c r="C17" i="44"/>
  <c r="B3" i="67"/>
  <c r="B4" i="67"/>
  <c r="T16" i="1"/>
  <c r="C17" i="12"/>
  <c r="C14" i="12"/>
  <c r="H27" i="6"/>
  <c r="R20" i="6"/>
  <c r="R7" i="1" s="1"/>
  <c r="R24" i="6"/>
  <c r="D16" i="6"/>
  <c r="D30" i="6"/>
  <c r="R23" i="6"/>
  <c r="R25" i="6"/>
  <c r="R21" i="6"/>
  <c r="R19" i="6"/>
  <c r="R6" i="1" s="1"/>
  <c r="D27" i="6"/>
  <c r="A6" i="51"/>
  <c r="B7" i="63" s="1"/>
  <c r="A20" i="64"/>
  <c r="A6" i="64"/>
  <c r="A20" i="51"/>
  <c r="B15" i="63" s="1"/>
  <c r="N5" i="54"/>
  <c r="B43" i="63" s="1"/>
  <c r="R26" i="6"/>
  <c r="C17" i="43"/>
  <c r="C14" i="43"/>
  <c r="J65" i="40"/>
  <c r="I67" i="40"/>
  <c r="J70" i="39"/>
  <c r="I72" i="39"/>
  <c r="C47" i="15"/>
  <c r="R8" i="1" l="1"/>
  <c r="C21" i="44"/>
  <c r="C22" i="44" s="1"/>
  <c r="C25" i="44" s="1"/>
  <c r="C19" i="15"/>
  <c r="C20" i="15" s="1"/>
  <c r="C23" i="15" s="1"/>
  <c r="C18" i="12"/>
  <c r="D31" i="6"/>
  <c r="I6" i="6" s="1"/>
  <c r="R27" i="6"/>
  <c r="C18" i="43"/>
  <c r="K70" i="39"/>
  <c r="J72" i="39"/>
  <c r="K65" i="40"/>
  <c r="J67" i="40"/>
  <c r="C65" i="15"/>
  <c r="C59" i="15"/>
  <c r="F37" i="44"/>
  <c r="M21" i="15"/>
  <c r="M23" i="44"/>
  <c r="F35" i="15"/>
  <c r="C11" i="75" l="1"/>
  <c r="H11" i="75" s="1"/>
  <c r="C13" i="39"/>
  <c r="J11" i="75"/>
  <c r="C11" i="74"/>
  <c r="C11" i="72"/>
  <c r="J13" i="39"/>
  <c r="J22" i="44"/>
  <c r="C34" i="15"/>
  <c r="F62" i="15"/>
  <c r="C61" i="15" s="1"/>
  <c r="C36" i="44"/>
  <c r="J20" i="15"/>
  <c r="R16" i="1"/>
  <c r="C28" i="44"/>
  <c r="C31" i="44" s="1"/>
  <c r="C35" i="44" s="1"/>
  <c r="I5" i="6"/>
  <c r="C26" i="15"/>
  <c r="C29" i="15" s="1"/>
  <c r="J59" i="15" s="1"/>
  <c r="J60" i="15" s="1"/>
  <c r="Q49" i="15" s="1"/>
  <c r="C23" i="12"/>
  <c r="C19" i="43"/>
  <c r="C22" i="43" s="1"/>
  <c r="C21" i="43" s="1"/>
  <c r="K67" i="40"/>
  <c r="L65" i="40"/>
  <c r="K72" i="39"/>
  <c r="L70" i="39"/>
  <c r="F11" i="75" l="1"/>
  <c r="AA11" i="75" s="1"/>
  <c r="R48" i="75" s="1"/>
  <c r="F13" i="39"/>
  <c r="AA13" i="39" s="1"/>
  <c r="U11" i="75"/>
  <c r="AB11" i="75"/>
  <c r="T48" i="75" s="1"/>
  <c r="G48" i="75" s="1"/>
  <c r="S11" i="75"/>
  <c r="AC11" i="75"/>
  <c r="V48" i="75" s="1"/>
  <c r="I48" i="75" s="1"/>
  <c r="W11" i="75"/>
  <c r="H13" i="39"/>
  <c r="U13" i="39" s="1"/>
  <c r="H11" i="72"/>
  <c r="J11" i="72"/>
  <c r="F11" i="72"/>
  <c r="H11" i="74"/>
  <c r="F11" i="74"/>
  <c r="J11" i="74"/>
  <c r="AC13" i="39"/>
  <c r="W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S13" i="39" l="1"/>
  <c r="AB13" i="39"/>
  <c r="R49" i="75"/>
  <c r="E48" i="75"/>
  <c r="G53" i="75"/>
  <c r="H53" i="75" s="1"/>
  <c r="G52" i="75"/>
  <c r="H52" i="75" s="1"/>
  <c r="I52" i="75"/>
  <c r="J52" i="75" s="1"/>
  <c r="I53" i="75"/>
  <c r="J53" i="75" s="1"/>
  <c r="AC11" i="74"/>
  <c r="V48" i="74" s="1"/>
  <c r="I48" i="74" s="1"/>
  <c r="W11" i="74"/>
  <c r="AB11" i="74"/>
  <c r="T48" i="74" s="1"/>
  <c r="G48" i="74" s="1"/>
  <c r="U11" i="74"/>
  <c r="W11" i="72"/>
  <c r="AC11" i="72"/>
  <c r="V48" i="72" s="1"/>
  <c r="I48" i="72" s="1"/>
  <c r="S11" i="74"/>
  <c r="AA11" i="74"/>
  <c r="R48" i="74" s="1"/>
  <c r="AA11" i="72"/>
  <c r="R48" i="72" s="1"/>
  <c r="S11" i="72"/>
  <c r="AB11" i="72"/>
  <c r="T48" i="72" s="1"/>
  <c r="G48" i="72" s="1"/>
  <c r="U11" i="72"/>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E52" i="75" l="1"/>
  <c r="F52" i="75" s="1"/>
  <c r="E53" i="75"/>
  <c r="F53" i="75" s="1"/>
  <c r="C48" i="75"/>
  <c r="C49" i="75"/>
  <c r="B3" i="75" s="1"/>
  <c r="R49" i="74"/>
  <c r="E48" i="74"/>
  <c r="I53" i="74" s="1"/>
  <c r="J53" i="74" s="1"/>
  <c r="I52" i="72"/>
  <c r="J52" i="72" s="1"/>
  <c r="G53" i="72"/>
  <c r="H53" i="72" s="1"/>
  <c r="G52" i="72"/>
  <c r="H52" i="72" s="1"/>
  <c r="E48" i="72"/>
  <c r="I53" i="72" s="1"/>
  <c r="J53" i="72" s="1"/>
  <c r="R49" i="72"/>
  <c r="G53" i="74"/>
  <c r="H53" i="74" s="1"/>
  <c r="G52" i="74"/>
  <c r="H52" i="74" s="1"/>
  <c r="I52" i="74"/>
  <c r="J52" i="74"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2" i="75" l="1"/>
  <c r="E10" i="12" s="1"/>
  <c r="E8" i="12"/>
  <c r="C48" i="72"/>
  <c r="C49" i="72"/>
  <c r="E52" i="74"/>
  <c r="F52" i="74" s="1"/>
  <c r="E53" i="74"/>
  <c r="F53" i="74" s="1"/>
  <c r="E53" i="72"/>
  <c r="F53" i="72" s="1"/>
  <c r="E52" i="72"/>
  <c r="F52" i="72" s="1"/>
  <c r="C48" i="74"/>
  <c r="C49" i="74"/>
  <c r="B3" i="74"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74" l="1"/>
  <c r="D10" i="12" s="1"/>
  <c r="D8" i="12"/>
  <c r="C8" i="12"/>
  <c r="B3" i="72"/>
  <c r="B2" i="72" s="1"/>
  <c r="C10"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F10" i="12" s="1"/>
  <c r="Q76" i="15"/>
  <c r="Q58" i="15"/>
  <c r="Q63" i="15" s="1"/>
  <c r="E54" i="39"/>
  <c r="F54" i="39" s="1"/>
  <c r="E53" i="39"/>
  <c r="F53" i="39" s="1"/>
  <c r="E48" i="40"/>
  <c r="F48" i="40" s="1"/>
  <c r="E49" i="40"/>
  <c r="F49" i="40" s="1"/>
  <c r="C50" i="39"/>
  <c r="C49" i="39"/>
  <c r="I54" i="39"/>
  <c r="J54" i="39" s="1"/>
  <c r="C45" i="40"/>
  <c r="C44" i="40"/>
  <c r="I49" i="40"/>
  <c r="J49" i="40" s="1"/>
  <c r="B3" i="15" l="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8" i="12" l="1"/>
  <c r="C6" i="12"/>
  <c r="C29" i="12" s="1"/>
  <c r="F68" i="39"/>
  <c r="B2" i="39" s="1"/>
  <c r="F63" i="40"/>
  <c r="B2" i="40" s="1"/>
  <c r="C19" i="9"/>
  <c r="L5" i="9" l="1"/>
  <c r="C24" i="12"/>
  <c r="C35" i="12" s="1"/>
  <c r="C33" i="12" s="1"/>
  <c r="L43" i="9"/>
  <c r="B3" i="40"/>
  <c r="B4" i="40"/>
  <c r="B5" i="40"/>
  <c r="B3" i="39"/>
  <c r="B4" i="39"/>
  <c r="B5" i="39"/>
  <c r="C21" i="9"/>
  <c r="C20" i="9"/>
  <c r="C28" i="12" l="1"/>
  <c r="C26" i="12" s="1"/>
  <c r="C31" i="12" s="1"/>
  <c r="C30" i="12" s="1"/>
  <c r="C36" i="12" s="1"/>
  <c r="B2" i="12" s="1"/>
  <c r="B3" i="12" s="1"/>
  <c r="C45" i="9"/>
  <c r="H14" i="66" s="1"/>
  <c r="B7" i="66" s="1"/>
  <c r="D20" i="9"/>
  <c r="D19" i="9"/>
  <c r="M6" i="9" l="1"/>
  <c r="M5" i="9"/>
  <c r="L44" i="9"/>
  <c r="D22" i="9"/>
  <c r="G19" i="9"/>
  <c r="B5" i="12"/>
  <c r="B4" i="12"/>
  <c r="G20" i="9"/>
  <c r="D7" i="66"/>
  <c r="C7" i="66"/>
  <c r="D21" i="9"/>
  <c r="M7" i="9" l="1"/>
  <c r="G21" i="9"/>
  <c r="C32" i="9"/>
  <c r="N43" i="9"/>
  <c r="G22" i="9"/>
  <c r="D45" i="9"/>
  <c r="E45" i="9"/>
  <c r="O40" i="9"/>
  <c r="F45" i="9"/>
  <c r="C42" i="9" l="1"/>
  <c r="C44" i="9" s="1"/>
  <c r="C34" i="9"/>
  <c r="O43" i="9"/>
  <c r="O38" i="9"/>
  <c r="C33" i="9"/>
  <c r="C35" i="9"/>
  <c r="F42" i="9" s="1"/>
  <c r="K31" i="9"/>
  <c r="K32" i="9" s="1"/>
  <c r="R7" i="54"/>
  <c r="B52" i="63" s="1"/>
  <c r="N69" i="9" l="1"/>
  <c r="M84" i="9" s="1"/>
  <c r="N84" i="9" s="1"/>
  <c r="F44" i="9"/>
  <c r="D44" i="9"/>
  <c r="E44" i="9"/>
  <c r="O39" i="9"/>
  <c r="K29" i="9" s="1"/>
  <c r="K30" i="9" s="1"/>
  <c r="K25" i="9"/>
  <c r="K26" i="9"/>
  <c r="E42" i="9"/>
  <c r="P5" i="54" s="1"/>
  <c r="B46" i="63" s="1"/>
  <c r="M38" i="9"/>
  <c r="K27" i="9" s="1"/>
  <c r="D42" i="9"/>
  <c r="Q5" i="54" s="1"/>
  <c r="B47" i="63" s="1"/>
  <c r="N38" i="9"/>
  <c r="K28" i="9" s="1"/>
  <c r="R5" i="54"/>
  <c r="B48" i="63" s="1"/>
  <c r="D63" i="9"/>
  <c r="N68" i="9"/>
  <c r="M86" i="9"/>
  <c r="N86" i="9" s="1"/>
  <c r="R6" i="54" l="1"/>
  <c r="B50" i="63" s="1"/>
  <c r="M85" i="9"/>
  <c r="N85" i="9" s="1"/>
  <c r="M88" i="9"/>
  <c r="N88" i="9" s="1"/>
  <c r="M83" i="9"/>
  <c r="N83" i="9" s="1"/>
  <c r="M87" i="9"/>
  <c r="N87" i="9" s="1"/>
  <c r="C111" i="9"/>
  <c r="C104" i="9" s="1"/>
  <c r="C96" i="9"/>
  <c r="C91" i="9" s="1"/>
  <c r="D71" i="9"/>
  <c r="D66" i="9" s="1"/>
  <c r="N72" i="9" s="1"/>
  <c r="D77" i="9"/>
  <c r="N75" i="9" s="1"/>
  <c r="C103" i="9"/>
  <c r="C90" i="9"/>
  <c r="D70" i="9"/>
  <c r="C82" i="9"/>
  <c r="C81" i="9" s="1"/>
  <c r="C85" i="9" s="1"/>
  <c r="C86" i="9" s="1"/>
  <c r="D72" i="9" s="1"/>
  <c r="C97" i="9" l="1"/>
  <c r="C98" i="9" s="1"/>
  <c r="E98" i="9" s="1"/>
  <c r="E99" i="9" s="1"/>
  <c r="C113" i="9"/>
  <c r="C114" i="9" s="1"/>
  <c r="E114" i="9" s="1"/>
  <c r="E115" i="9" s="1"/>
  <c r="N89" i="9"/>
  <c r="O89" i="9" s="1"/>
  <c r="N76" i="9"/>
  <c r="C99" i="9" l="1"/>
  <c r="C115" i="9"/>
  <c r="D76" i="9" s="1"/>
  <c r="D74" i="9" s="1"/>
  <c r="N74" i="9" s="1"/>
  <c r="O77" i="9" s="1"/>
  <c r="O78" i="9" s="1"/>
  <c r="O79" i="9" l="1"/>
  <c r="C46" i="9" s="1"/>
  <c r="K33" i="9" s="1"/>
  <c r="K34" i="9" s="1"/>
  <c r="Q77" i="9"/>
  <c r="D46" i="9" l="1"/>
  <c r="I14" i="66"/>
  <c r="B8" i="66" s="1"/>
  <c r="F46" i="9"/>
  <c r="E46" i="9"/>
  <c r="O41" i="9"/>
  <c r="R8" i="54" s="1"/>
  <c r="B54" i="63" s="1"/>
  <c r="O81" i="9"/>
  <c r="O80" i="9"/>
  <c r="D8" i="66" l="1"/>
  <c r="C8" i="66"/>
  <c r="L6" i="9"/>
  <c r="L7" i="9"/>
  <c r="M9" i="9"/>
  <c r="N8" i="9"/>
  <c r="M17" i="9" l="1"/>
  <c r="M11" i="9"/>
  <c r="M10" i="9"/>
  <c r="G14" i="66" l="1"/>
  <c r="D14" i="66" s="1"/>
  <c r="M19" i="9"/>
  <c r="M12" i="9"/>
  <c r="M18" i="9"/>
  <c r="E14" i="66" l="1"/>
  <c r="F14" i="66"/>
  <c r="G15" i="66" l="1"/>
  <c r="D15" i="66" s="1"/>
  <c r="E15" i="66" l="1"/>
  <c r="F15" i="66"/>
  <c r="G16" i="66" l="1"/>
  <c r="B6" i="66" s="1"/>
  <c r="D16" i="66" l="1"/>
  <c r="E16" i="66" s="1"/>
  <c r="D6" i="66"/>
  <c r="C6" i="66"/>
  <c r="F16" i="66" l="1"/>
  <c r="B5" i="66"/>
  <c r="D5" i="66" s="1"/>
  <c r="C5"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<sst xmlns="http://schemas.openxmlformats.org/spreadsheetml/2006/main" count="8727" uniqueCount="3516">
  <si>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</si>
  <si>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</si>
  <si>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</si>
  <si>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</si>
  <si>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</si>
  <si>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</si>
  <si>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</si>
  <si>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</si>
  <si>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</si>
  <si>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</si>
  <si>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</si>
  <si>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</si>
  <si>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</si>
  <si>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</si>
  <si>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</si>
  <si>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</si>
  <si>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</si>
  <si>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</si>
  <si>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</si>
  <si>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</si>
  <si>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</si>
  <si>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</si>
  <si>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</si>
  <si>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</si>
  <si>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</si>
  <si>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</si>
  <si>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</si>
  <si>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</si>
  <si>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</si>
  <si>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</si>
  <si>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</si>
  <si>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</si>
  <si>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</si>
  <si>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</si>
  <si>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</si>
  <si>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</si>
  <si>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</si>
  <si>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</si>
  <si>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</si>
  <si>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</si>
  <si>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</si>
  <si>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</si>
  <si>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</si>
  <si>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</si>
  <si>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</si>
  <si>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</si>
  <si>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</si>
  <si>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</si>
  <si>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</si>
  <si>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</si>
  <si>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</si>
  <si>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</si>
  <si>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</si>
  <si>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</si>
  <si>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</si>
  <si>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</si>
  <si>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</si>
  <si>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</si>
  <si>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</si>
  <si>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</si>
  <si>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</si>
  <si>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</si>
  <si>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</si>
  <si>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</si>
  <si>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</si>
  <si>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</si>
  <si>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</si>
  <si>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</si>
  <si>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</si>
  <si>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</si>
  <si>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</si>
  <si>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</si>
  <si>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</si>
  <si>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</si>
  <si>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</si>
  <si>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</si>
  <si>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</si>
  <si>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</si>
  <si>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</si>
  <si>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</si>
  <si>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</si>
  <si>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</si>
  <si>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</si>
  <si>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</si>
  <si>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</si>
  <si>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</si>
  <si>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</si>
  <si>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</si>
  <si>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</si>
  <si>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</si>
  <si>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</si>
  <si>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</si>
  <si>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</si>
  <si>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</si>
  <si>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</si>
  <si>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</si>
  <si>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</si>
  <si>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</si>
  <si>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</si>
  <si>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</si>
  <si>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</si>
  <si>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</si>
  <si>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</si>
  <si>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</si>
  <si>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</si>
  <si>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</si>
  <si>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</si>
  <si>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</si>
  <si>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</si>
  <si>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</si>
  <si>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</si>
  <si>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</si>
  <si>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</si>
  <si>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</si>
  <si>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</si>
  <si>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</si>
  <si>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</si>
  <si>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</si>
  <si>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</si>
  <si>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</si>
  <si>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</si>
  <si>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</si>
  <si>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</si>
  <si>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</si>
  <si>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</si>
  <si>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</si>
  <si>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</si>
  <si>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</si>
  <si>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</si>
  <si>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</si>
  <si>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</si>
  <si>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</si>
  <si>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</si>
  <si>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</si>
  <si>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</si>
  <si>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</si>
  <si>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</si>
  <si>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</si>
  <si>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</si>
  <si>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</si>
  <si>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</si>
  <si>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</si>
  <si>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</si>
  <si>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</si>
  <si>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</si>
  <si>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</si>
  <si>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</si>
  <si>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</si>
  <si>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</si>
  <si>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</si>
  <si>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</si>
  <si>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</si>
  <si>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</si>
  <si>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</si>
  <si>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</si>
  <si>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</si>
  <si>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</si>
  <si>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</si>
  <si>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</si>
  <si>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</si>
  <si>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</si>
  <si>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</si>
  <si>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</si>
  <si>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</si>
  <si>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</si>
  <si>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</si>
  <si>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</si>
  <si>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</si>
  <si>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</si>
  <si>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</si>
  <si>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</si>
  <si>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</si>
  <si>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</si>
  <si>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</si>
  <si>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</si>
  <si>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</si>
  <si>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</si>
  <si>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</si>
  <si>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</si>
  <si>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</si>
  <si>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</si>
  <si>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</si>
  <si>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</si>
  <si>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</si>
  <si>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</si>
  <si>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</si>
  <si>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</si>
  <si>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</si>
  <si>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</si>
  <si>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</si>
  <si>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</si>
  <si>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</si>
  <si>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</si>
  <si>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</si>
  <si>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</si>
  <si>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</si>
  <si>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</si>
  <si>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</si>
  <si>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</si>
  <si>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</si>
  <si>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</si>
  <si>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</si>
  <si>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</si>
  <si>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</si>
  <si>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</si>
  <si>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</si>
  <si>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</si>
  <si>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</si>
  <si>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</si>
  <si>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</si>
  <si>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</si>
  <si>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</si>
  <si>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</si>
  <si>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</si>
  <si>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</si>
  <si>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</si>
  <si>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</si>
  <si>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</si>
  <si>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</si>
  <si>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</si>
  <si>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</si>
  <si>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</si>
  <si>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</si>
  <si>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</si>
  <si>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</si>
  <si>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</si>
  <si>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</si>
  <si>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</si>
  <si>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</si>
  <si>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</si>
  <si>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</si>
  <si>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</si>
  <si>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</si>
  <si>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</si>
  <si>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</si>
  <si>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</si>
  <si>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</si>
  <si>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</si>
  <si>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</si>
  <si>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</si>
  <si>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</si>
  <si>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</si>
  <si>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</si>
  <si>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</si>
  <si>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</si>
  <si>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</si>
  <si>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</si>
  <si>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</si>
  <si>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</si>
  <si>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</si>
  <si>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</si>
  <si>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</si>
  <si>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</si>
  <si>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</si>
  <si>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</si>
  <si>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</si>
  <si>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</si>
  <si>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</si>
  <si>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</si>
  <si>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</si>
  <si>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</si>
  <si>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</si>
  <si>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</si>
  <si>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</si>
  <si>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</si>
  <si>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</si>
  <si>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</si>
  <si>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</si>
  <si>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</si>
  <si>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</si>
  <si>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</si>
  <si>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</si>
  <si>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</si>
  <si>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</si>
  <si>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</si>
  <si>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</si>
  <si>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</si>
  <si>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</si>
  <si>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</si>
  <si>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</si>
  <si>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</si>
  <si>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</si>
  <si>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</si>
  <si>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</si>
  <si>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</si>
  <si>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</si>
  <si>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</si>
  <si>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</si>
  <si>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</si>
  <si>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</si>
  <si>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</si>
  <si>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</si>
  <si>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</si>
  <si>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</si>
  <si>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</si>
  <si>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</si>
  <si>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</si>
  <si>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</si>
  <si>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</si>
  <si>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</si>
  <si>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</si>
  <si>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</si>
  <si>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</si>
  <si>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</si>
  <si>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</si>
  <si>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</si>
  <si>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</si>
  <si>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</si>
  <si>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</si>
  <si>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</si>
  <si>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</si>
  <si>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</si>
  <si>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</si>
  <si>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</si>
  <si>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</si>
  <si>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</si>
  <si>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</si>
  <si>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</si>
  <si>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</si>
  <si>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</si>
  <si>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</si>
  <si>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</si>
  <si>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</si>
  <si>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</si>
  <si>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</si>
  <si>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</si>
  <si>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</si>
  <si>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</si>
  <si>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</si>
  <si>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</si>
  <si>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</si>
  <si>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</si>
  <si>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</si>
  <si>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</si>
  <si>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</si>
  <si>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</si>
  <si>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</si>
  <si>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</si>
  <si>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</si>
  <si>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</si>
  <si>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</si>
  <si>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</si>
  <si>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</si>
  <si>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</si>
  <si>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</si>
  <si>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</si>
  <si>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</si>
  <si>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</si>
  <si>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</si>
  <si>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</si>
  <si>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</si>
  <si>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</si>
  <si>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</si>
  <si>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</si>
  <si>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</si>
  <si>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</si>
  <si>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</si>
  <si>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</si>
  <si>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</si>
  <si>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</si>
  <si>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</si>
  <si>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</si>
  <si>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</si>
  <si>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</si>
  <si>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</si>
  <si>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</si>
  <si>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</si>
  <si>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</si>
  <si>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</si>
  <si>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</si>
  <si>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</si>
  <si>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</si>
  <si>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</si>
  <si>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</si>
  <si>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</si>
  <si>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</si>
  <si>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</si>
  <si>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</si>
  <si>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</si>
  <si>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</si>
  <si>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</si>
  <si>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</si>
  <si>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</si>
  <si>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</si>
  <si>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</si>
  <si>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</si>
  <si>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</si>
  <si>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</si>
  <si>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</si>
  <si>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</si>
  <si>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</si>
  <si>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</si>
  <si>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</si>
  <si>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</si>
  <si>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</si>
  <si>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</si>
  <si>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</si>
  <si>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</si>
  <si>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</si>
  <si>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</si>
  <si>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</si>
  <si>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</si>
  <si>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</si>
  <si>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</si>
  <si>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</si>
  <si>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</si>
  <si>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</si>
  <si>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</si>
  <si>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</si>
  <si>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</si>
  <si>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</si>
  <si>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</si>
  <si>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</si>
  <si>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</si>
  <si>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</si>
  <si>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</si>
  <si>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</si>
  <si>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</si>
  <si>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</si>
  <si>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</si>
  <si>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</si>
  <si>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</si>
  <si>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</si>
  <si>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</si>
  <si>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</si>
  <si>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</si>
  <si>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</si>
  <si>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</si>
  <si>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</si>
  <si>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</si>
  <si>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</si>
  <si>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</si>
  <si>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</si>
  <si>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</si>
  <si>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</si>
  <si>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</si>
  <si>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</si>
  <si>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</si>
  <si>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</si>
  <si>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</si>
  <si>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</si>
  <si>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</si>
  <si>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</si>
  <si>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</si>
  <si>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</si>
  <si>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</si>
  <si>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</si>
  <si>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</si>
  <si>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</si>
  <si>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</si>
  <si>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</si>
  <si>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</si>
  <si>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</si>
  <si>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</si>
  <si>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</si>
  <si>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</si>
  <si>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</si>
  <si>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</si>
  <si>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</si>
  <si>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</si>
  <si>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</si>
  <si>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</si>
  <si>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</si>
  <si>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</si>
  <si>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</si>
  <si>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</si>
  <si>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</si>
  <si>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</si>
  <si>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</si>
  <si>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</si>
  <si>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</si>
  <si>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</si>
  <si>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</si>
  <si>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</si>
  <si>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</si>
  <si>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</si>
  <si>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</si>
  <si>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</si>
  <si>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</si>
  <si>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</si>
  <si>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</si>
  <si>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</si>
  <si>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</si>
  <si>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</si>
  <si>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</si>
  <si>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</si>
  <si>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</si>
  <si>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</si>
  <si>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</si>
  <si>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</si>
  <si>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</si>
  <si>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</si>
  <si>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</si>
  <si>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</si>
  <si>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</si>
  <si>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</si>
  <si>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</si>
  <si>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</si>
  <si>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</si>
  <si>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</si>
  <si>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</si>
  <si>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</si>
  <si>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</si>
  <si>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</si>
  <si>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</si>
  <si>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</si>
  <si>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</si>
  <si>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</si>
  <si>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</si>
  <si>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</si>
  <si>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</si>
  <si>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</si>
  <si>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</si>
  <si>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</si>
  <si>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</si>
  <si>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</si>
  <si>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</si>
  <si>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</si>
  <si>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</si>
  <si>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</si>
  <si>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</si>
  <si>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</si>
  <si>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</si>
  <si>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</si>
  <si>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</si>
  <si>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</si>
  <si>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</si>
  <si>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</si>
  <si>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</si>
  <si>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</si>
  <si>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</si>
  <si>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</si>
  <si>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</si>
  <si>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</si>
  <si>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</si>
  <si>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</si>
  <si>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</si>
  <si>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</si>
  <si>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</si>
  <si>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</si>
  <si>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</si>
  <si>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</si>
  <si>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</si>
  <si>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</si>
  <si>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</si>
  <si>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</si>
  <si>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</si>
  <si>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</si>
  <si>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</si>
  <si>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</si>
  <si>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</si>
  <si>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</si>
  <si>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</si>
  <si>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</si>
  <si>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</si>
  <si>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</si>
  <si>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</si>
  <si>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</si>
  <si>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</si>
  <si>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</si>
  <si>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</si>
  <si>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</si>
  <si>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</si>
  <si>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</si>
  <si>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</si>
  <si>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</si>
  <si>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</si>
  <si>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</si>
  <si>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</si>
  <si>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</si>
  <si>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</si>
  <si>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</si>
  <si>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</si>
  <si>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</si>
  <si>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</si>
  <si>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</si>
  <si>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</si>
  <si>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</si>
  <si>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</si>
  <si>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</si>
  <si>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</si>
  <si>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</si>
  <si>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</si>
  <si>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</si>
  <si>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</si>
  <si>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</si>
  <si>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</si>
  <si>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</si>
  <si>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</si>
  <si>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</si>
  <si>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</si>
  <si>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</si>
  <si>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</si>
  <si>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</si>
  <si>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</si>
  <si>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</si>
  <si>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</si>
  <si>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</si>
  <si>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</si>
  <si>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</si>
  <si>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</si>
  <si>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</si>
  <si>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</si>
  <si>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</si>
  <si>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</si>
  <si>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</si>
  <si>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</si>
  <si>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</si>
  <si>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</si>
  <si>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</si>
  <si>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</si>
  <si>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</si>
  <si>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</si>
  <si>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</si>
  <si>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</si>
  <si>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</si>
  <si>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</si>
  <si>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</si>
  <si>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</si>
  <si>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</si>
  <si>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</si>
  <si>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</si>
  <si>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</si>
  <si>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</si>
  <si>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</si>
  <si>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</si>
  <si>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</si>
  <si>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</si>
  <si>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</si>
  <si>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</si>
  <si>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</si>
  <si>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</si>
  <si>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</si>
  <si>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</si>
  <si>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</si>
  <si>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</si>
  <si>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</si>
  <si>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</si>
  <si>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</si>
  <si>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</si>
  <si>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</si>
  <si>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</si>
  <si>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</si>
  <si>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</si>
  <si>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</si>
  <si>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</si>
  <si>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</si>
  <si>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</si>
  <si>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</si>
  <si>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</si>
  <si>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</si>
  <si>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</si>
  <si>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</si>
  <si>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</si>
  <si>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</si>
  <si>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</si>
  <si>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</si>
  <si>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</si>
  <si>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</si>
  <si>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</si>
  <si>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</si>
  <si>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</si>
  <si>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</si>
  <si>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</si>
  <si>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</si>
  <si>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</si>
  <si>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</si>
  <si>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</si>
  <si>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</si>
  <si>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</si>
  <si>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</si>
  <si>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</si>
  <si>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</si>
  <si>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</si>
  <si>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</si>
  <si>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</si>
  <si>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</si>
  <si>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</si>
  <si>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</si>
  <si>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</si>
  <si>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</si>
  <si>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</si>
  <si>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</si>
  <si>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</si>
  <si>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</si>
  <si>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</si>
  <si>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</si>
  <si>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</si>
  <si>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</si>
  <si>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</si>
  <si>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</si>
  <si>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</si>
  <si>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</si>
  <si>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</si>
  <si>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</si>
  <si>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</si>
  <si>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</si>
  <si>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</si>
  <si>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</si>
  <si>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</si>
  <si>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</si>
  <si>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</si>
  <si>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</si>
  <si>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</si>
  <si>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</si>
  <si>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</si>
  <si>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</si>
  <si>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</si>
  <si>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</si>
  <si>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</si>
  <si>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</si>
  <si>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</si>
  <si>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</si>
  <si>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</si>
  <si>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</si>
  <si>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</si>
  <si>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</si>
  <si>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</si>
  <si>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</si>
  <si>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</si>
  <si>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</si>
  <si>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</si>
  <si>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</si>
  <si>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</si>
  <si>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</si>
  <si>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</si>
  <si>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</si>
  <si>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</si>
  <si>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</si>
  <si>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</si>
  <si>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</si>
  <si>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</si>
  <si>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</si>
  <si>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</si>
  <si>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</si>
  <si>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</si>
  <si>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</si>
  <si>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</si>
  <si>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</si>
  <si>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</si>
  <si>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</si>
  <si>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</si>
  <si>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</si>
  <si>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</si>
  <si>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</si>
  <si>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</si>
  <si>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</si>
  <si>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</si>
  <si>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</si>
  <si>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</si>
  <si>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</si>
  <si>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</si>
  <si>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</si>
  <si>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</si>
  <si>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</si>
  <si>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</si>
  <si>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</si>
  <si>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</si>
  <si>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</si>
  <si>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</si>
  <si>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</si>
  <si>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</si>
  <si>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</si>
  <si>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</si>
  <si>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</si>
  <si>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</si>
  <si>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</si>
  <si>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</si>
  <si>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</si>
  <si>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</si>
  <si>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</si>
  <si>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</si>
  <si>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</si>
  <si>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</si>
  <si>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</si>
  <si>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</si>
  <si>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</si>
  <si>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</si>
  <si>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</si>
  <si>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</si>
  <si>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</si>
  <si>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</si>
  <si>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</si>
  <si>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</si>
  <si>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</si>
  <si>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</si>
  <si>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</si>
  <si>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</si>
  <si>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</si>
  <si>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</si>
  <si>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</si>
  <si>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</si>
  <si>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</si>
  <si>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</si>
  <si>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</si>
  <si>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</si>
  <si>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</si>
  <si>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</si>
  <si>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</si>
  <si>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</si>
  <si>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</si>
  <si>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</si>
  <si>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</si>
  <si>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</si>
  <si>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</si>
  <si>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</si>
  <si>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</si>
  <si>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</si>
  <si>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</si>
  <si>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</si>
  <si>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</si>
  <si>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</si>
  <si>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</si>
  <si>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</si>
  <si>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</si>
  <si>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</si>
  <si>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</si>
  <si>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</si>
  <si>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</si>
  <si>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</si>
  <si>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</si>
  <si>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</si>
  <si>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</si>
  <si>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</si>
  <si>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</si>
  <si>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</si>
  <si>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</si>
  <si>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</si>
  <si>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</si>
  <si>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</si>
  <si>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</si>
  <si>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</si>
  <si>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</si>
  <si>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</si>
  <si>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</si>
  <si>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</si>
  <si>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</si>
  <si>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</si>
  <si>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</si>
  <si>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</si>
  <si>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</si>
  <si>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</si>
  <si>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</si>
  <si>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</si>
  <si>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</si>
  <si>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</si>
  <si>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</si>
  <si>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</si>
  <si>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</si>
  <si>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</si>
  <si>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</si>
  <si>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</si>
  <si>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</si>
  <si>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</si>
  <si>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</si>
  <si>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</si>
  <si>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</si>
  <si>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</si>
  <si>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</si>
  <si>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</si>
  <si>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</si>
  <si>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</si>
  <si>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</si>
  <si>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</si>
  <si>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</si>
  <si>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</si>
  <si>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</si>
  <si>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</si>
  <si>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</si>
  <si>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</si>
  <si>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</si>
  <si>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</si>
  <si>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</si>
  <si>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</si>
  <si>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</si>
  <si>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</si>
  <si>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</si>
  <si>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</si>
  <si>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</si>
  <si>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</si>
  <si>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</si>
  <si>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</si>
  <si>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</si>
  <si>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</si>
  <si>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</si>
  <si>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</si>
  <si>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</si>
  <si>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</si>
  <si>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</si>
  <si>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</si>
  <si>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</si>
  <si>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</si>
  <si>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</si>
  <si>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</si>
  <si>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</si>
  <si>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</si>
  <si>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</si>
  <si>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</si>
  <si>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</si>
  <si>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</si>
  <si>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</si>
  <si>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</si>
  <si>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</si>
  <si>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</si>
  <si>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</si>
  <si>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</si>
  <si>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</si>
  <si>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</si>
  <si>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</si>
  <si>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</si>
  <si>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</si>
  <si>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</si>
  <si>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</si>
  <si>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</si>
  <si>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</si>
  <si>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</si>
  <si>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</si>
  <si>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</si>
  <si>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</si>
  <si>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</si>
  <si>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</si>
  <si>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</si>
  <si>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</si>
  <si>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</si>
  <si>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</si>
  <si>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</si>
  <si>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</si>
  <si>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</si>
  <si>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</si>
  <si>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</si>
  <si>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</si>
  <si>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</si>
  <si>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</si>
  <si>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</si>
  <si>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</si>
  <si>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</si>
  <si>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</si>
  <si>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</si>
  <si>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</si>
  <si>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</si>
  <si>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</si>
  <si>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</si>
  <si>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</si>
  <si>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</si>
  <si>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</si>
  <si>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</si>
  <si>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</si>
  <si>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</si>
  <si>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</si>
  <si>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</si>
  <si>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</si>
  <si>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</si>
  <si>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</si>
  <si>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</si>
  <si>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</si>
  <si>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</si>
  <si>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</si>
  <si>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</si>
  <si>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</si>
  <si>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</si>
  <si>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</si>
  <si>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</si>
  <si>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</si>
  <si>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</si>
  <si>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</si>
  <si>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</si>
  <si>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</si>
  <si>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</si>
  <si>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</si>
  <si>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</si>
  <si>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</si>
  <si>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</si>
  <si>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</si>
  <si>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</si>
  <si>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</si>
  <si>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</si>
  <si>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</si>
  <si>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</si>
  <si>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</si>
  <si>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</si>
  <si>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</si>
  <si>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</si>
  <si>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</si>
  <si>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</si>
  <si>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</si>
  <si>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</si>
  <si>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</si>
  <si>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</si>
  <si>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</si>
  <si>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</si>
  <si>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</si>
  <si>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</si>
  <si>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</si>
  <si>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</si>
  <si>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</si>
  <si>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</si>
  <si>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</si>
  <si>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</si>
  <si>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</si>
  <si>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</si>
  <si>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</si>
  <si>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</si>
  <si>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</si>
  <si>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</si>
  <si>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</si>
  <si>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</si>
  <si>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</si>
  <si>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</si>
  <si>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</si>
  <si>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</si>
  <si>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</si>
  <si>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</si>
  <si>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</si>
  <si>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</si>
  <si>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</si>
  <si>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</si>
  <si>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</si>
  <si>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</si>
  <si>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</si>
  <si>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</si>
  <si>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</si>
  <si>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</si>
  <si>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</si>
  <si>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</si>
  <si>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</si>
  <si>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</si>
  <si>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</si>
  <si>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</si>
  <si>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</si>
  <si>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</si>
  <si>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</si>
  <si>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</si>
  <si>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</si>
  <si>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</si>
  <si>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</si>
  <si>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</si>
  <si>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</si>
  <si>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</si>
  <si>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</si>
  <si>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</si>
  <si>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</si>
  <si>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</si>
  <si>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</si>
  <si>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</si>
  <si>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</si>
  <si>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</si>
  <si>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</si>
  <si>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</si>
  <si>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</si>
  <si>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</si>
  <si>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</si>
  <si>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</si>
  <si>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</si>
  <si>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</si>
  <si>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</si>
  <si>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</si>
  <si>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</si>
  <si>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</si>
  <si>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</si>
  <si>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</si>
  <si>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</si>
  <si>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</si>
  <si>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</si>
  <si>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</si>
  <si>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</si>
  <si>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</si>
  <si>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</si>
  <si>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</si>
  <si>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</si>
  <si>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</si>
  <si>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</si>
  <si>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</si>
  <si>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</si>
  <si>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</si>
  <si>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</si>
  <si>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</si>
  <si>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</si>
  <si>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</si>
  <si>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</si>
  <si>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</si>
  <si>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</si>
  <si>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</si>
  <si>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</si>
  <si>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</si>
  <si>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</si>
  <si>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</si>
  <si>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</si>
  <si>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</si>
  <si>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</si>
  <si>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</si>
  <si>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</si>
  <si>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</si>
  <si>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</si>
  <si>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</si>
  <si>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</si>
  <si>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</si>
  <si>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</si>
  <si>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</si>
  <si>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</si>
  <si>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</si>
  <si>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</si>
  <si>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</si>
  <si>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</si>
  <si>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</si>
  <si>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</si>
  <si>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</si>
  <si>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</si>
  <si>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</si>
  <si>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</si>
  <si>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</si>
  <si>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</si>
  <si>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</si>
  <si>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</si>
  <si>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</si>
  <si>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</si>
  <si>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</si>
  <si>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</si>
  <si>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</si>
  <si>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</si>
  <si>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</si>
  <si>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</si>
  <si>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</si>
  <si>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</si>
  <si>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</si>
  <si>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</si>
  <si>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</si>
  <si>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</si>
  <si>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</si>
  <si>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</si>
  <si>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</si>
  <si>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</si>
  <si>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</si>
  <si>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</si>
  <si>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</si>
  <si>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</si>
  <si>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</si>
  <si>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</si>
  <si>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</si>
  <si>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</si>
  <si>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</si>
  <si>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</si>
  <si>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</si>
  <si>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</si>
  <si>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</si>
  <si>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</si>
  <si>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</si>
  <si>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</si>
  <si>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</si>
  <si>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</si>
  <si>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</si>
  <si>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</si>
  <si>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</si>
  <si>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</si>
  <si>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</si>
  <si>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</si>
  <si>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</si>
  <si>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</si>
  <si>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</si>
  <si>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</si>
  <si>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</si>
  <si>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</si>
  <si>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</si>
  <si>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</si>
  <si>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</si>
  <si>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</si>
  <si>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</si>
  <si>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</si>
  <si>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</si>
  <si>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</si>
  <si>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</si>
  <si>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</si>
  <si>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</si>
  <si>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</si>
  <si>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</si>
  <si>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</si>
  <si>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</si>
  <si>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</si>
  <si>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</si>
  <si>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</si>
  <si>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</si>
  <si>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</si>
  <si>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</si>
  <si>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</si>
  <si>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</si>
  <si>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</si>
  <si>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</si>
  <si>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</si>
  <si>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</si>
  <si>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</si>
  <si>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</si>
  <si>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</si>
  <si>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</si>
  <si>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</si>
  <si>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</si>
  <si>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</si>
  <si>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</si>
  <si>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</si>
  <si>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</si>
  <si>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</si>
  <si>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</si>
  <si>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</si>
  <si>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</si>
  <si>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</si>
  <si>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</si>
  <si>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</si>
  <si>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</si>
  <si>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</si>
  <si>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</si>
  <si>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</si>
  <si>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</si>
  <si>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</si>
  <si>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</si>
  <si>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</si>
  <si>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</si>
  <si>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</si>
  <si>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</si>
  <si>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</si>
  <si>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</si>
  <si>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</si>
  <si>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</si>
  <si>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</si>
  <si>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</si>
  <si>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</si>
  <si>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</si>
  <si>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</si>
  <si>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</si>
  <si>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</si>
  <si>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</si>
  <si>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</si>
  <si>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</si>
  <si>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</si>
  <si>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</si>
  <si>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</si>
  <si>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</si>
  <si>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</si>
  <si>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</si>
  <si>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</si>
  <si>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</si>
  <si>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</si>
  <si>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</si>
  <si>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</si>
  <si>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</si>
  <si>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</si>
  <si>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</si>
  <si>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</si>
  <si>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</si>
  <si>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</si>
  <si>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</si>
  <si>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</si>
  <si>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</si>
  <si>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</si>
  <si>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</si>
  <si>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</si>
  <si>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</si>
  <si>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</si>
  <si>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</si>
  <si>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</si>
  <si>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</si>
  <si>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</si>
  <si>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</si>
  <si>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</si>
  <si>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</si>
  <si>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</si>
  <si>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</si>
  <si>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</si>
  <si>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</si>
  <si>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</si>
  <si>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</si>
  <si>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</si>
  <si>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</si>
  <si>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</si>
  <si>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</si>
  <si>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</si>
  <si>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</si>
  <si>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</si>
  <si>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</si>
  <si>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</si>
  <si>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</si>
  <si>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</si>
  <si>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</si>
  <si>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</si>
  <si>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</si>
  <si>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</si>
  <si>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</si>
  <si>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</si>
  <si>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</si>
  <si>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</si>
  <si>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</si>
  <si>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</si>
  <si>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</si>
  <si>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</si>
  <si>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</si>
  <si>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</si>
  <si>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</si>
  <si>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</si>
  <si>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</si>
  <si>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</si>
  <si>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</si>
  <si>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</si>
  <si>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</si>
  <si>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</si>
  <si>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</si>
  <si>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</si>
  <si>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</si>
  <si>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</si>
  <si>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</si>
  <si>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</si>
  <si>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</si>
  <si>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</si>
  <si>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</si>
  <si>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</si>
  <si>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</si>
  <si>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</si>
  <si>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</si>
  <si>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</si>
  <si>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</si>
  <si>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</si>
  <si>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</si>
  <si>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</si>
  <si>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</si>
  <si>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</si>
  <si>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</si>
  <si>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</si>
  <si>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</si>
  <si>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</si>
  <si>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</si>
  <si>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</si>
  <si>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</si>
  <si>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</si>
  <si>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</si>
  <si>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</si>
  <si>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</si>
  <si>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</si>
  <si>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</si>
  <si>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</si>
  <si>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</si>
  <si>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</si>
  <si>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</si>
  <si>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</si>
  <si>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</si>
  <si>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</si>
  <si>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</si>
  <si>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</si>
  <si>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</si>
  <si>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</si>
  <si>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</si>
  <si>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</si>
  <si>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</si>
  <si>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</si>
  <si>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</si>
  <si>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</si>
  <si>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</si>
  <si>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</si>
  <si>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</si>
  <si>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</si>
  <si>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</si>
  <si>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</si>
  <si>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</si>
  <si>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</si>
  <si>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</si>
  <si>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</si>
  <si>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</si>
  <si>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</si>
  <si>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</si>
  <si>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</si>
  <si>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</si>
  <si>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</si>
  <si>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</si>
  <si>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</si>
  <si>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</si>
  <si>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</si>
  <si>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</si>
  <si>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</si>
  <si>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</si>
  <si>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</si>
  <si>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</si>
  <si>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</si>
  <si>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</si>
  <si>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</si>
  <si>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</si>
  <si>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</si>
  <si>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</si>
  <si>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</si>
  <si>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</si>
  <si>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</si>
  <si>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</si>
  <si>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</si>
  <si>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</si>
  <si>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</si>
  <si>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</si>
  <si>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</si>
  <si>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</si>
  <si>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</si>
  <si>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</si>
  <si>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</si>
  <si>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</si>
  <si>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</si>
  <si>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</si>
  <si>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</si>
  <si>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</si>
  <si>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</si>
  <si>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</si>
  <si>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</si>
  <si>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</si>
  <si>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</si>
  <si>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</si>
  <si>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</si>
  <si>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</si>
  <si>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</si>
  <si>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</si>
  <si>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</si>
  <si>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</si>
  <si>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</si>
  <si>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</si>
  <si>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</si>
  <si>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</si>
  <si>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</si>
  <si>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</si>
  <si>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</si>
  <si>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</si>
  <si>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</si>
  <si>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</si>
  <si>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</si>
  <si>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</si>
  <si>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</si>
  <si>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</si>
  <si>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</si>
  <si>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</si>
  <si>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</si>
  <si>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</si>
  <si>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</si>
  <si>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</si>
  <si>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</si>
  <si>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</si>
  <si>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</si>
  <si>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</si>
  <si>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</si>
  <si>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</si>
  <si>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</si>
  <si>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</si>
  <si>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</si>
  <si>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</si>
  <si>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</si>
  <si>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</si>
  <si>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</si>
  <si>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</si>
  <si>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</si>
  <si>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</si>
  <si>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</si>
  <si>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</si>
  <si>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</si>
  <si>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</si>
  <si>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</si>
  <si>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</si>
  <si>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</si>
  <si>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</si>
  <si>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</si>
  <si>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</si>
  <si>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</si>
  <si>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</si>
  <si>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</si>
  <si>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</si>
  <si>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</si>
  <si>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</si>
  <si>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</si>
  <si>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</si>
  <si>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</si>
  <si>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</si>
  <si>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</si>
  <si>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</si>
  <si>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</si>
  <si>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</si>
  <si>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</si>
  <si>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</si>
  <si>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</si>
  <si>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</si>
  <si>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</si>
  <si>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</si>
  <si>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</si>
  <si>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</si>
  <si>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</si>
  <si>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</si>
  <si>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</si>
  <si>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</si>
  <si>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</si>
  <si>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</si>
  <si>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</si>
  <si>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</si>
  <si>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</si>
  <si>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</si>
  <si>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</si>
  <si>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</si>
  <si>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</si>
  <si>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</si>
  <si>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</si>
  <si>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</si>
  <si>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</si>
  <si>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</si>
  <si>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</si>
  <si>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</si>
  <si>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</si>
  <si>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</si>
  <si>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</si>
  <si>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</si>
  <si>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</si>
  <si>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</si>
  <si>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</si>
  <si>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</si>
  <si>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</si>
  <si>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</si>
  <si>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</si>
  <si>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</si>
  <si>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</si>
  <si>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</si>
  <si>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</si>
  <si>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</si>
  <si>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</si>
  <si>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</si>
  <si>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</si>
  <si>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</si>
  <si>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</si>
  <si>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</si>
  <si>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</si>
  <si>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</si>
  <si>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</si>
  <si>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</si>
  <si>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</si>
  <si>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</si>
  <si>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</si>
  <si>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</si>
  <si>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</si>
  <si>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</si>
  <si>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</si>
  <si>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</si>
  <si>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</si>
  <si>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</si>
  <si>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</si>
  <si>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</si>
  <si>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</si>
  <si>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</si>
  <si>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</si>
  <si>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</si>
  <si>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</si>
  <si>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</si>
  <si>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</si>
  <si>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</si>
  <si>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</si>
  <si>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</si>
  <si>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</si>
  <si>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</si>
  <si>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</si>
  <si>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</si>
  <si>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</si>
  <si>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</si>
  <si>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</si>
  <si>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</si>
  <si>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</si>
  <si>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</si>
  <si>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</si>
  <si>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</si>
  <si>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</si>
  <si>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</si>
  <si>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</si>
  <si>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</si>
  <si>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</si>
  <si>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</si>
  <si>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</si>
  <si>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</si>
  <si>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</si>
  <si>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</si>
  <si>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</si>
  <si>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</si>
  <si>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</si>
  <si>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</si>
  <si>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</si>
  <si>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</si>
  <si>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</si>
  <si>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</si>
  <si>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</si>
  <si>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</si>
  <si>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</si>
  <si>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</si>
  <si>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</si>
  <si>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</si>
  <si>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</si>
  <si>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</si>
  <si>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</si>
  <si>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</si>
  <si>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</si>
  <si>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</si>
  <si>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</si>
  <si>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</si>
  <si>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</si>
  <si>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</si>
  <si>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</si>
  <si>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</si>
  <si>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</si>
  <si>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</si>
  <si>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</si>
  <si>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</si>
  <si>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</si>
  <si>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</si>
  <si>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</si>
  <si>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</si>
  <si>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</si>
  <si>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</si>
  <si>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</si>
  <si>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</si>
  <si>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</si>
  <si>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</si>
  <si>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</si>
  <si>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</si>
  <si>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</si>
  <si>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</si>
  <si>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</si>
  <si>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</si>
  <si>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</si>
  <si>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</si>
  <si>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</si>
  <si>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</si>
  <si>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</si>
  <si>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</si>
  <si>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</si>
  <si>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</si>
  <si>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</si>
  <si>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</si>
  <si>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</si>
  <si>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</si>
  <si>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</si>
  <si>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</si>
  <si>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</si>
  <si>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</si>
  <si>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</si>
  <si>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</si>
  <si>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</si>
  <si>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</si>
  <si>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</si>
  <si>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</si>
  <si>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</si>
  <si>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</si>
  <si>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</si>
  <si>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</si>
  <si>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</si>
  <si>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</si>
  <si>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</si>
  <si>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</si>
  <si>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</si>
  <si>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</si>
  <si>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</si>
  <si>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</si>
  <si>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</si>
  <si>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</si>
  <si>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</si>
  <si>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</si>
  <si>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</si>
  <si>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</si>
  <si>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</si>
  <si>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</si>
  <si>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</si>
  <si>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</si>
  <si>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</si>
  <si>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</si>
  <si>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</si>
  <si>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</si>
  <si>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</si>
  <si>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</si>
  <si>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</si>
  <si>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</si>
  <si>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</si>
  <si>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</si>
  <si>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</si>
  <si>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</si>
  <si>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</si>
  <si>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</si>
  <si>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</si>
  <si>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</si>
  <si>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</si>
  <si>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</si>
  <si>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</si>
  <si>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</si>
  <si>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</si>
  <si>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</si>
  <si>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</si>
  <si>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</si>
  <si>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</si>
  <si>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</si>
  <si>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</si>
  <si>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</si>
  <si>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</si>
  <si>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</si>
  <si>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</si>
  <si>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</si>
  <si>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</si>
  <si>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</si>
  <si>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</si>
  <si>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</si>
  <si>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</si>
  <si>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</si>
  <si>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</si>
  <si>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</si>
  <si>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</si>
  <si>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</si>
  <si>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</si>
  <si>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</si>
  <si>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</si>
  <si>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</si>
  <si>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</si>
  <si>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</si>
  <si>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</si>
  <si>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</si>
  <si>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</si>
  <si>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</si>
  <si>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</si>
  <si>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</si>
  <si>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</si>
  <si>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</si>
  <si>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</si>
  <si>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</si>
  <si>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</si>
  <si>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</si>
  <si>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</si>
  <si>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</si>
  <si>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</si>
  <si>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</si>
  <si>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</si>
  <si>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</si>
  <si>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</si>
  <si>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</si>
  <si>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</si>
  <si>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</si>
  <si>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</si>
  <si>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</si>
  <si>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</si>
  <si>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</si>
  <si>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</si>
  <si>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</si>
  <si>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</si>
  <si>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</si>
  <si>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</si>
  <si>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</si>
  <si>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</si>
  <si>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</si>
  <si>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</si>
  <si>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</si>
  <si>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</si>
  <si>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</si>
  <si>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</si>
  <si>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</si>
  <si>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</si>
  <si>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</si>
  <si>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</si>
  <si>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</si>
  <si>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</si>
  <si>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</si>
  <si>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</si>
  <si>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</si>
  <si>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</si>
  <si>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</si>
  <si>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</si>
  <si>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</si>
  <si>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</si>
  <si>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</si>
  <si>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</si>
  <si>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</si>
  <si>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</si>
  <si>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</si>
  <si>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</si>
  <si>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</si>
  <si>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</si>
  <si>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</si>
  <si>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</si>
  <si>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</si>
  <si>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</si>
  <si>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</si>
  <si>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</si>
  <si>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</si>
  <si>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</si>
  <si>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</si>
  <si>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</si>
  <si>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</si>
  <si>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</si>
  <si>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</si>
  <si>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</si>
  <si>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</si>
  <si>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</si>
  <si>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</si>
  <si>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</si>
  <si>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</si>
  <si>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</si>
  <si>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</si>
  <si>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</si>
  <si>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</si>
  <si>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</si>
  <si>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</si>
  <si>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</si>
  <si>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</si>
  <si>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</si>
  <si>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</si>
  <si>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</si>
  <si>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</si>
  <si>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</si>
  <si>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</si>
  <si>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</si>
  <si>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</si>
  <si>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</si>
  <si>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</si>
  <si>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</si>
  <si>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</si>
  <si>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</si>
  <si>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</si>
  <si>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</si>
  <si>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</si>
  <si>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</si>
  <si>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</si>
  <si>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</si>
  <si>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</si>
  <si>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</si>
  <si>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</si>
  <si>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</si>
  <si>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</si>
  <si>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</si>
  <si>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</si>
  <si>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</si>
  <si>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</si>
  <si>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</si>
  <si>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</si>
  <si>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</si>
  <si>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</si>
  <si>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</si>
  <si>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</si>
  <si>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</si>
  <si>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</si>
  <si>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</si>
  <si>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</si>
  <si>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</si>
  <si>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</si>
  <si>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</si>
  <si>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</si>
  <si>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</si>
  <si>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</si>
  <si>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</si>
  <si>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</si>
  <si>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</si>
  <si>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</si>
  <si>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</si>
  <si>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</si>
  <si>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</si>
  <si>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</si>
  <si>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</si>
  <si>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</si>
  <si>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</si>
  <si>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</si>
  <si>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</si>
  <si>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</si>
  <si>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</si>
  <si>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</si>
  <si>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</si>
  <si>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</si>
  <si>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</si>
  <si>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</si>
  <si>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</si>
  <si>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</si>
  <si>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</si>
  <si>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</si>
  <si>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</si>
  <si>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</si>
  <si>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</si>
  <si>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</si>
  <si>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</si>
  <si>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</si>
  <si>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</si>
  <si>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</si>
  <si>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</si>
  <si>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</si>
  <si>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</si>
  <si>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</si>
  <si>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</si>
  <si>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</si>
  <si>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</si>
  <si>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</si>
  <si>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</si>
  <si>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</si>
  <si>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</si>
  <si>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</si>
  <si>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</si>
  <si>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</si>
  <si>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</si>
  <si>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</si>
  <si>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</si>
  <si>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</si>
  <si>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</si>
  <si>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</si>
  <si>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</si>
  <si>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</si>
  <si>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</si>
  <si>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</si>
  <si>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</si>
  <si>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</si>
  <si>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</si>
  <si>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</si>
  <si>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</si>
  <si>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</si>
  <si>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</si>
  <si>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</si>
  <si>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</si>
  <si>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</si>
  <si>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</si>
  <si>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</si>
  <si>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</si>
  <si>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</si>
  <si>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</si>
  <si>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</si>
  <si>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</si>
  <si>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</si>
  <si>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</si>
  <si>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</si>
  <si>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</si>
  <si>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</si>
  <si>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</si>
  <si>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</si>
  <si>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</si>
  <si>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</si>
  <si>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</si>
  <si>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</si>
  <si>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</si>
  <si>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</si>
  <si>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</si>
  <si>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</si>
  <si>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</si>
  <si>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</si>
  <si>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</si>
  <si>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</si>
  <si>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</si>
  <si>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</si>
  <si>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</si>
  <si>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</si>
  <si>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</si>
  <si>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</si>
  <si>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</si>
  <si>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</si>
  <si>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</si>
  <si>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</si>
  <si>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</si>
  <si>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</si>
  <si>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</si>
  <si>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</si>
  <si>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</si>
  <si>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</si>
  <si>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</si>
  <si>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</si>
  <si>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</si>
  <si>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</si>
  <si>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</si>
  <si>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</si>
  <si>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</si>
  <si>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</si>
  <si>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</si>
  <si>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</si>
  <si>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</si>
  <si>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</si>
  <si>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</si>
  <si>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</si>
  <si>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</si>
  <si>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</si>
  <si>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</si>
  <si>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</si>
  <si>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</si>
  <si>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</si>
  <si>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</si>
  <si>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</si>
  <si>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</si>
  <si>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</si>
  <si>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</si>
  <si>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</si>
  <si>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</si>
  <si>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</si>
  <si>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</si>
  <si>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</si>
  <si>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</si>
  <si>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</si>
  <si>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</si>
  <si>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</si>
  <si>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</si>
  <si>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</si>
  <si>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</si>
  <si>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</si>
  <si>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</si>
  <si>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</si>
  <si>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</si>
  <si>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</si>
  <si>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</si>
  <si>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</si>
  <si>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</si>
  <si>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</si>
  <si>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</si>
  <si>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</si>
  <si>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</si>
  <si>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</si>
  <si>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</si>
  <si>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</si>
  <si>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</si>
  <si>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</si>
  <si>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</si>
  <si>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</si>
  <si>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</si>
  <si>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</si>
  <si>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</si>
  <si>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</si>
  <si>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</si>
  <si>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</si>
  <si>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</si>
  <si>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</si>
  <si>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</si>
  <si>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</si>
  <si>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</si>
  <si>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</si>
  <si>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</si>
  <si>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</si>
  <si>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</si>
  <si>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</si>
  <si>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</si>
  <si>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</si>
  <si>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</si>
  <si>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</si>
  <si>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</si>
  <si>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</si>
  <si>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</si>
  <si>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</si>
  <si>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</si>
  <si>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</si>
  <si>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</si>
  <si>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</si>
  <si>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</si>
  <si>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</si>
  <si>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</si>
  <si>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</si>
  <si>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</si>
  <si>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</si>
  <si>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</si>
  <si>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</si>
  <si>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</si>
  <si>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</si>
  <si>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</si>
  <si>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</si>
  <si>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</si>
  <si>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</si>
  <si>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</si>
  <si>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</si>
  <si>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</si>
  <si>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</si>
  <si>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</si>
  <si>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</si>
  <si>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</si>
  <si>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</si>
  <si>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</si>
  <si>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</si>
  <si>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</si>
  <si>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</si>
  <si>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</si>
  <si>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</si>
  <si>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</si>
  <si>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</si>
  <si>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</si>
  <si>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</si>
  <si>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</si>
  <si>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</si>
  <si>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</si>
  <si>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</si>
  <si>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</si>
  <si>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</si>
  <si>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</si>
  <si>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</si>
  <si>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</si>
  <si>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</si>
  <si>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</si>
  <si>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</si>
  <si>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</si>
  <si>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</si>
  <si>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</si>
  <si>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</si>
  <si>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</si>
  <si>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</si>
  <si>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</si>
  <si>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</si>
  <si>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</si>
  <si>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</si>
  <si>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</si>
  <si>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</si>
  <si>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</si>
  <si>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</si>
  <si>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</si>
  <si>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</si>
  <si>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</si>
  <si>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</si>
  <si>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</si>
  <si>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</si>
  <si>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</si>
  <si>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</si>
  <si>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</si>
  <si>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</si>
  <si>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</si>
  <si>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</si>
  <si>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</si>
  <si>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</si>
  <si>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</si>
  <si>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</si>
  <si>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</si>
  <si>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</si>
  <si>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</si>
  <si>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</si>
  <si>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</si>
  <si>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</si>
  <si>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</si>
  <si>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</si>
  <si>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</si>
  <si>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</si>
  <si>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</si>
  <si>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</si>
  <si>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</si>
  <si>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</si>
  <si>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</si>
  <si>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</si>
  <si>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</si>
  <si>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</si>
  <si>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</si>
  <si>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</si>
  <si>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</si>
  <si>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</si>
  <si>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</si>
  <si>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</si>
  <si>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</si>
  <si>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</si>
  <si>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</si>
  <si>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</si>
  <si>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</si>
  <si>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</si>
  <si>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</si>
  <si>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</si>
  <si>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</si>
  <si>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</si>
  <si>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</si>
  <si>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</si>
  <si>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</si>
  <si>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</si>
  <si>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</si>
  <si>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</si>
  <si>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</si>
  <si>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</si>
  <si>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</si>
  <si>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</si>
  <si>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</si>
  <si>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</si>
  <si>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</si>
  <si>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</si>
  <si>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</si>
  <si>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</si>
  <si>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</si>
  <si>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</si>
  <si>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</si>
  <si>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</si>
  <si>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</si>
  <si>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</si>
  <si>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</si>
  <si>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</si>
  <si>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</si>
  <si>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</si>
  <si>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</si>
  <si>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</si>
  <si>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</si>
  <si>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</si>
  <si>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</si>
  <si>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</si>
  <si>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</si>
  <si>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</si>
  <si>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</si>
  <si>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</si>
  <si>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</si>
  <si>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</si>
  <si>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</si>
  <si>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</si>
  <si>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</si>
  <si>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</si>
  <si>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</si>
  <si>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</si>
  <si>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</si>
  <si>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</si>
  <si>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</si>
  <si>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</si>
  <si>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</si>
  <si>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</si>
  <si>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</si>
  <si>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</si>
  <si>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</si>
  <si>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</si>
  <si>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</si>
  <si>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</si>
  <si>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</si>
  <si>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</si>
  <si>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</si>
  <si>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</si>
  <si>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</si>
  <si>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</si>
  <si>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</si>
  <si>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</si>
  <si>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</si>
  <si>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</si>
  <si>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</si>
  <si>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</si>
  <si>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</si>
  <si>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</si>
  <si>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</si>
  <si>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</si>
  <si>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</si>
  <si>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</si>
  <si>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</si>
  <si>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</si>
  <si>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</si>
  <si>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</si>
  <si>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</si>
  <si>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</si>
  <si>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</si>
  <si>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</si>
  <si>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</si>
  <si>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</si>
  <si>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</si>
  <si>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</si>
  <si>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</si>
  <si>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</si>
  <si>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</si>
  <si>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</si>
  <si>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</si>
  <si>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</si>
  <si>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</si>
  <si>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</si>
  <si>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</si>
  <si>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</si>
  <si>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</si>
  <si>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</si>
  <si>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</si>
  <si>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</si>
  <si>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</si>
  <si>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</si>
  <si>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</si>
  <si>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</si>
  <si>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</si>
  <si>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</si>
  <si>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</si>
  <si>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</si>
  <si>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</si>
  <si>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</si>
  <si>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</si>
  <si>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</si>
  <si>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</si>
  <si>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</si>
  <si>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</si>
  <si>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</si>
  <si>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</si>
  <si>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</si>
  <si>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</si>
  <si>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</si>
  <si>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</si>
  <si>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</si>
  <si>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</si>
  <si>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</si>
  <si>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</si>
  <si>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</si>
  <si>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</si>
  <si>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</si>
  <si>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</si>
  <si>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</si>
  <si>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</si>
  <si>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</si>
  <si>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</si>
  <si>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</si>
  <si>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</si>
  <si>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</si>
  <si>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</si>
  <si>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</si>
  <si>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</si>
  <si>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</si>
  <si>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</si>
  <si>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</si>
  <si>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</si>
  <si>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</si>
  <si>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</si>
  <si>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</si>
  <si>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</si>
  <si>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</si>
  <si>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</si>
  <si>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</si>
  <si>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</si>
  <si>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</si>
  <si>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</si>
  <si>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</si>
  <si>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</si>
  <si>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</si>
  <si>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</si>
  <si>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</si>
  <si>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</si>
  <si>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</si>
  <si>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</si>
  <si>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</si>
  <si>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</si>
  <si>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</si>
  <si>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</si>
  <si>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</si>
  <si>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</si>
  <si>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</si>
  <si>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</si>
  <si>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</si>
  <si>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</si>
  <si>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</si>
  <si>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</si>
  <si>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</si>
  <si>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</si>
  <si>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</si>
  <si>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</si>
  <si>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</si>
  <si>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</si>
  <si>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</si>
  <si>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</si>
  <si>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</si>
  <si>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</si>
  <si>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</si>
  <si>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</si>
  <si>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</si>
  <si>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</si>
  <si>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</si>
  <si>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</si>
  <si>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</si>
  <si>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</si>
  <si>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</si>
  <si>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</si>
  <si>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</si>
  <si>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</si>
  <si>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</si>
  <si>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</si>
  <si>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</si>
  <si>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</si>
  <si>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</si>
  <si>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</si>
  <si>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</si>
  <si>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</si>
  <si>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</si>
  <si>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</si>
  <si>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</si>
  <si>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</si>
  <si>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</si>
  <si>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</si>
  <si>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</si>
  <si>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</si>
  <si>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</si>
  <si>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</si>
  <si>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</si>
  <si>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</si>
  <si>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</si>
  <si>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</si>
  <si>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</si>
  <si>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</si>
  <si>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</si>
  <si>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</si>
  <si>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</si>
  <si>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</si>
  <si>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</si>
  <si>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</si>
  <si>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</si>
  <si>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</si>
  <si>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</si>
  <si>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</si>
  <si>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</si>
  <si>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</si>
  <si>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</si>
  <si>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</si>
  <si>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</si>
  <si>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</si>
  <si>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</si>
  <si>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</si>
  <si>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</si>
  <si>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</si>
  <si>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</si>
  <si>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</si>
  <si>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</si>
  <si>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</si>
  <si>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</si>
  <si>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</si>
  <si>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</si>
  <si>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</si>
  <si>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</si>
  <si>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</si>
  <si>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</si>
  <si>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</si>
  <si>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</si>
  <si>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</si>
  <si>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</si>
  <si>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</si>
  <si>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</si>
  <si>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</si>
  <si>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</si>
  <si>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</si>
  <si>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</si>
  <si>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</si>
  <si>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</si>
  <si>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</si>
  <si>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</si>
  <si>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</si>
  <si>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</si>
  <si>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</si>
  <si>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</si>
  <si>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</si>
  <si>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</si>
  <si>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</si>
  <si>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</si>
  <si>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</si>
  <si>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</si>
  <si>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</si>
  <si>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</si>
  <si>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</si>
  <si>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</si>
  <si>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</si>
  <si>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</si>
  <si>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</si>
  <si>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</si>
  <si>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</si>
  <si>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</si>
  <si>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</si>
  <si>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</si>
  <si>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</si>
  <si>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</si>
  <si>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</si>
  <si>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</si>
  <si>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</si>
  <si>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</si>
  <si>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</si>
  <si>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</si>
  <si>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</si>
  <si>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</si>
  <si>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</si>
  <si>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</si>
  <si>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</si>
  <si>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</si>
  <si>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</si>
  <si>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</si>
  <si>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</si>
  <si>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</si>
  <si>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</si>
  <si>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</si>
  <si>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</si>
  <si>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</si>
  <si>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</si>
  <si>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</si>
  <si>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</si>
  <si>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</si>
  <si>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</si>
  <si>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</si>
  <si>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</si>
  <si>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</si>
  <si>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</si>
  <si>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</si>
  <si>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</si>
  <si>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</si>
  <si>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</si>
  <si>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</si>
  <si>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</si>
  <si>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</si>
  <si>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</si>
  <si>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</si>
  <si>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</si>
  <si>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</si>
  <si>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</si>
  <si>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</si>
  <si>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</si>
  <si>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</si>
  <si>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</si>
  <si>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</si>
  <si>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</si>
  <si>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</si>
  <si>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</si>
  <si>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</si>
  <si>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</si>
  <si>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</si>
  <si>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</si>
  <si>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</si>
  <si>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</si>
  <si>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</si>
  <si>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</si>
  <si>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</si>
  <si>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</si>
  <si>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</si>
  <si>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</si>
  <si>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</si>
  <si>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</si>
  <si>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</si>
  <si>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</si>
  <si>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</si>
  <si>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</si>
  <si>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</si>
  <si>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</si>
  <si>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</si>
  <si>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</si>
  <si>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</si>
  <si>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</si>
  <si>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</si>
  <si>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</si>
  <si>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</si>
  <si>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</si>
  <si>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</si>
  <si>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</si>
  <si>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</si>
  <si>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</si>
  <si>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</si>
  <si>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</si>
  <si>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</si>
  <si>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</si>
  <si>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</si>
  <si>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</si>
  <si>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</si>
  <si>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</si>
  <si>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</si>
  <si>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</si>
  <si>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</si>
  <si>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</si>
  <si>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</si>
  <si>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</si>
  <si>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</si>
  <si>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</si>
  <si>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</si>
  <si>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</si>
  <si>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</si>
  <si>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</si>
  <si>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</si>
  <si>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</si>
  <si>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</si>
  <si>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</si>
  <si>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</si>
  <si>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</si>
  <si>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</si>
  <si>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</si>
  <si>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</si>
  <si>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</si>
  <si>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</si>
  <si>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</si>
  <si>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</si>
  <si>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</si>
  <si>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</si>
  <si>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</si>
  <si>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</si>
  <si>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</si>
  <si>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</si>
  <si>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</si>
  <si>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</si>
  <si>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</si>
  <si>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</si>
  <si>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</si>
  <si>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</si>
  <si>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</si>
  <si>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</si>
  <si>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</si>
  <si>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</si>
  <si>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</si>
  <si>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</si>
  <si>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</si>
  <si>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</si>
  <si>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</si>
  <si>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</si>
  <si>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</si>
  <si>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</si>
  <si>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</si>
  <si>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</si>
  <si>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</si>
  <si>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</si>
  <si>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</si>
  <si>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</si>
  <si>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</si>
  <si>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</si>
  <si>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</si>
  <si>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</si>
  <si>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</si>
  <si>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</si>
  <si>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</si>
  <si>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</si>
  <si>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</si>
  <si>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</si>
  <si>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</si>
  <si>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</si>
  <si>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</si>
  <si>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</si>
  <si>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</si>
  <si>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</si>
  <si>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</si>
  <si>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</si>
  <si>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</si>
  <si>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</si>
  <si>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</si>
  <si>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</si>
  <si>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</si>
  <si>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</si>
  <si>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</si>
  <si>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</si>
  <si>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</si>
  <si>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</si>
  <si>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</si>
  <si>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</si>
  <si>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</si>
  <si>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</si>
  <si>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</si>
  <si>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</si>
  <si>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</si>
  <si>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</si>
  <si>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</si>
  <si>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</si>
  <si>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</si>
  <si>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</si>
  <si>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</si>
  <si>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</si>
  <si>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</si>
  <si>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</si>
  <si>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</si>
  <si>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</si>
  <si>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</si>
  <si>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</si>
  <si>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</si>
  <si>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</si>
  <si>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</si>
  <si>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</si>
  <si>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</si>
  <si>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</si>
  <si>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</si>
  <si>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</si>
  <si>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</si>
  <si>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</si>
  <si>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</si>
  <si>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</si>
  <si>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</si>
  <si>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</si>
  <si>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</si>
  <si>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</si>
  <si>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</si>
  <si>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</si>
  <si>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</si>
  <si>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</si>
  <si>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</si>
  <si>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</si>
  <si>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</si>
  <si>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</si>
  <si>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</si>
  <si>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</si>
  <si>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</si>
  <si>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</si>
  <si>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</si>
  <si>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</si>
  <si>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</si>
  <si>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</si>
  <si>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</si>
  <si>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</si>
  <si>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</si>
  <si>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</si>
  <si>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</si>
  <si>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</si>
  <si>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</si>
  <si>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</si>
  <si>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</si>
  <si>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</si>
  <si>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</si>
  <si>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</si>
  <si>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</si>
  <si>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</si>
  <si>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</si>
  <si>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</si>
  <si>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</si>
  <si>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</si>
  <si>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</si>
  <si>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</si>
  <si>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</si>
  <si>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</si>
  <si>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</si>
  <si>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</si>
  <si>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</si>
  <si>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</si>
  <si>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</si>
  <si>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</si>
  <si>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</si>
  <si>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</si>
  <si>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</si>
  <si>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</si>
  <si>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</si>
  <si>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</si>
  <si>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</si>
  <si>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</si>
  <si>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</si>
  <si>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</si>
  <si>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</si>
  <si>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</si>
  <si>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</si>
  <si>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</si>
  <si>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</si>
  <si>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</si>
  <si>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</si>
  <si>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</si>
  <si>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</si>
  <si>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</si>
  <si>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</si>
  <si>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</si>
  <si>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</si>
  <si>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</si>
  <si>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</si>
  <si>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</si>
  <si>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</si>
  <si>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</si>
  <si>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</si>
  <si>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</si>
  <si>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</si>
  <si>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</si>
  <si>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</si>
  <si>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</si>
  <si>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</si>
  <si>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</si>
  <si>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</si>
  <si>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</si>
  <si>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</si>
  <si>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</si>
  <si>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</si>
  <si>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</si>
  <si>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</si>
  <si>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</si>
  <si>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</si>
  <si>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</si>
  <si>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</si>
  <si>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</si>
  <si>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</si>
  <si>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</si>
  <si>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</si>
  <si>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</si>
  <si>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</si>
  <si>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</si>
  <si>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</si>
  <si>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</si>
  <si>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</si>
  <si>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</si>
  <si>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</si>
  <si>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</si>
  <si>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</si>
  <si>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</si>
  <si>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</si>
  <si>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</si>
  <si>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</si>
  <si>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</si>
  <si>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</si>
  <si>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</si>
  <si>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</si>
  <si>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</si>
  <si>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</si>
  <si>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</si>
  <si>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</si>
  <si>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</si>
  <si>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</si>
  <si>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</si>
  <si>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</si>
  <si>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</si>
  <si>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</si>
  <si>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</si>
  <si>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</si>
  <si>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</si>
  <si>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</si>
  <si>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</si>
  <si>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</si>
  <si>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</si>
  <si>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</si>
  <si>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</si>
  <si>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</si>
  <si>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</si>
  <si>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</si>
  <si>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</si>
  <si>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</si>
  <si>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</si>
  <si>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</si>
  <si>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</si>
  <si>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</si>
  <si>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</si>
  <si>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</si>
  <si>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</si>
  <si>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</si>
  <si>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</si>
  <si>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</si>
  <si>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</si>
  <si>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</si>
  <si>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</si>
  <si>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</si>
  <si>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</si>
  <si>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</si>
  <si>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</si>
  <si>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</si>
  <si>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</si>
  <si>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</si>
  <si>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</si>
  <si>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</si>
  <si>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</si>
  <si>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</si>
  <si>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</si>
  <si>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</si>
  <si>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</si>
  <si>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</si>
  <si>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</si>
  <si>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</si>
  <si>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</si>
  <si>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</si>
  <si>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</si>
  <si>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</si>
  <si>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</si>
  <si>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</si>
  <si>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</si>
  <si>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</si>
  <si>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</si>
  <si>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</si>
  <si>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</si>
  <si>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</si>
  <si>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</si>
  <si>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</si>
  <si>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</si>
  <si>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</si>
  <si>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</si>
  <si>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</si>
  <si>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</si>
  <si>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</si>
  <si>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</si>
  <si>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</si>
  <si>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</si>
  <si>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</si>
  <si>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</si>
  <si>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</si>
  <si>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</si>
  <si>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</si>
  <si>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</si>
  <si>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</si>
  <si>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</si>
  <si>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</si>
  <si>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</si>
  <si>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</si>
  <si>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</si>
  <si>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</si>
  <si>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</si>
  <si>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</si>
  <si>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</si>
  <si>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</si>
  <si>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</si>
  <si>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</si>
  <si>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</si>
  <si>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</si>
  <si>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</si>
  <si>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</si>
  <si>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</si>
  <si>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</si>
  <si>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</si>
  <si>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</si>
  <si>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</si>
  <si>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</si>
  <si>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</si>
  <si>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</si>
  <si>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</si>
  <si>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</si>
  <si>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</si>
  <si>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</si>
  <si>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</si>
  <si>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</si>
  <si>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</si>
  <si>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</si>
  <si>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</si>
  <si>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</si>
  <si>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</si>
  <si>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</si>
  <si>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</si>
  <si>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</si>
  <si>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</si>
  <si>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</si>
  <si>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</si>
  <si>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</si>
  <si>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</si>
  <si>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</si>
  <si>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</si>
  <si>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</si>
  <si>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</si>
  <si>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</si>
  <si>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</si>
  <si>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</si>
  <si>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</si>
  <si>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</si>
  <si>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</si>
  <si>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</si>
  <si>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</si>
  <si>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</si>
  <si>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</si>
  <si>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</si>
  <si>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</si>
  <si>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</si>
  <si>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</si>
  <si>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</si>
  <si>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</si>
  <si>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</si>
  <si>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</si>
  <si>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</si>
  <si>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</si>
  <si>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</si>
  <si>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</si>
  <si>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</si>
  <si>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</si>
  <si>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</si>
  <si>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</si>
  <si>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</si>
  <si>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</si>
  <si>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</si>
  <si>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</si>
  <si>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</si>
  <si>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</si>
  <si>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</si>
  <si>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</si>
  <si>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</si>
  <si>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</si>
  <si>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</si>
  <si>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</si>
  <si>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</si>
  <si>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</si>
  <si>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</si>
  <si>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</si>
  <si>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</si>
  <si>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</si>
  <si>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</si>
  <si>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</si>
  <si>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</si>
  <si>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</si>
  <si>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</si>
  <si>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</si>
  <si>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</si>
  <si>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</si>
  <si>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</si>
  <si>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</si>
  <si>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</si>
  <si>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</si>
  <si>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</si>
  <si>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</si>
  <si>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</si>
  <si>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</si>
  <si>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</si>
  <si>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</si>
  <si>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</si>
  <si>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</si>
  <si>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</si>
  <si>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</si>
  <si>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</si>
  <si>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</si>
  <si>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</si>
  <si>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</si>
  <si>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</si>
  <si>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</si>
  <si>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</si>
  <si>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</si>
  <si>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</si>
  <si>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</si>
  <si>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</si>
  <si>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</si>
  <si>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</si>
  <si>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</si>
  <si>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</si>
  <si>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</si>
  <si>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</si>
  <si>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</si>
  <si>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</si>
  <si>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</si>
  <si>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</si>
  <si>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证号</t>
    <phoneticPr fontId="233" type="noConversion"/>
  </si>
  <si>
    <t>土地使用权人</t>
    <phoneticPr fontId="233" type="noConversion"/>
  </si>
  <si>
    <t>坐落</t>
    <phoneticPr fontId="233" type="noConversion"/>
  </si>
  <si>
    <t>用途</t>
    <phoneticPr fontId="233" type="noConversion"/>
  </si>
  <si>
    <t>终止日期</t>
    <phoneticPr fontId="233" type="noConversion"/>
  </si>
  <si>
    <t>大国用（2014）第03013号</t>
    <phoneticPr fontId="233" type="noConversion"/>
  </si>
  <si>
    <t>大理创意园区开发有限公司</t>
    <phoneticPr fontId="233" type="noConversion"/>
  </si>
  <si>
    <t>大理市海东镇菠萝山</t>
    <phoneticPr fontId="233" type="noConversion"/>
  </si>
  <si>
    <t>城镇单一住宅</t>
    <phoneticPr fontId="233" type="noConversion"/>
  </si>
  <si>
    <t>大国用（2014）第03015号</t>
    <phoneticPr fontId="233" type="noConversion"/>
  </si>
  <si>
    <t>大国用（2014）第03014号</t>
    <phoneticPr fontId="233" type="noConversion"/>
  </si>
  <si>
    <t>大国用（2014）第03016号</t>
    <phoneticPr fontId="233" type="noConversion"/>
  </si>
  <si>
    <t>餐饮旅馆</t>
    <phoneticPr fontId="233" type="noConversion"/>
  </si>
  <si>
    <t>大国用（2014）第03238号</t>
    <phoneticPr fontId="233" type="noConversion"/>
  </si>
  <si>
    <t>大国用（2014）第03239号</t>
  </si>
  <si>
    <t>大国用（2014）第03240号</t>
  </si>
  <si>
    <t>大国用（2014）第03241号</t>
  </si>
  <si>
    <t>城镇单一住宅、商业</t>
    <phoneticPr fontId="233" type="noConversion"/>
  </si>
  <si>
    <t>大国用（2014）第03242号</t>
  </si>
  <si>
    <t>大国用（2014）第03243号</t>
    <phoneticPr fontId="233" type="noConversion"/>
  </si>
  <si>
    <t>大国用（2014）第03244号</t>
    <phoneticPr fontId="233" type="noConversion"/>
  </si>
  <si>
    <t>大国用（2014）第03245号</t>
    <phoneticPr fontId="233" type="noConversion"/>
  </si>
  <si>
    <t>大国用（2014）第03246号</t>
    <phoneticPr fontId="233" type="noConversion"/>
  </si>
  <si>
    <t>大国用（2014）第03298号</t>
    <phoneticPr fontId="233" type="noConversion"/>
  </si>
  <si>
    <t>大国用（2014）第05895号</t>
    <phoneticPr fontId="233" type="noConversion"/>
  </si>
  <si>
    <t>大国用（2014）第05896号</t>
  </si>
  <si>
    <t>大国用（2014）第05897号</t>
  </si>
  <si>
    <t>其他商服</t>
    <phoneticPr fontId="233" type="noConversion"/>
  </si>
  <si>
    <t>大国用（2015）第05916号</t>
  </si>
  <si>
    <t>大国用（2015）第05920号</t>
    <phoneticPr fontId="233" type="noConversion"/>
  </si>
  <si>
    <t>大国用（2015）第05921号</t>
  </si>
  <si>
    <t>大国用（2015）第05915号</t>
    <phoneticPr fontId="233" type="noConversion"/>
  </si>
  <si>
    <t>合计</t>
    <phoneticPr fontId="233" type="noConversion"/>
  </si>
  <si>
    <t>2083年12月03日、2053年12月03日</t>
    <phoneticPr fontId="233" type="noConversion"/>
  </si>
  <si>
    <t>2083年12月19日、2053年12月19日</t>
    <phoneticPr fontId="233" type="noConversion"/>
  </si>
  <si>
    <t>2084年8月05日、2054年8月05日</t>
    <phoneticPr fontId="233" type="noConversion"/>
  </si>
  <si>
    <t>2084年12月24日、2084年12月24日</t>
    <phoneticPr fontId="233" type="noConversion"/>
  </si>
  <si>
    <t>2085年2月04日、2085年2月04日</t>
    <phoneticPr fontId="233" type="noConversion"/>
  </si>
  <si>
    <t>大国用（2014）第03294号</t>
    <phoneticPr fontId="233" type="noConversion"/>
  </si>
  <si>
    <t>工业</t>
    <phoneticPr fontId="233" type="noConversion"/>
  </si>
  <si>
    <t>大国用（2014）第03295号</t>
  </si>
  <si>
    <t>大国用（2014）第03296号</t>
  </si>
  <si>
    <t>大国用（2014）第03297号</t>
  </si>
  <si>
    <t>大国用（2014）第05899号</t>
    <phoneticPr fontId="233" type="noConversion"/>
  </si>
  <si>
    <t>大国用（2014）第05898号</t>
    <phoneticPr fontId="233" type="noConversion"/>
  </si>
  <si>
    <t>地上</t>
  </si>
  <si>
    <t>郑燚</t>
  </si>
  <si>
    <t>王鹏</t>
  </si>
  <si>
    <t>中诚信托有限公司</t>
    <phoneticPr fontId="6" type="noConversion"/>
  </si>
  <si>
    <t>抵押</t>
  </si>
  <si>
    <t>抵押价格</t>
  </si>
  <si>
    <t>其他：</t>
  </si>
  <si>
    <t>商业</t>
  </si>
  <si>
    <t>否</t>
  </si>
  <si>
    <t>出让</t>
  </si>
  <si>
    <t>单位面积地价</t>
  </si>
  <si>
    <t>正常</t>
  </si>
  <si>
    <t>比较法-住宅、综合</t>
  </si>
  <si>
    <t>剩余法-待开发</t>
  </si>
  <si>
    <t>HC2013-16</t>
  </si>
  <si>
    <t>工业用地</t>
  </si>
  <si>
    <t>2013.12.19</t>
  </si>
  <si>
    <t>2014.4.17</t>
  </si>
  <si>
    <t>HC2013-21</t>
  </si>
  <si>
    <t>HC2013-40</t>
  </si>
  <si>
    <t>HC2013-41</t>
  </si>
  <si>
    <t>HC2014-16</t>
  </si>
  <si>
    <t>≤2</t>
  </si>
  <si>
    <t>2014.9.16</t>
  </si>
  <si>
    <t>2015.1.15</t>
  </si>
  <si>
    <t>HC2014-17</t>
  </si>
  <si>
    <t>HC2015-08</t>
  </si>
  <si>
    <t>其他商服用地</t>
  </si>
  <si>
    <t>2016.9.12</t>
  </si>
  <si>
    <t>2017.5.12</t>
  </si>
  <si>
    <t>HC2013-08</t>
  </si>
  <si>
    <t>其他普通商品住房用地</t>
  </si>
  <si>
    <t>≥1，≤2</t>
  </si>
  <si>
    <t>2013.11.18</t>
  </si>
  <si>
    <t>2014.3.17</t>
  </si>
  <si>
    <t>HC2013-04</t>
  </si>
  <si>
    <t>2,445.84 </t>
  </si>
  <si>
    <t>2013.10.18</t>
  </si>
  <si>
    <t>2014.2.17</t>
  </si>
  <si>
    <t>HC2013-06</t>
  </si>
  <si>
    <t>3,559.59 </t>
  </si>
  <si>
    <t>HC2013-39</t>
  </si>
  <si>
    <t>3,210.37 </t>
  </si>
  <si>
    <t>≥1，≤1.1</t>
  </si>
  <si>
    <t>HC2014-11</t>
  </si>
  <si>
    <t>1,132.79 </t>
  </si>
  <si>
    <t>2014.8.5</t>
  </si>
  <si>
    <t>2014.12.4</t>
  </si>
  <si>
    <t>HC2014-13</t>
  </si>
  <si>
    <t>5,146.34 </t>
  </si>
  <si>
    <t>≥1，≤1.5</t>
  </si>
  <si>
    <t>HC2014-14</t>
  </si>
  <si>
    <t>2014.12.24</t>
  </si>
  <si>
    <t>2015.8.24</t>
  </si>
  <si>
    <t>HC2014-23</t>
  </si>
  <si>
    <t>2,540.90 </t>
  </si>
  <si>
    <t>2015.2.4</t>
  </si>
  <si>
    <t>2015.10.4</t>
  </si>
  <si>
    <t>HC2013-07</t>
  </si>
  <si>
    <t>1,224.45 </t>
  </si>
  <si>
    <t>HC2014-12</t>
  </si>
  <si>
    <t>商务金融用地</t>
  </si>
  <si>
    <t>≤1.5</t>
  </si>
  <si>
    <t>HC2013-05</t>
  </si>
  <si>
    <t>住宿餐饮用地</t>
  </si>
  <si>
    <t>HC2013-09</t>
  </si>
  <si>
    <t>HC2013-10</t>
  </si>
  <si>
    <t>HC2013-22</t>
  </si>
  <si>
    <t>1,025.60 </t>
  </si>
  <si>
    <t>2013.12.03</t>
  </si>
  <si>
    <t>2014.4.1</t>
  </si>
  <si>
    <t>HC2013-23</t>
  </si>
  <si>
    <t>1,996.58 </t>
  </si>
  <si>
    <t>HC2013-24</t>
  </si>
  <si>
    <t>2,143.87 </t>
  </si>
  <si>
    <t>HC2013-25</t>
  </si>
  <si>
    <t>2,286.56 </t>
  </si>
  <si>
    <t>HC2013-26</t>
  </si>
  <si>
    <t>1,972.82 </t>
  </si>
  <si>
    <t>HC2013-27</t>
  </si>
  <si>
    <t>1,580.72 </t>
  </si>
  <si>
    <t>HC2014-15</t>
  </si>
  <si>
    <t>HC2014-22</t>
  </si>
  <si>
    <t>1,938.98 </t>
  </si>
  <si>
    <r>
      <t>大国用（</t>
    </r>
    <r>
      <rPr>
        <sz val="7"/>
        <color rgb="FF000000"/>
        <rFont val="Lucida Sans Unicode"/>
        <family val="2"/>
      </rPr>
      <t>2014</t>
    </r>
    <r>
      <rPr>
        <sz val="7"/>
        <color rgb="FF000000"/>
        <rFont val="Arial"/>
        <family val="2"/>
      </rPr>
      <t>）第</t>
    </r>
    <r>
      <rPr>
        <sz val="7"/>
        <color rgb="FF000000"/>
        <rFont val="Lucida Sans Unicode"/>
        <family val="2"/>
      </rPr>
      <t>03295</t>
    </r>
    <r>
      <rPr>
        <sz val="7"/>
        <color rgb="FF000000"/>
        <rFont val="Arial"/>
        <family val="2"/>
      </rPr>
      <t>号</t>
    </r>
  </si>
  <si>
    <r>
      <t>≥0.7</t>
    </r>
    <r>
      <rPr>
        <sz val="7"/>
        <color rgb="FF000000"/>
        <rFont val="Arial"/>
        <family val="2"/>
      </rPr>
      <t>，≤</t>
    </r>
    <r>
      <rPr>
        <sz val="7"/>
        <color rgb="FF000000"/>
        <rFont val="Lucida Sans Unicode"/>
        <family val="2"/>
      </rPr>
      <t>1.2</t>
    </r>
  </si>
  <si>
    <r>
      <t>大国用（</t>
    </r>
    <r>
      <rPr>
        <sz val="7"/>
        <color rgb="FF000000"/>
        <rFont val="Lucida Sans Unicode"/>
        <family val="2"/>
      </rPr>
      <t>2014</t>
    </r>
    <r>
      <rPr>
        <sz val="7"/>
        <color rgb="FF000000"/>
        <rFont val="Arial"/>
        <family val="2"/>
      </rPr>
      <t>）第</t>
    </r>
    <r>
      <rPr>
        <sz val="7"/>
        <color rgb="FF000000"/>
        <rFont val="Lucida Sans Unicode"/>
        <family val="2"/>
      </rPr>
      <t>03294</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</si>
  <si>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03297</t>
    </r>
    <r>
      <rPr>
        <sz val="7"/>
        <color rgb="FF000000"/>
        <rFont val="Arial"/>
        <family val="2"/>
      </rPr>
      <t>号</t>
    </r>
  </si>
  <si>
    <r>
      <t>≥0.7</t>
    </r>
    <r>
      <rPr>
        <sz val="7"/>
        <color rgb="FF000000"/>
        <rFont val="Arial"/>
        <family val="2"/>
      </rPr>
      <t>，≤</t>
    </r>
    <r>
      <rPr>
        <sz val="7"/>
        <color rgb="FF000000"/>
        <rFont val="Lucida Sans Unicode"/>
        <family val="2"/>
      </rPr>
      <t>2</t>
    </r>
  </si>
  <si>
    <r>
      <t>大国用（</t>
    </r>
    <r>
      <rPr>
        <sz val="7"/>
        <color rgb="FF000000"/>
        <rFont val="Lucida Sans Unicode"/>
        <family val="2"/>
      </rPr>
      <t>2014</t>
    </r>
    <r>
      <rPr>
        <sz val="7"/>
        <color rgb="FF000000"/>
        <rFont val="Arial"/>
        <family val="2"/>
      </rPr>
      <t>）第</t>
    </r>
    <r>
      <rPr>
        <sz val="7"/>
        <color rgb="FF000000"/>
        <rFont val="Lucida Sans Unicode"/>
        <family val="2"/>
      </rPr>
      <t>03296</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</si>
  <si>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05898</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</si>
  <si>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05899</t>
    </r>
    <r>
      <rPr>
        <sz val="7"/>
        <color rgb="FF000000"/>
        <rFont val="Arial"/>
        <family val="2"/>
      </rPr>
      <t>号</t>
    </r>
  </si>
  <si>
    <r>
      <t>云（</t>
    </r>
    <r>
      <rPr>
        <sz val="7"/>
        <color rgb="FF000000"/>
        <rFont val="Lucida Sans Unicode"/>
        <family val="2"/>
      </rPr>
      <t>2017</t>
    </r>
    <r>
      <rPr>
        <sz val="7"/>
        <color rgb="FF000000"/>
        <rFont val="Arial"/>
        <family val="2"/>
      </rPr>
      <t>）大理市不动产权第</t>
    </r>
    <r>
      <rPr>
        <sz val="7"/>
        <color rgb="FF000000"/>
        <rFont val="Lucida Sans Unicode"/>
        <family val="2"/>
      </rPr>
      <t>0000613</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</si>
  <si>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03238</t>
    </r>
    <r>
      <rPr>
        <sz val="7"/>
        <color rgb="FF000000"/>
        <rFont val="Arial"/>
        <family val="2"/>
      </rPr>
      <t>号</t>
    </r>
  </si>
  <si>
    <r>
      <t>≥1</t>
    </r>
    <r>
      <rPr>
        <sz val="7"/>
        <color rgb="FF000000"/>
        <rFont val="Arial"/>
        <family val="2"/>
      </rPr>
      <t>，≤</t>
    </r>
    <r>
      <rPr>
        <sz val="7"/>
        <color rgb="FF000000"/>
        <rFont val="Lucida Sans Unicode"/>
        <family val="2"/>
      </rPr>
      <t>2</t>
    </r>
  </si>
  <si>
    <r>
      <t>大国用（</t>
    </r>
    <r>
      <rPr>
        <sz val="7"/>
        <color rgb="FF000000"/>
        <rFont val="Lucida Sans Unicode"/>
        <family val="2"/>
      </rPr>
      <t>2014</t>
    </r>
    <r>
      <rPr>
        <sz val="7"/>
        <color rgb="FF000000"/>
        <rFont val="Arial"/>
        <family val="2"/>
      </rPr>
      <t>）第</t>
    </r>
    <r>
      <rPr>
        <sz val="7"/>
        <color rgb="FF000000"/>
        <rFont val="Lucida Sans Unicode"/>
        <family val="2"/>
      </rPr>
      <t>03013</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</si>
  <si>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03015</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</si>
  <si>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03298</t>
    </r>
    <r>
      <rPr>
        <sz val="7"/>
        <color rgb="FF000000"/>
        <rFont val="Arial"/>
        <family val="2"/>
      </rPr>
      <t>号</t>
    </r>
  </si>
  <si>
    <r>
      <t>住宅用地（兼容商业用地不超过</t>
    </r>
    <r>
      <rPr>
        <sz val="7"/>
        <color rgb="FF000000"/>
        <rFont val="Lucida Sans Unicode"/>
        <family val="2"/>
      </rPr>
      <t>20%</t>
    </r>
    <r>
      <rPr>
        <sz val="7"/>
        <color rgb="FF000000"/>
        <rFont val="Arial"/>
        <family val="2"/>
      </rPr>
      <t>）</t>
    </r>
  </si>
  <si>
    <r>
      <t>≥1</t>
    </r>
    <r>
      <rPr>
        <sz val="7"/>
        <color rgb="FF000000"/>
        <rFont val="Arial"/>
        <family val="2"/>
      </rPr>
      <t>，≤</t>
    </r>
    <r>
      <rPr>
        <sz val="7"/>
        <color rgb="FF000000"/>
        <rFont val="Lucida Sans Unicode"/>
        <family val="2"/>
      </rPr>
      <t>1.1</t>
    </r>
  </si>
  <si>
    <r>
      <t>大国用（</t>
    </r>
    <r>
      <rPr>
        <sz val="7"/>
        <color rgb="FF000000"/>
        <rFont val="Lucida Sans Unicode"/>
        <family val="2"/>
      </rPr>
      <t>2014</t>
    </r>
    <r>
      <rPr>
        <sz val="7"/>
        <color rgb="FF000000"/>
        <rFont val="Arial"/>
        <family val="2"/>
      </rPr>
      <t>）第</t>
    </r>
    <r>
      <rPr>
        <sz val="7"/>
        <color rgb="FF000000"/>
        <rFont val="Lucida Sans Unicode"/>
        <family val="2"/>
      </rPr>
      <t>05895</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</si>
  <si>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05897</t>
    </r>
    <r>
      <rPr>
        <sz val="7"/>
        <color rgb="FF000000"/>
        <rFont val="Arial"/>
        <family val="2"/>
      </rPr>
      <t>号</t>
    </r>
  </si>
  <si>
    <r>
      <t>≥1</t>
    </r>
    <r>
      <rPr>
        <sz val="7"/>
        <color rgb="FF000000"/>
        <rFont val="Arial"/>
        <family val="2"/>
      </rPr>
      <t>，≤</t>
    </r>
    <r>
      <rPr>
        <sz val="7"/>
        <color rgb="FF000000"/>
        <rFont val="Lucida Sans Unicode"/>
        <family val="2"/>
      </rPr>
      <t>1.5</t>
    </r>
  </si>
  <si>
    <r>
      <t>大国用（</t>
    </r>
    <r>
      <rPr>
        <sz val="7"/>
        <color rgb="FF000000"/>
        <rFont val="Lucida Sans Unicode"/>
        <family val="2"/>
      </rPr>
      <t>2015</t>
    </r>
    <r>
      <rPr>
        <sz val="7"/>
        <color rgb="FF000000"/>
        <rFont val="Arial"/>
        <family val="2"/>
      </rPr>
      <t>）第</t>
    </r>
    <r>
      <rPr>
        <sz val="7"/>
        <color rgb="FF000000"/>
        <rFont val="Lucida Sans Unicode"/>
        <family val="2"/>
      </rPr>
      <t>02388</t>
    </r>
    <r>
      <rPr>
        <sz val="7"/>
        <color rgb="FF000000"/>
        <rFont val="Arial"/>
        <family val="2"/>
      </rPr>
      <t>号</t>
    </r>
  </si>
  <si>
    <r>
      <t>大国用（</t>
    </r>
    <r>
      <rPr>
        <sz val="7"/>
        <color rgb="FF000000"/>
        <rFont val="Lucida Sans Unicode"/>
        <family val="2"/>
      </rPr>
      <t>2015</t>
    </r>
    <r>
      <rPr>
        <sz val="7"/>
        <color rgb="FF000000"/>
        <rFont val="Arial"/>
        <family val="2"/>
      </rPr>
      <t>）第</t>
    </r>
    <r>
      <rPr>
        <sz val="7"/>
        <color rgb="FF000000"/>
        <rFont val="Lucida Sans Unicode"/>
        <family val="2"/>
      </rPr>
      <t>05921</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</si>
  <si>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03014</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</si>
  <si>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05896</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</si>
  <si>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03016</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</si>
  <si>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03240</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</si>
  <si>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03239</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</si>
  <si>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03241</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</si>
  <si>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03245</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</si>
  <si>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03242</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</si>
  <si>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03243</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</si>
  <si>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03246</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</si>
  <si>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03244</t>
    </r>
    <r>
      <rPr>
        <sz val="7"/>
        <color rgb="FF000000"/>
        <rFont val="Arial"/>
        <family val="2"/>
      </rPr>
      <t>号</t>
    </r>
  </si>
  <si>
    <r>
      <t>大国用（</t>
    </r>
    <r>
      <rPr>
        <sz val="7"/>
        <color rgb="FF000000"/>
        <rFont val="Lucida Sans Unicode"/>
        <family val="2"/>
      </rPr>
      <t>2015</t>
    </r>
    <r>
      <rPr>
        <sz val="7"/>
        <color rgb="FF000000"/>
        <rFont val="Arial"/>
        <family val="2"/>
      </rPr>
      <t>）第</t>
    </r>
    <r>
      <rPr>
        <sz val="7"/>
        <color rgb="FF000000"/>
        <rFont val="Lucida Sans Unicode"/>
        <family val="2"/>
      </rPr>
      <t>02389</t>
    </r>
    <r>
      <rPr>
        <sz val="7"/>
        <color rgb="FF000000"/>
        <rFont val="Arial"/>
        <family val="2"/>
      </rPr>
      <t>号</t>
    </r>
  </si>
  <si>
    <r>
      <t>大国用（</t>
    </r>
    <r>
      <rPr>
        <sz val="7"/>
        <color rgb="FF000000"/>
        <rFont val="Lucida Sans Unicode"/>
        <family val="2"/>
      </rPr>
      <t>2015</t>
    </r>
    <r>
      <rPr>
        <sz val="7"/>
        <color rgb="FF000000"/>
        <rFont val="Arial"/>
        <family val="2"/>
      </rPr>
      <t>）第</t>
    </r>
    <r>
      <rPr>
        <sz val="7"/>
        <color rgb="FF000000"/>
        <rFont val="Lucida Sans Unicode"/>
        <family val="2"/>
      </rPr>
      <t>05920</t>
    </r>
    <r>
      <rPr>
        <sz val="7"/>
        <color rgb="FF000000"/>
        <rFont val="Arial"/>
        <family val="2"/>
      </rPr>
      <t>号</t>
    </r>
  </si>
  <si>
    <t>地块号</t>
    <phoneticPr fontId="233" type="noConversion"/>
  </si>
  <si>
    <t>容积率</t>
    <phoneticPr fontId="233" type="noConversion"/>
  </si>
  <si>
    <t>HC2014-11</t>
    <phoneticPr fontId="233" type="noConversion"/>
  </si>
  <si>
    <t>规划建筑面积</t>
    <phoneticPr fontId="233" type="noConversion"/>
  </si>
  <si>
    <t>规划建筑面积</t>
    <phoneticPr fontId="233" type="noConversion"/>
  </si>
  <si>
    <t>住宅</t>
    <phoneticPr fontId="233" type="noConversion"/>
  </si>
  <si>
    <t>商业</t>
    <phoneticPr fontId="233" type="noConversion"/>
  </si>
  <si>
    <t>小计</t>
    <phoneticPr fontId="233" type="noConversion"/>
  </si>
  <si>
    <t>建筑密度</t>
    <phoneticPr fontId="233" type="noConversion"/>
  </si>
  <si>
    <t>合同</t>
    <phoneticPr fontId="233" type="noConversion"/>
  </si>
  <si>
    <t>设定</t>
    <phoneticPr fontId="233" type="noConversion"/>
  </si>
  <si>
    <t>序号</t>
    <phoneticPr fontId="233" type="noConversion"/>
  </si>
  <si>
    <t>城镇单一住宅</t>
    <phoneticPr fontId="233" type="noConversion"/>
  </si>
  <si>
    <t>/</t>
    <phoneticPr fontId="233" type="noConversion"/>
  </si>
  <si>
    <t>90平米以下住房面积占宗地开发建设总面积的比例</t>
    <phoneticPr fontId="233" type="noConversion"/>
  </si>
  <si>
    <t>联排</t>
  </si>
  <si>
    <t>联排</t>
    <phoneticPr fontId="233" type="noConversion"/>
  </si>
  <si>
    <t>小高层</t>
    <phoneticPr fontId="233" type="noConversion"/>
  </si>
  <si>
    <t>洋房</t>
    <phoneticPr fontId="233" type="noConversion"/>
  </si>
  <si>
    <t>联排</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</si>
  <si>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</si>
  <si>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</si>
  <si>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</si>
  <si>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</si>
  <si>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</si>
  <si>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</si>
  <si>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</si>
  <si>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</si>
  <si>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</si>
  <si>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</si>
  <si>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</si>
  <si>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</si>
  <si>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大理海东新城中心片区天镜路以东</t>
  </si>
  <si>
    <t>大理白族自治州</t>
  </si>
  <si>
    <t>住宅用地</t>
  </si>
  <si>
    <t>大于1并且小于或等于1.5</t>
  </si>
  <si>
    <t>挂牌</t>
  </si>
  <si>
    <t>2017-09-06</t>
  </si>
  <si>
    <t>大理轩远房地产开发有限公司</t>
  </si>
  <si>
    <t>大理市下关镇人民路以西,正阳街以南</t>
  </si>
  <si>
    <t>大于1并且小于5.86</t>
  </si>
  <si>
    <t>2017-09-04</t>
  </si>
  <si>
    <t>大理大立成投资有限公司</t>
  </si>
  <si>
    <t>2017-08-03</t>
  </si>
  <si>
    <t>大于1并且小于或等于3</t>
  </si>
  <si>
    <t>2017-06-02</t>
  </si>
  <si>
    <t>大理海东新城中心片区</t>
  </si>
  <si>
    <t>综合用地(含住宅)</t>
  </si>
  <si>
    <t>小于或等于1.8</t>
  </si>
  <si>
    <t>2016-11-17</t>
  </si>
  <si>
    <t>云南城投洱海置业有限公司</t>
  </si>
  <si>
    <t>大理海东新城中心片区九溪路以南,机场路以北</t>
  </si>
  <si>
    <t>大理海东开发投资集团有限公司</t>
  </si>
  <si>
    <t>大理满江、天井南部山地新区</t>
  </si>
  <si>
    <t>大于1并且小于或等于1.8</t>
  </si>
  <si>
    <t>2016-06-23</t>
  </si>
  <si>
    <t>大理万象置业有限公司</t>
  </si>
  <si>
    <t>大理市下关镇小花园片区</t>
  </si>
  <si>
    <t>大于1并且小于6</t>
  </si>
  <si>
    <t>2016-05-09</t>
  </si>
  <si>
    <t>大理天城屋业有限公司</t>
  </si>
  <si>
    <t>大理市下关镇建设路以南、泰安路以西</t>
  </si>
  <si>
    <t>云南泰业房地产开发有限公司</t>
  </si>
  <si>
    <t>大理市下关镇七里桥大凤路西侧</t>
  </si>
  <si>
    <t>大于1并且小于1.1</t>
  </si>
  <si>
    <t>大理实力夏都置业有限公司</t>
  </si>
  <si>
    <t>大理创新工业园区天井片区天庆路东侧</t>
  </si>
  <si>
    <t>大于1并且小于或等于2</t>
  </si>
  <si>
    <t>拍卖</t>
  </si>
  <si>
    <t>2016-04-29</t>
  </si>
  <si>
    <t>大理宏昱房地产开发有限公司</t>
  </si>
  <si>
    <t>大理市下关镇关平路东侧</t>
  </si>
  <si>
    <t>2015-10-27</t>
  </si>
  <si>
    <t>大理云雄房地产开发有限公司</t>
  </si>
  <si>
    <t>菠萝山机场路以东、海东新城景悦路以北</t>
  </si>
  <si>
    <t>大于1并且小于或等于2.6</t>
  </si>
  <si>
    <t>2015-09-02</t>
  </si>
  <si>
    <t>大理汇智置业有限公司</t>
  </si>
  <si>
    <t>大理市满江、天井南部山地新区</t>
  </si>
  <si>
    <t>2015-07-13</t>
  </si>
  <si>
    <t>大理创新工业园区满江、天井南部山地新区</t>
  </si>
  <si>
    <t>下关镇七里桥大凤路西侧</t>
  </si>
  <si>
    <t>2015-02-13</t>
  </si>
  <si>
    <t>海东新城三和路以东、独秀路以南、映雪路以西、天镜路以北</t>
  </si>
  <si>
    <t>云南百大大理海东开发有限公司</t>
  </si>
  <si>
    <t>海东新城独秀路以东</t>
  </si>
  <si>
    <t>海东新城览川路以西、独秀路以北</t>
  </si>
  <si>
    <t>大理俊发伟业房地产有限责任公司</t>
  </si>
  <si>
    <t>海东新城三和路以东、天镜路以北</t>
  </si>
  <si>
    <t>大理实力海东开发有限公司</t>
  </si>
  <si>
    <t>海东新城独秀路以南、上和街以北</t>
  </si>
  <si>
    <t>大理市海东镇菠萝山</t>
  </si>
  <si>
    <t>大于1并且小于或等于1.1</t>
  </si>
  <si>
    <t>2015-01-28</t>
  </si>
  <si>
    <t>大理创意园区开发有限公司</t>
  </si>
  <si>
    <t>海东新城三和路以北,独秀路以南,揽川路以东</t>
  </si>
  <si>
    <t>2015-01-15</t>
  </si>
  <si>
    <t>大理东欣房地产开发有限公司</t>
  </si>
  <si>
    <t>住宅</t>
    <phoneticPr fontId="26" type="noConversion"/>
  </si>
  <si>
    <t>较好</t>
  </si>
  <si>
    <t>较好</t>
    <phoneticPr fontId="26" type="noConversion"/>
  </si>
  <si>
    <t>六通一平</t>
    <phoneticPr fontId="26" type="noConversion"/>
  </si>
  <si>
    <t>较规则</t>
    <phoneticPr fontId="26" type="noConversion"/>
  </si>
  <si>
    <t>快速路</t>
    <phoneticPr fontId="26" type="noConversion"/>
  </si>
  <si>
    <t>主干道</t>
    <phoneticPr fontId="26" type="noConversion"/>
  </si>
  <si>
    <t>次干道</t>
    <phoneticPr fontId="26" type="noConversion"/>
  </si>
  <si>
    <t>支路</t>
    <phoneticPr fontId="26" type="noConversion"/>
  </si>
  <si>
    <t>六通</t>
  </si>
  <si>
    <t>一般</t>
  </si>
  <si>
    <t>售价</t>
  </si>
  <si>
    <t>洱海传奇</t>
    <phoneticPr fontId="3" type="noConversion"/>
  </si>
  <si>
    <t>大理公馆</t>
    <phoneticPr fontId="3" type="noConversion"/>
  </si>
  <si>
    <t>住宅</t>
    <phoneticPr fontId="21" type="noConversion"/>
  </si>
  <si>
    <t>60-70（含）</t>
  </si>
  <si>
    <t>金海岸</t>
    <phoneticPr fontId="3" type="noConversion"/>
  </si>
  <si>
    <t>大理市海东镇菠萝山</t>
    <phoneticPr fontId="233" type="noConversion"/>
  </si>
  <si>
    <t>土地（套用方法）</t>
  </si>
  <si>
    <t>钢混</t>
  </si>
  <si>
    <t>押一</t>
  </si>
  <si>
    <t>不动产收益法</t>
  </si>
  <si>
    <t>钢混</t>
    <phoneticPr fontId="233" type="noConversion"/>
  </si>
  <si>
    <t>中档</t>
  </si>
  <si>
    <t>中档</t>
    <phoneticPr fontId="233" type="noConversion"/>
  </si>
  <si>
    <t>精装修</t>
  </si>
  <si>
    <t>精装修</t>
    <phoneticPr fontId="233" type="noConversion"/>
  </si>
  <si>
    <t>专业</t>
  </si>
  <si>
    <t>专业</t>
    <phoneticPr fontId="233" type="noConversion"/>
  </si>
  <si>
    <t>六通一平</t>
  </si>
  <si>
    <t>六通一平</t>
    <phoneticPr fontId="233" type="noConversion"/>
  </si>
  <si>
    <t>毛坯</t>
  </si>
  <si>
    <t>毛坯</t>
    <phoneticPr fontId="233" type="noConversion"/>
  </si>
  <si>
    <t>较差</t>
  </si>
  <si>
    <t>大理市机场路石房子片区</t>
    <phoneticPr fontId="3" type="noConversion"/>
  </si>
  <si>
    <t>大理市云南大理市政环海路石房子山</t>
    <phoneticPr fontId="3" type="noConversion"/>
  </si>
  <si>
    <t>云南大理满江·机场路·石房子</t>
    <phoneticPr fontId="3" type="noConversion"/>
  </si>
  <si>
    <t>简装</t>
  </si>
  <si>
    <t>简装</t>
    <phoneticPr fontId="233" type="noConversion"/>
  </si>
  <si>
    <t>毛坯</t>
    <phoneticPr fontId="233" type="noConversion"/>
  </si>
  <si>
    <t>多层</t>
  </si>
  <si>
    <t>多层</t>
    <phoneticPr fontId="233" type="noConversion"/>
  </si>
  <si>
    <t>小高层</t>
  </si>
  <si>
    <t>小高层</t>
    <phoneticPr fontId="233" type="noConversion"/>
  </si>
  <si>
    <t>高层</t>
    <phoneticPr fontId="233" type="noConversion"/>
  </si>
  <si>
    <t>企业</t>
  </si>
  <si>
    <t>一致</t>
  </si>
  <si>
    <t>符合</t>
  </si>
  <si>
    <t>高层</t>
    <phoneticPr fontId="14" type="noConversion"/>
  </si>
  <si>
    <t>多层</t>
    <phoneticPr fontId="14" type="noConversion"/>
  </si>
  <si>
    <t>小高层</t>
    <phoneticPr fontId="14" type="noConversion"/>
  </si>
  <si>
    <t>多层</t>
    <phoneticPr fontId="7" type="noConversion"/>
  </si>
  <si>
    <t>小高层</t>
    <phoneticPr fontId="7" type="noConversion"/>
  </si>
  <si>
    <t>商业</t>
    <phoneticPr fontId="7" type="noConversion"/>
  </si>
  <si>
    <t>项目局部</t>
  </si>
  <si>
    <t>土地</t>
  </si>
  <si>
    <t>次干道</t>
  </si>
  <si>
    <t>较规则</t>
  </si>
  <si>
    <t>海东方</t>
    <phoneticPr fontId="3" type="noConversion"/>
  </si>
  <si>
    <t>机场路</t>
    <phoneticPr fontId="26" type="noConversion"/>
  </si>
  <si>
    <t>权重</t>
    <phoneticPr fontId="9" type="noConversion"/>
  </si>
  <si>
    <t>未投</t>
    <phoneticPr fontId="9" type="noConversion"/>
  </si>
  <si>
    <t>周边道路状况、公共交通通达情况、停车便捷程度（大理荒草坝机场</t>
    <phoneticPr fontId="3" type="noConversion"/>
  </si>
  <si>
    <t>洱海</t>
    <phoneticPr fontId="3" type="noConversion"/>
  </si>
  <si>
    <r>
      <t>XX</t>
    </r>
    <r>
      <rPr>
        <sz val="11"/>
        <color theme="9" tint="-0.249977111117893"/>
        <rFont val="仿宋_GB2312"/>
        <family val="3"/>
        <charset val="134"/>
      </rPr>
      <t>商圈，周边商业氛围，人流量</t>
    </r>
    <phoneticPr fontId="3" type="noConversion"/>
  </si>
  <si>
    <t>周边居住用地比例、居住小区规模和社区发展完善程度</t>
    <phoneticPr fontId="3" type="noConversion"/>
  </si>
  <si>
    <t>昆明监测指标情况一览表</t>
  </si>
  <si>
    <t>时间</t>
  </si>
  <si>
    <t>水平值</t>
  </si>
  <si>
    <t>环比增长率</t>
  </si>
  <si>
    <t>指数</t>
  </si>
  <si>
    <t>环海东路</t>
    <phoneticPr fontId="26" type="noConversion"/>
  </si>
  <si>
    <t>机场路</t>
    <phoneticPr fontId="26" type="noConversion"/>
  </si>
  <si>
    <t>大理海东开发市政建设有限公司</t>
    <phoneticPr fontId="233" type="noConversion"/>
  </si>
  <si>
    <r>
      <t>1.5</t>
    </r>
    <r>
      <rPr>
        <sz val="11"/>
        <rFont val="宋体"/>
        <family val="3"/>
        <charset val="134"/>
      </rPr>
      <t>公里</t>
    </r>
    <r>
      <rPr>
        <sz val="11"/>
        <rFont val="Arial"/>
        <family val="2"/>
      </rPr>
      <t xml:space="preserve"> </t>
    </r>
    <r>
      <rPr>
        <sz val="11"/>
        <rFont val="宋体"/>
        <family val="3"/>
        <charset val="134"/>
      </rPr>
      <t>外滩名著</t>
    </r>
    <r>
      <rPr>
        <sz val="11"/>
        <rFont val="Arial"/>
        <family val="2"/>
      </rPr>
      <t xml:space="preserve"> </t>
    </r>
    <r>
      <rPr>
        <sz val="11"/>
        <rFont val="宋体"/>
        <family val="3"/>
        <charset val="134"/>
      </rPr>
      <t>金海岸庄园</t>
    </r>
    <r>
      <rPr>
        <sz val="11"/>
        <rFont val="Arial"/>
        <family val="2"/>
      </rPr>
      <t xml:space="preserve"> </t>
    </r>
    <r>
      <rPr>
        <sz val="11"/>
        <rFont val="宋体"/>
        <family val="3"/>
        <charset val="134"/>
      </rPr>
      <t>大理公馆</t>
    </r>
    <r>
      <rPr>
        <sz val="11"/>
        <rFont val="Arial"/>
        <family val="2"/>
      </rPr>
      <t xml:space="preserve"> </t>
    </r>
    <r>
      <rPr>
        <sz val="11"/>
        <rFont val="宋体"/>
        <family val="3"/>
        <charset val="134"/>
      </rPr>
      <t>洱海传奇</t>
    </r>
    <r>
      <rPr>
        <sz val="11"/>
        <rFont val="Arial"/>
        <family val="2"/>
      </rPr>
      <t xml:space="preserve"> </t>
    </r>
    <r>
      <rPr>
        <sz val="11"/>
        <rFont val="宋体"/>
        <family val="3"/>
        <charset val="134"/>
      </rPr>
      <t>洱海寰球时代</t>
    </r>
    <phoneticPr fontId="233" type="noConversion"/>
  </si>
  <si>
    <t>洱海</t>
    <phoneticPr fontId="233" type="noConversion"/>
  </si>
  <si>
    <t>洱海</t>
    <phoneticPr fontId="233" type="noConversion"/>
  </si>
  <si>
    <t>大理技师学院 与较成熟区域距离5-6公里</t>
    <phoneticPr fontId="21" type="noConversion"/>
  </si>
  <si>
    <r>
      <rPr>
        <sz val="11"/>
        <rFont val="宋体"/>
        <family val="3"/>
        <charset val="134"/>
      </rPr>
      <t>与较成熟区域距离</t>
    </r>
    <r>
      <rPr>
        <sz val="11"/>
        <rFont val="Arial"/>
        <family val="2"/>
      </rPr>
      <t>3-4</t>
    </r>
    <r>
      <rPr>
        <sz val="11"/>
        <rFont val="宋体"/>
        <family val="3"/>
        <charset val="134"/>
      </rPr>
      <t>公里</t>
    </r>
    <phoneticPr fontId="233" type="noConversion"/>
  </si>
  <si>
    <t>环海东路</t>
    <phoneticPr fontId="26" type="noConversion"/>
  </si>
  <si>
    <t>请录依据文件名称：《云南省发展和改革委员会、云南省财政厅关于批准部分城市继续收取城市基础设施配套费有关问题的通知》云发改价格〔2005〕469号  https://wenku.baidu.com/view/dee618c3aa00b52acfc7ca2b.html</t>
    <phoneticPr fontId="3" type="noConversion"/>
  </si>
  <si>
    <t>大理海东新城中心片区沐月街以西</t>
    <phoneticPr fontId="233" type="noConversion"/>
  </si>
  <si>
    <t>估价对象</t>
    <phoneticPr fontId="233" type="noConversion"/>
  </si>
  <si>
    <t>序号</t>
    <phoneticPr fontId="233" type="noConversion"/>
  </si>
  <si>
    <t>证号</t>
    <phoneticPr fontId="233" type="noConversion"/>
  </si>
  <si>
    <t>地号</t>
    <phoneticPr fontId="233" type="noConversion"/>
  </si>
  <si>
    <t>图号</t>
    <phoneticPr fontId="233" type="noConversion"/>
  </si>
  <si>
    <t>土地使用权人</t>
    <phoneticPr fontId="233" type="noConversion"/>
  </si>
  <si>
    <t>坐落</t>
    <phoneticPr fontId="233" type="noConversion"/>
  </si>
  <si>
    <t>证载用途</t>
    <phoneticPr fontId="233" type="noConversion"/>
  </si>
  <si>
    <t>设定用途</t>
    <phoneticPr fontId="233" type="noConversion"/>
  </si>
  <si>
    <t>终止日期</t>
    <phoneticPr fontId="233" type="noConversion"/>
  </si>
  <si>
    <t>剩余年限</t>
    <phoneticPr fontId="233" type="noConversion"/>
  </si>
  <si>
    <t>设定终止日期</t>
    <phoneticPr fontId="233" type="noConversion"/>
  </si>
  <si>
    <t>土地面积</t>
    <phoneticPr fontId="233" type="noConversion"/>
  </si>
  <si>
    <t>电子监管号</t>
    <phoneticPr fontId="233" type="noConversion"/>
  </si>
  <si>
    <t>合同编号</t>
    <phoneticPr fontId="233" type="noConversion"/>
  </si>
  <si>
    <t>出让金</t>
    <phoneticPr fontId="233" type="noConversion"/>
  </si>
  <si>
    <t>单价</t>
    <phoneticPr fontId="233" type="noConversion"/>
  </si>
  <si>
    <t>开工时间</t>
    <phoneticPr fontId="233" type="noConversion"/>
  </si>
  <si>
    <t>竣工时间</t>
    <phoneticPr fontId="233" type="noConversion"/>
  </si>
  <si>
    <t>出让合同签订日期</t>
    <phoneticPr fontId="233" type="noConversion"/>
  </si>
  <si>
    <t>地块号</t>
    <phoneticPr fontId="233" type="noConversion"/>
  </si>
  <si>
    <t>容积率</t>
    <phoneticPr fontId="233" type="noConversion"/>
  </si>
  <si>
    <t>规划建筑面积</t>
    <phoneticPr fontId="233" type="noConversion"/>
  </si>
  <si>
    <t>建筑限高</t>
    <phoneticPr fontId="233" type="noConversion"/>
  </si>
  <si>
    <t>建筑密度</t>
    <phoneticPr fontId="233" type="noConversion"/>
  </si>
  <si>
    <t>90平米以下住房面积占宗地开发建设总面积的比例</t>
    <phoneticPr fontId="233" type="noConversion"/>
  </si>
  <si>
    <t>设定住宅类型</t>
    <phoneticPr fontId="233" type="noConversion"/>
  </si>
  <si>
    <t>投资额（总）</t>
    <phoneticPr fontId="233" type="noConversion"/>
  </si>
  <si>
    <t>投资额（已投）</t>
    <phoneticPr fontId="233" type="noConversion"/>
  </si>
  <si>
    <t>投资额（未投）</t>
    <phoneticPr fontId="233" type="noConversion"/>
  </si>
  <si>
    <t>合同</t>
    <phoneticPr fontId="233" type="noConversion"/>
  </si>
  <si>
    <t>设定</t>
    <phoneticPr fontId="233" type="noConversion"/>
  </si>
  <si>
    <t>住宅</t>
    <phoneticPr fontId="233" type="noConversion"/>
  </si>
  <si>
    <t>商业</t>
    <phoneticPr fontId="233" type="noConversion"/>
  </si>
  <si>
    <t>小计</t>
    <phoneticPr fontId="233" type="noConversion"/>
  </si>
  <si>
    <t>大国用（2014）第03013号</t>
    <phoneticPr fontId="233" type="noConversion"/>
  </si>
  <si>
    <t>103-31-01-1</t>
    <phoneticPr fontId="233" type="noConversion"/>
  </si>
  <si>
    <t>38.25-29.50 38.00-29.50</t>
    <phoneticPr fontId="233" type="noConversion"/>
  </si>
  <si>
    <t>大理创意园区开发有限公司</t>
    <phoneticPr fontId="233" type="noConversion"/>
  </si>
  <si>
    <t>大理市海东镇菠萝山</t>
    <phoneticPr fontId="233" type="noConversion"/>
  </si>
  <si>
    <t>城镇单一住宅</t>
    <phoneticPr fontId="233" type="noConversion"/>
  </si>
  <si>
    <t>住宅2083年10月18日</t>
    <phoneticPr fontId="233" type="noConversion"/>
  </si>
  <si>
    <t>住宅65.97年</t>
    <phoneticPr fontId="233" type="noConversion"/>
  </si>
  <si>
    <t>5329012013B01625</t>
    <phoneticPr fontId="233" type="noConversion"/>
  </si>
  <si>
    <t>CR53大理市海开2013015号</t>
  </si>
  <si>
    <t>2015年2月17日之前</t>
    <phoneticPr fontId="233" type="noConversion"/>
  </si>
  <si>
    <t>2016年2月17日之前</t>
    <phoneticPr fontId="233" type="noConversion"/>
  </si>
  <si>
    <t>2013.10.18</t>
    <phoneticPr fontId="233" type="noConversion"/>
  </si>
  <si>
    <t>/</t>
    <phoneticPr fontId="233" type="noConversion"/>
  </si>
  <si>
    <t>小高层</t>
    <phoneticPr fontId="233" type="noConversion"/>
  </si>
  <si>
    <t>大国用（2014）第03015号</t>
    <phoneticPr fontId="233" type="noConversion"/>
  </si>
  <si>
    <t>109-32-32-1</t>
    <phoneticPr fontId="233" type="noConversion"/>
  </si>
  <si>
    <t>38.50-29.50 38.00-29.50</t>
    <phoneticPr fontId="233" type="noConversion"/>
  </si>
  <si>
    <t>5329012013B01639</t>
    <phoneticPr fontId="233" type="noConversion"/>
  </si>
  <si>
    <t>CR53大理市海开2013016号</t>
    <phoneticPr fontId="233" type="noConversion"/>
  </si>
  <si>
    <t>2015年3月17日之前</t>
    <phoneticPr fontId="233" type="noConversion"/>
  </si>
  <si>
    <t>2016年3月17日之前</t>
    <phoneticPr fontId="233" type="noConversion"/>
  </si>
  <si>
    <t>大国用（2014）第03238号</t>
    <phoneticPr fontId="233" type="noConversion"/>
  </si>
  <si>
    <t>109-32-31-2</t>
    <phoneticPr fontId="233" type="noConversion"/>
  </si>
  <si>
    <t>38.50-29.50</t>
    <phoneticPr fontId="233" type="noConversion"/>
  </si>
  <si>
    <t>住宅2083年11月18日</t>
    <phoneticPr fontId="233" type="noConversion"/>
  </si>
  <si>
    <t>住宅66.05年</t>
    <phoneticPr fontId="233" type="noConversion"/>
  </si>
  <si>
    <t>5329012013B01846</t>
    <phoneticPr fontId="233" type="noConversion"/>
  </si>
  <si>
    <t>CR53大理市海开2013018号</t>
    <phoneticPr fontId="233" type="noConversion"/>
  </si>
  <si>
    <t>2013.11.18</t>
    <phoneticPr fontId="233" type="noConversion"/>
  </si>
  <si>
    <t>109-32-31-8</t>
    <phoneticPr fontId="233" type="noConversion"/>
  </si>
  <si>
    <t>38.75-29.75</t>
    <phoneticPr fontId="233" type="noConversion"/>
  </si>
  <si>
    <t>城镇单一住宅、商业</t>
    <phoneticPr fontId="233" type="noConversion"/>
  </si>
  <si>
    <t>住宅、商业</t>
    <phoneticPr fontId="233" type="noConversion"/>
  </si>
  <si>
    <t>住宅2083年12月03日、商业2053年12月03日</t>
    <phoneticPr fontId="233" type="noConversion"/>
  </si>
  <si>
    <t>住宅66.09年、商业36.07年</t>
    <phoneticPr fontId="233" type="noConversion"/>
  </si>
  <si>
    <t>住宅2083年10月18日、商业2053年10月18日</t>
    <phoneticPr fontId="233" type="noConversion"/>
  </si>
  <si>
    <t>5329012013B01967</t>
    <phoneticPr fontId="233" type="noConversion"/>
  </si>
  <si>
    <t>CR53大理市海开2013044号</t>
    <phoneticPr fontId="233" type="noConversion"/>
  </si>
  <si>
    <t>2015年4月1日之前</t>
    <phoneticPr fontId="233" type="noConversion"/>
  </si>
  <si>
    <t>2016年4月1日之前</t>
    <phoneticPr fontId="233" type="noConversion"/>
  </si>
  <si>
    <t>2013.12.3</t>
    <phoneticPr fontId="233" type="noConversion"/>
  </si>
  <si>
    <t>大国用（2014）第03014号</t>
    <phoneticPr fontId="233" type="noConversion"/>
  </si>
  <si>
    <t>109-32-31-1</t>
    <phoneticPr fontId="233" type="noConversion"/>
  </si>
  <si>
    <t>38.50-29.50 38.25-29.50</t>
    <phoneticPr fontId="233" type="noConversion"/>
  </si>
  <si>
    <t>5329012013B01615</t>
    <phoneticPr fontId="233" type="noConversion"/>
  </si>
  <si>
    <t>CR53大理市海开201314号</t>
    <phoneticPr fontId="233" type="noConversion"/>
  </si>
  <si>
    <t>109-31-27-1</t>
    <phoneticPr fontId="233" type="noConversion"/>
  </si>
  <si>
    <t>39.25-29.25 39.00-29.50</t>
    <phoneticPr fontId="233" type="noConversion"/>
  </si>
  <si>
    <t>住宅、商业</t>
    <phoneticPr fontId="233" type="noConversion"/>
  </si>
  <si>
    <t>住宅2083年12月03日、商业2053年12月03日</t>
    <phoneticPr fontId="233" type="noConversion"/>
  </si>
  <si>
    <t>住宅66.09年、商业36.07年</t>
    <phoneticPr fontId="233" type="noConversion"/>
  </si>
  <si>
    <t>住宅2083年10月18日、商业2053年10月18日</t>
    <phoneticPr fontId="233" type="noConversion"/>
  </si>
  <si>
    <t>5329012013B01980</t>
    <phoneticPr fontId="233" type="noConversion"/>
  </si>
  <si>
    <t>CR53大理市海开2013046号</t>
  </si>
  <si>
    <t>2015年12月1日之前</t>
    <phoneticPr fontId="233" type="noConversion"/>
  </si>
  <si>
    <t>2016年12月1日之前</t>
    <phoneticPr fontId="233" type="noConversion"/>
  </si>
  <si>
    <t>联排</t>
    <phoneticPr fontId="233" type="noConversion"/>
  </si>
  <si>
    <t>大国用（2014）第03243号</t>
    <phoneticPr fontId="233" type="noConversion"/>
  </si>
  <si>
    <t>109-32-31-5</t>
    <phoneticPr fontId="233" type="noConversion"/>
  </si>
  <si>
    <t>38.75-29.25 38.50-29.50</t>
    <phoneticPr fontId="233" type="noConversion"/>
  </si>
  <si>
    <t>大理创意园区开发有限公司</t>
    <phoneticPr fontId="233" type="noConversion"/>
  </si>
  <si>
    <t>大理市海东镇菠萝山</t>
    <phoneticPr fontId="233" type="noConversion"/>
  </si>
  <si>
    <t>城镇单一住宅、商业</t>
    <phoneticPr fontId="233" type="noConversion"/>
  </si>
  <si>
    <t>住宅、商业</t>
    <phoneticPr fontId="233" type="noConversion"/>
  </si>
  <si>
    <t>住宅2083年12月03日、商业2053年12月03日</t>
    <phoneticPr fontId="233" type="noConversion"/>
  </si>
  <si>
    <t>住宅66.09年、商业36.07年</t>
    <phoneticPr fontId="233" type="noConversion"/>
  </si>
  <si>
    <t>住宅2083年10月18日、商业2053年10月18日</t>
    <phoneticPr fontId="233" type="noConversion"/>
  </si>
  <si>
    <t>5329012013B01991</t>
    <phoneticPr fontId="233" type="noConversion"/>
  </si>
  <si>
    <t>CR53大理市海开2013047号</t>
    <phoneticPr fontId="233" type="noConversion"/>
  </si>
  <si>
    <t>2015年12月1日之前</t>
    <phoneticPr fontId="233" type="noConversion"/>
  </si>
  <si>
    <t>2016年12月1日之前</t>
    <phoneticPr fontId="233" type="noConversion"/>
  </si>
  <si>
    <t>2013.12.3</t>
    <phoneticPr fontId="233" type="noConversion"/>
  </si>
  <si>
    <t>/</t>
    <phoneticPr fontId="233" type="noConversion"/>
  </si>
  <si>
    <t>联排</t>
    <phoneticPr fontId="233" type="noConversion"/>
  </si>
  <si>
    <t>大国用（2014）第03244号</t>
    <phoneticPr fontId="233" type="noConversion"/>
  </si>
  <si>
    <t>109-32-31-7</t>
    <phoneticPr fontId="233" type="noConversion"/>
  </si>
  <si>
    <t>39.00-29.50 38.75-29.75</t>
    <phoneticPr fontId="233" type="noConversion"/>
  </si>
  <si>
    <t>5329012013B02017</t>
    <phoneticPr fontId="233" type="noConversion"/>
  </si>
  <si>
    <t>CR53大理市海开2013049号</t>
    <phoneticPr fontId="233" type="noConversion"/>
  </si>
  <si>
    <t>大国用（2014）第03245号</t>
    <phoneticPr fontId="233" type="noConversion"/>
  </si>
  <si>
    <t>109-32-26-1</t>
    <phoneticPr fontId="233" type="noConversion"/>
  </si>
  <si>
    <t>38.75-29.50 38.75-29.75</t>
    <phoneticPr fontId="233" type="noConversion"/>
  </si>
  <si>
    <t>5329012013B01976</t>
    <phoneticPr fontId="233" type="noConversion"/>
  </si>
  <si>
    <t>CR53大理市海开2013045号</t>
    <phoneticPr fontId="233" type="noConversion"/>
  </si>
  <si>
    <t>大国用（2014）第03246号</t>
    <phoneticPr fontId="233" type="noConversion"/>
  </si>
  <si>
    <t>109-32-31-6</t>
    <phoneticPr fontId="233" type="noConversion"/>
  </si>
  <si>
    <t>38.75-29.00 38.50-29.50</t>
    <phoneticPr fontId="233" type="noConversion"/>
  </si>
  <si>
    <t>5329012013B02007</t>
    <phoneticPr fontId="233" type="noConversion"/>
  </si>
  <si>
    <t>CR53大理市海开2013048号</t>
    <phoneticPr fontId="233" type="noConversion"/>
  </si>
  <si>
    <t>大国用（2014）第03298号</t>
    <phoneticPr fontId="233" type="noConversion"/>
  </si>
  <si>
    <t>109-32-31-9</t>
    <phoneticPr fontId="233" type="noConversion"/>
  </si>
  <si>
    <t>38.25-29.00 38.00-29.25</t>
    <phoneticPr fontId="233" type="noConversion"/>
  </si>
  <si>
    <t>住宅2083年12月19日、商业2053年12月19日</t>
    <phoneticPr fontId="233" type="noConversion"/>
  </si>
  <si>
    <t>住宅66.14年、商业36.12年</t>
    <phoneticPr fontId="233" type="noConversion"/>
  </si>
  <si>
    <t>——</t>
    <phoneticPr fontId="233" type="noConversion"/>
  </si>
  <si>
    <t>CR53大理市海开2013065号</t>
    <phoneticPr fontId="233" type="noConversion"/>
  </si>
  <si>
    <t>2015年4月17日之前</t>
    <phoneticPr fontId="233" type="noConversion"/>
  </si>
  <si>
    <t>2016年4月17日之前</t>
    <phoneticPr fontId="233" type="noConversion"/>
  </si>
  <si>
    <t>2013.12.19</t>
    <phoneticPr fontId="233" type="noConversion"/>
  </si>
  <si>
    <t>大国用（2014）第05895号</t>
    <phoneticPr fontId="233" type="noConversion"/>
  </si>
  <si>
    <t>532901109-31-27-2</t>
    <phoneticPr fontId="233" type="noConversion"/>
  </si>
  <si>
    <t>39.00-29.00 39.00-29.00</t>
    <phoneticPr fontId="233" type="noConversion"/>
  </si>
  <si>
    <t>城镇单一住宅（兼容不超过20%商业）</t>
    <phoneticPr fontId="233" type="noConversion"/>
  </si>
  <si>
    <t>住宅2084年8月05日、商业2054年8月05日</t>
    <phoneticPr fontId="233" type="noConversion"/>
  </si>
  <si>
    <t>住宅66.77年、商业36.75年</t>
    <phoneticPr fontId="233" type="noConversion"/>
  </si>
  <si>
    <t>5329012014B02877</t>
    <phoneticPr fontId="233" type="noConversion"/>
  </si>
  <si>
    <t>CR53大理市海开2014010号</t>
    <phoneticPr fontId="233" type="noConversion"/>
  </si>
  <si>
    <t>2015年12月4日之前</t>
    <phoneticPr fontId="233" type="noConversion"/>
  </si>
  <si>
    <t>2016年12月4日之前</t>
    <phoneticPr fontId="233" type="noConversion"/>
  </si>
  <si>
    <t>2014.8.5</t>
    <phoneticPr fontId="233" type="noConversion"/>
  </si>
  <si>
    <t>HC2014-11</t>
    <phoneticPr fontId="233" type="noConversion"/>
  </si>
  <si>
    <t>大国用（2015）第05915号</t>
    <phoneticPr fontId="233" type="noConversion"/>
  </si>
  <si>
    <t>532901109-32-26-7</t>
    <phoneticPr fontId="233" type="noConversion"/>
  </si>
  <si>
    <t>38.75-29.25 38.75-29.50</t>
    <phoneticPr fontId="233" type="noConversion"/>
  </si>
  <si>
    <t>城镇单一住宅（兼容不超过20%的商服用地）</t>
    <phoneticPr fontId="233" type="noConversion"/>
  </si>
  <si>
    <t>住宅2084年12月24日、商业2084年12月24日</t>
    <phoneticPr fontId="233" type="noConversion"/>
  </si>
  <si>
    <t>住宅67.15年、商业37.13年</t>
    <phoneticPr fontId="233" type="noConversion"/>
  </si>
  <si>
    <t>5329012014B03441</t>
    <phoneticPr fontId="233" type="noConversion"/>
  </si>
  <si>
    <t>CR53大理市海开201434号</t>
    <phoneticPr fontId="233" type="noConversion"/>
  </si>
  <si>
    <t>2016年8月24日之前</t>
    <phoneticPr fontId="233" type="noConversion"/>
  </si>
  <si>
    <t>2018年8月24日之前</t>
    <phoneticPr fontId="233" type="noConversion"/>
  </si>
  <si>
    <t>2014.12.24</t>
    <phoneticPr fontId="233" type="noConversion"/>
  </si>
  <si>
    <t>532901109-32-31-12</t>
    <phoneticPr fontId="233" type="noConversion"/>
  </si>
  <si>
    <t>38.50-29.00 38.75-29.00</t>
    <phoneticPr fontId="233" type="noConversion"/>
  </si>
  <si>
    <t>5329012014B03456</t>
    <phoneticPr fontId="233" type="noConversion"/>
  </si>
  <si>
    <t>CR53大理市海开201435号</t>
  </si>
  <si>
    <t>大国用（2015）第05920号</t>
    <phoneticPr fontId="233" type="noConversion"/>
  </si>
  <si>
    <t>532901109-32-26-6</t>
    <phoneticPr fontId="233" type="noConversion"/>
  </si>
  <si>
    <t>39.00-29.75 39.25-29.75</t>
    <phoneticPr fontId="233" type="noConversion"/>
  </si>
  <si>
    <t>住宅2085年2月04日、商业2085年2月04日</t>
    <phoneticPr fontId="233" type="noConversion"/>
  </si>
  <si>
    <t>住宅67.27年、商业37.25年</t>
    <phoneticPr fontId="233" type="noConversion"/>
  </si>
  <si>
    <t>5329012015B00090</t>
    <phoneticPr fontId="233" type="noConversion"/>
  </si>
  <si>
    <t>CR53大理市海开201503号</t>
    <phoneticPr fontId="233" type="noConversion"/>
  </si>
  <si>
    <t>2016年10月4日之前</t>
    <phoneticPr fontId="233" type="noConversion"/>
  </si>
  <si>
    <t>2018年10月4日之前</t>
    <phoneticPr fontId="233" type="noConversion"/>
  </si>
  <si>
    <t>2015.2.4</t>
    <phoneticPr fontId="233" type="noConversion"/>
  </si>
  <si>
    <t>532901109-32-26-5</t>
    <phoneticPr fontId="233" type="noConversion"/>
  </si>
  <si>
    <t>39.00-30.00 39.25-30.25</t>
    <phoneticPr fontId="233" type="noConversion"/>
  </si>
  <si>
    <t>CR53大理市海开201504号</t>
  </si>
  <si>
    <t>532901109-32-26-4</t>
    <phoneticPr fontId="233" type="noConversion"/>
  </si>
  <si>
    <t>38.75-29.75 39.00-30.00</t>
    <phoneticPr fontId="233" type="noConversion"/>
  </si>
  <si>
    <t>城镇单一住宅（兼容商业用地不超过20%）</t>
    <phoneticPr fontId="233" type="noConversion"/>
  </si>
  <si>
    <t>5329012014B02869</t>
    <phoneticPr fontId="233" type="noConversion"/>
  </si>
  <si>
    <t>CR53大理市海开2014012号</t>
    <phoneticPr fontId="233" type="noConversion"/>
  </si>
  <si>
    <t>多层</t>
    <phoneticPr fontId="233" type="noConversion"/>
  </si>
  <si>
    <t>大国用（2014）第03016号</t>
    <phoneticPr fontId="233" type="noConversion"/>
  </si>
  <si>
    <t>103-31-01-2</t>
    <phoneticPr fontId="233" type="noConversion"/>
  </si>
  <si>
    <t>38.25-29.25 38.00-29.25</t>
    <phoneticPr fontId="233" type="noConversion"/>
  </si>
  <si>
    <t>餐饮旅馆业</t>
    <phoneticPr fontId="233" type="noConversion"/>
  </si>
  <si>
    <t>商业2053年10月18日</t>
    <phoneticPr fontId="233" type="noConversion"/>
  </si>
  <si>
    <t>商业35.95年</t>
    <phoneticPr fontId="233" type="noConversion"/>
  </si>
  <si>
    <t>5329012013B01645</t>
    <phoneticPr fontId="233" type="noConversion"/>
  </si>
  <si>
    <t>CR53大理市海开201313号</t>
    <phoneticPr fontId="233" type="noConversion"/>
  </si>
  <si>
    <t>109-32-31-4</t>
    <phoneticPr fontId="233" type="noConversion"/>
  </si>
  <si>
    <t>38.75-29.75 38.75-29.50</t>
    <phoneticPr fontId="233" type="noConversion"/>
  </si>
  <si>
    <t>商业2053年11月18日</t>
    <phoneticPr fontId="233" type="noConversion"/>
  </si>
  <si>
    <t>商业36.03年</t>
    <phoneticPr fontId="233" type="noConversion"/>
  </si>
  <si>
    <t>5329012013B01860</t>
    <phoneticPr fontId="233" type="noConversion"/>
  </si>
  <si>
    <t>CR53大理市海开2013040号</t>
    <phoneticPr fontId="233" type="noConversion"/>
  </si>
  <si>
    <t>109-32-31-3</t>
    <phoneticPr fontId="233" type="noConversion"/>
  </si>
  <si>
    <t>5329012013B01850</t>
    <phoneticPr fontId="233" type="noConversion"/>
  </si>
  <si>
    <t>CR53大理市海开2013019号</t>
    <phoneticPr fontId="233" type="noConversion"/>
  </si>
  <si>
    <t>532901109-32-26-3</t>
    <phoneticPr fontId="233" type="noConversion"/>
  </si>
  <si>
    <t>38.75-29.75 39.00-29.75</t>
    <phoneticPr fontId="233" type="noConversion"/>
  </si>
  <si>
    <t>其他商服</t>
    <phoneticPr fontId="233" type="noConversion"/>
  </si>
  <si>
    <t>商业2054年8月5日</t>
    <phoneticPr fontId="233" type="noConversion"/>
  </si>
  <si>
    <t>商业36.75年</t>
    <phoneticPr fontId="233" type="noConversion"/>
  </si>
  <si>
    <t>5329012014B02885</t>
    <phoneticPr fontId="233" type="noConversion"/>
  </si>
  <si>
    <t>CR53大理市海开2014011号</t>
    <phoneticPr fontId="233" type="noConversion"/>
  </si>
  <si>
    <t>合计</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</si>
</sst>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7"/>
      <color rgb="FF000000"/>
      <name val="Arial"/>
      <family val="2"/>
    </font>
    <font>
      <sz val="7"/>
      <color rgb="FF000000"/>
      <name val="Lucida Sans Unicode"/>
      <family val="2"/>
    </font>
    <font>
      <sz val="10"/>
      <name val="宋体"/>
      <family val="3"/>
      <charset val="134"/>
      <scheme val="minor"/>
    </font>
    <font>
      <sz val="12"/>
      <color theme="1"/>
      <name val="微软雅黑"/>
      <family val="2"/>
      <charset val="134"/>
    </font>
    <font>
      <sz val="12"/>
      <color rgb="FF000000"/>
      <name val="微软雅黑"/>
      <family val="2"/>
      <charset val="134"/>
    </font>
    <font>
      <b/>
      <sz val="12"/>
      <color theme="1"/>
      <name val="微软雅黑"/>
      <family val="2"/>
      <charset val="134"/>
    </font>
    <font>
      <sz val="11"/>
      <color theme="9" tint="-0.249977111117893"/>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bgColor indexed="64"/>
      </patternFill>
    </fill>
    <fill>
      <patternFill patternType="solid">
        <fgColor rgb="FFE8F0F4"/>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EAE8E8"/>
        <bgColor indexed="64"/>
      </patternFill>
    </fill>
    <fill>
      <patternFill patternType="solid">
        <fgColor rgb="FFF1F1F1"/>
        <bgColor indexed="64"/>
      </patternFill>
    </fill>
    <fill>
      <patternFill patternType="solid">
        <fgColor theme="0" tint="-4.9989318521683403E-2"/>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63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64" fillId="16" borderId="2" xfId="0" applyFont="1" applyFill="1" applyBorder="1" applyAlignment="1">
      <alignment horizontal="center" vertical="center" wrapText="1"/>
    </xf>
    <xf numFmtId="0" fontId="164" fillId="0" borderId="2" xfId="0" applyFont="1" applyBorder="1" applyAlignment="1">
      <alignment horizontal="center" vertical="center" wrapText="1"/>
    </xf>
    <xf numFmtId="31" fontId="164" fillId="0" borderId="2" xfId="0" applyNumberFormat="1" applyFont="1" applyBorder="1" applyAlignment="1">
      <alignment horizontal="center" vertical="center" wrapText="1"/>
    </xf>
    <xf numFmtId="2" fontId="164" fillId="0" borderId="2" xfId="0" applyNumberFormat="1" applyFont="1" applyBorder="1" applyAlignment="1">
      <alignment horizontal="center" vertical="center" wrapText="1"/>
    </xf>
    <xf numFmtId="2" fontId="169" fillId="6" borderId="2" xfId="0" applyNumberFormat="1" applyFont="1" applyFill="1" applyBorder="1" applyAlignment="1">
      <alignment horizontal="center" vertical="center" wrapText="1"/>
    </xf>
    <xf numFmtId="0" fontId="279" fillId="17" borderId="152" xfId="0" applyFont="1" applyFill="1" applyBorder="1" applyAlignment="1">
      <alignment horizontal="center" vertical="center" wrapText="1" readingOrder="1"/>
    </xf>
    <xf numFmtId="0" fontId="278" fillId="17" borderId="152" xfId="0" applyFont="1" applyFill="1" applyBorder="1" applyAlignment="1">
      <alignment horizontal="center" vertical="center" wrapText="1" readingOrder="1"/>
    </xf>
    <xf numFmtId="0" fontId="145" fillId="0" borderId="0" xfId="0" applyFont="1" applyAlignment="1">
      <alignment vertical="center" wrapText="1"/>
    </xf>
    <xf numFmtId="0" fontId="279" fillId="17" borderId="153" xfId="0" applyFont="1" applyFill="1" applyBorder="1" applyAlignment="1">
      <alignment horizontal="center" vertical="center" wrapText="1" readingOrder="1"/>
    </xf>
    <xf numFmtId="2" fontId="280" fillId="0" borderId="2" xfId="0" applyNumberFormat="1" applyFont="1" applyBorder="1" applyAlignment="1">
      <alignment horizontal="center"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81" fillId="16" borderId="10" xfId="0" applyFont="1" applyFill="1" applyBorder="1" applyAlignment="1">
      <alignment horizontal="center" vertical="center" wrapText="1"/>
    </xf>
    <xf numFmtId="0" fontId="281" fillId="0" borderId="2" xfId="0" applyFont="1" applyBorder="1" applyAlignment="1">
      <alignment horizontal="center" vertical="center" wrapText="1"/>
    </xf>
    <xf numFmtId="0" fontId="281" fillId="18" borderId="2" xfId="0" applyFont="1" applyFill="1" applyBorder="1" applyAlignment="1">
      <alignment horizontal="center" vertical="center" wrapText="1"/>
    </xf>
    <xf numFmtId="31" fontId="281" fillId="18" borderId="2" xfId="0" applyNumberFormat="1" applyFont="1" applyFill="1" applyBorder="1" applyAlignment="1">
      <alignment horizontal="center" vertical="center" wrapText="1"/>
    </xf>
    <xf numFmtId="2" fontId="281" fillId="18" borderId="2" xfId="0" applyNumberFormat="1" applyFont="1" applyFill="1" applyBorder="1" applyAlignment="1">
      <alignment horizontal="center" vertical="center" wrapText="1"/>
    </xf>
    <xf numFmtId="0" fontId="282" fillId="19" borderId="2" xfId="0" applyFont="1" applyFill="1" applyBorder="1" applyAlignment="1">
      <alignment horizontal="center" vertical="center" wrapText="1"/>
    </xf>
    <xf numFmtId="0" fontId="281" fillId="19" borderId="2" xfId="0" applyFont="1" applyFill="1" applyBorder="1" applyAlignment="1">
      <alignment horizontal="center" vertical="center" wrapText="1"/>
    </xf>
    <xf numFmtId="9" fontId="281" fillId="19" borderId="2" xfId="0" applyNumberFormat="1" applyFont="1" applyFill="1" applyBorder="1" applyAlignment="1">
      <alignment horizontal="center" vertical="center" wrapText="1"/>
    </xf>
    <xf numFmtId="2" fontId="283" fillId="6" borderId="2" xfId="0" applyNumberFormat="1" applyFont="1" applyFill="1" applyBorder="1" applyAlignment="1">
      <alignment horizontal="center" vertical="center" wrapText="1"/>
    </xf>
    <xf numFmtId="0" fontId="281" fillId="0" borderId="0" xfId="0" applyFont="1" applyAlignment="1">
      <alignment vertical="center" wrapText="1"/>
    </xf>
    <xf numFmtId="0" fontId="180" fillId="0" borderId="0" xfId="0" applyFont="1" applyAlignment="1">
      <alignment vertical="center" wrapText="1"/>
    </xf>
    <xf numFmtId="0" fontId="0" fillId="20" borderId="0" xfId="0" applyFill="1" applyAlignment="1">
      <alignment vertical="center" wrapText="1"/>
    </xf>
    <xf numFmtId="0" fontId="0" fillId="21" borderId="0" xfId="0" applyFill="1" applyAlignment="1">
      <alignment vertical="center" wrapText="1"/>
    </xf>
    <xf numFmtId="0" fontId="0" fillId="22" borderId="0" xfId="0" applyFill="1" applyAlignment="1">
      <alignment vertical="center" wrapText="1"/>
    </xf>
    <xf numFmtId="0" fontId="0" fillId="22" borderId="0" xfId="0" applyFill="1" applyAlignment="1"/>
    <xf numFmtId="179" fontId="0" fillId="22" borderId="0" xfId="0" applyNumberFormat="1" applyFill="1" applyAlignment="1"/>
    <xf numFmtId="179" fontId="0" fillId="0" borderId="0" xfId="0" applyNumberForma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7" fontId="71"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76" fillId="5" borderId="61" xfId="0" applyFont="1" applyFill="1" applyBorder="1" applyAlignment="1" applyProtection="1">
      <alignment horizontal="center" vertical="center"/>
      <protection locked="0"/>
    </xf>
    <xf numFmtId="49" fontId="144" fillId="0" borderId="18" xfId="0" applyNumberFormat="1" applyFont="1" applyFill="1" applyBorder="1" applyAlignment="1" applyProtection="1">
      <alignment horizontal="center" vertical="center" wrapText="1"/>
      <protection locked="0"/>
    </xf>
    <xf numFmtId="181" fontId="88" fillId="5" borderId="8" xfId="0" applyNumberFormat="1" applyFont="1" applyFill="1" applyBorder="1" applyAlignment="1" applyProtection="1">
      <alignment horizontal="center" vertical="center"/>
      <protection locked="0"/>
    </xf>
    <xf numFmtId="0" fontId="76" fillId="5" borderId="26" xfId="0" applyFont="1" applyFill="1" applyBorder="1" applyAlignment="1" applyProtection="1">
      <alignment horizontal="center" vertical="center"/>
      <protection locked="0"/>
    </xf>
    <xf numFmtId="0" fontId="76" fillId="5" borderId="28" xfId="0" applyFont="1" applyFill="1" applyBorder="1" applyAlignment="1" applyProtection="1">
      <alignment horizontal="center" vertical="center"/>
    </xf>
    <xf numFmtId="0" fontId="76" fillId="5" borderId="39" xfId="0" applyFont="1" applyFill="1" applyBorder="1" applyAlignment="1" applyProtection="1">
      <alignment horizontal="center" vertical="center"/>
    </xf>
    <xf numFmtId="0" fontId="76" fillId="5" borderId="31" xfId="0" applyFont="1" applyFill="1" applyBorder="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0" fontId="76" fillId="5" borderId="65" xfId="0" applyFont="1" applyFill="1" applyBorder="1" applyAlignment="1" applyProtection="1">
      <alignment horizontal="center" vertical="center"/>
      <protection locked="0"/>
    </xf>
    <xf numFmtId="0" fontId="76" fillId="5" borderId="54" xfId="0" applyFont="1" applyFill="1" applyBorder="1" applyAlignment="1" applyProtection="1">
      <alignment horizontal="center" vertical="center"/>
      <protection locked="0"/>
    </xf>
    <xf numFmtId="0" fontId="76" fillId="5" borderId="66" xfId="0" applyFont="1" applyFill="1" applyBorder="1" applyAlignment="1" applyProtection="1">
      <alignment horizontal="center" vertical="center"/>
      <protection locked="0"/>
    </xf>
    <xf numFmtId="0" fontId="82" fillId="5" borderId="36" xfId="0" applyFont="1" applyFill="1" applyBorder="1" applyAlignment="1" applyProtection="1">
      <alignment horizontal="center" vertical="center"/>
      <protection locked="0"/>
    </xf>
    <xf numFmtId="179" fontId="76" fillId="5" borderId="37" xfId="0" applyNumberFormat="1" applyFont="1" applyFill="1" applyBorder="1" applyAlignment="1" applyProtection="1">
      <alignment horizontal="center" vertical="center"/>
      <protection locked="0"/>
    </xf>
    <xf numFmtId="179" fontId="76" fillId="5" borderId="38" xfId="0" applyNumberFormat="1" applyFont="1" applyFill="1" applyBorder="1" applyAlignment="1" applyProtection="1">
      <alignment horizontal="center" vertical="center"/>
      <protection locked="0"/>
    </xf>
    <xf numFmtId="0" fontId="76" fillId="5" borderId="28" xfId="0" applyFont="1" applyFill="1" applyBorder="1" applyAlignment="1" applyProtection="1">
      <alignment horizontal="center" vertical="center"/>
      <protection locked="0"/>
    </xf>
    <xf numFmtId="0" fontId="76" fillId="5" borderId="39" xfId="0" applyFont="1" applyFill="1" applyBorder="1" applyAlignment="1" applyProtection="1">
      <alignment horizontal="center" vertical="center"/>
      <protection locked="0"/>
    </xf>
    <xf numFmtId="0" fontId="76" fillId="5" borderId="54" xfId="0" applyFont="1" applyFill="1" applyBorder="1" applyProtection="1">
      <alignment vertical="center"/>
      <protection locked="0"/>
    </xf>
    <xf numFmtId="0" fontId="76" fillId="5" borderId="61" xfId="0" applyFont="1" applyFill="1" applyBorder="1" applyProtection="1">
      <alignment vertical="center"/>
      <protection locked="0"/>
    </xf>
    <xf numFmtId="0" fontId="76" fillId="5" borderId="38" xfId="0" applyFont="1" applyFill="1" applyBorder="1" applyAlignment="1" applyProtection="1">
      <alignment horizontal="center" vertical="center"/>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286" fillId="23" borderId="154" xfId="0" applyFont="1" applyFill="1" applyBorder="1" applyAlignment="1">
      <alignment horizontal="center"/>
    </xf>
    <xf numFmtId="0" fontId="286" fillId="23" borderId="155" xfId="0" applyFont="1" applyFill="1" applyBorder="1" applyAlignment="1">
      <alignment horizontal="center"/>
    </xf>
    <xf numFmtId="0" fontId="145" fillId="0" borderId="0" xfId="0" applyFont="1" applyAlignment="1">
      <alignment horizontal="left" vertical="center" wrapText="1"/>
    </xf>
    <xf numFmtId="0" fontId="0" fillId="0" borderId="156" xfId="0" applyBorder="1" applyAlignment="1">
      <alignment horizontal="right" vertical="center" wrapText="1"/>
    </xf>
    <xf numFmtId="0" fontId="145" fillId="0" borderId="156" xfId="0" applyFont="1" applyBorder="1" applyAlignment="1">
      <alignment horizontal="right" vertical="center" wrapText="1"/>
    </xf>
    <xf numFmtId="0" fontId="145" fillId="24" borderId="0" xfId="0" applyFont="1" applyFill="1" applyAlignment="1">
      <alignment horizontal="left" vertical="center" wrapText="1"/>
    </xf>
    <xf numFmtId="0" fontId="0" fillId="24" borderId="156" xfId="0" applyFill="1" applyBorder="1" applyAlignment="1">
      <alignment horizontal="right" vertical="center" wrapText="1"/>
    </xf>
    <xf numFmtId="0" fontId="145" fillId="24" borderId="156" xfId="0" applyFont="1" applyFill="1" applyBorder="1" applyAlignment="1">
      <alignment horizontal="right" vertical="center" wrapText="1"/>
    </xf>
    <xf numFmtId="0" fontId="287" fillId="13" borderId="0" xfId="0" applyFont="1" applyFill="1" applyAlignment="1">
      <alignment horizontal="left" vertical="center" wrapText="1"/>
    </xf>
    <xf numFmtId="0" fontId="287" fillId="13" borderId="156" xfId="0" applyFont="1" applyFill="1" applyBorder="1" applyAlignment="1">
      <alignment horizontal="right" vertical="center" wrapText="1"/>
    </xf>
    <xf numFmtId="49" fontId="144" fillId="0" borderId="24" xfId="0" applyNumberFormat="1" applyFont="1" applyFill="1" applyBorder="1" applyAlignment="1" applyProtection="1">
      <alignment horizontal="center" vertical="center" wrapText="1"/>
      <protection locked="0"/>
    </xf>
    <xf numFmtId="2" fontId="84" fillId="0" borderId="1" xfId="0" applyNumberFormat="1" applyFont="1" applyFill="1" applyBorder="1" applyAlignment="1" applyProtection="1">
      <alignment horizontal="center" vertical="center" wrapText="1"/>
      <protection locked="0"/>
    </xf>
    <xf numFmtId="0" fontId="71" fillId="0" borderId="43" xfId="0" applyNumberFormat="1" applyFont="1" applyFill="1" applyBorder="1" applyAlignment="1" applyProtection="1">
      <alignment horizontal="center" vertical="center" wrapText="1"/>
      <protection locked="0"/>
    </xf>
    <xf numFmtId="0" fontId="0" fillId="0" borderId="0" xfId="0" applyFill="1" applyAlignment="1"/>
    <xf numFmtId="179" fontId="0" fillId="0" borderId="0" xfId="0" applyNumberFormat="1" applyFill="1" applyAlignment="1"/>
    <xf numFmtId="0" fontId="0" fillId="0" borderId="0" xfId="0" applyFill="1">
      <alignment vertical="center"/>
    </xf>
    <xf numFmtId="0" fontId="145" fillId="22" borderId="0" xfId="0" applyFont="1" applyFill="1" applyAlignment="1"/>
    <xf numFmtId="0" fontId="0" fillId="22" borderId="0" xfId="0" applyFill="1">
      <alignment vertical="center"/>
    </xf>
    <xf numFmtId="0" fontId="84" fillId="2" borderId="19" xfId="0" applyNumberFormat="1" applyFont="1" applyFill="1" applyBorder="1" applyAlignment="1" applyProtection="1">
      <alignment horizontal="center" vertical="center" wrapText="1"/>
      <protection locked="0"/>
    </xf>
    <xf numFmtId="0" fontId="84" fillId="2" borderId="23" xfId="0" applyNumberFormat="1" applyFont="1" applyFill="1" applyBorder="1" applyAlignment="1" applyProtection="1">
      <alignment horizontal="center" vertical="center" wrapText="1"/>
      <protection locked="0"/>
    </xf>
    <xf numFmtId="0" fontId="84" fillId="5" borderId="69" xfId="0" applyNumberFormat="1" applyFont="1" applyFill="1" applyBorder="1" applyAlignment="1" applyProtection="1">
      <alignment horizontal="center" vertical="center" wrapText="1"/>
    </xf>
    <xf numFmtId="0" fontId="145" fillId="0" borderId="0" xfId="1" applyAlignment="1">
      <alignment vertical="center" wrapText="1"/>
    </xf>
    <xf numFmtId="0" fontId="283" fillId="16" borderId="44" xfId="1" applyFont="1" applyFill="1" applyBorder="1" applyAlignment="1">
      <alignment horizontal="center" vertical="center" wrapText="1"/>
    </xf>
    <xf numFmtId="0" fontId="281" fillId="0" borderId="6" xfId="1" applyFont="1" applyBorder="1" applyAlignment="1">
      <alignment horizontal="center" vertical="center" wrapText="1"/>
    </xf>
    <xf numFmtId="0" fontId="281" fillId="18" borderId="42" xfId="1" applyFont="1" applyFill="1" applyBorder="1" applyAlignment="1">
      <alignment horizontal="center" vertical="center" wrapText="1"/>
    </xf>
    <xf numFmtId="0" fontId="281" fillId="18" borderId="6" xfId="1" applyFont="1" applyFill="1" applyBorder="1" applyAlignment="1">
      <alignment horizontal="center" vertical="center" wrapText="1"/>
    </xf>
    <xf numFmtId="0" fontId="281" fillId="18" borderId="6" xfId="1" applyNumberFormat="1" applyFont="1" applyFill="1" applyBorder="1" applyAlignment="1">
      <alignment horizontal="center" vertical="center" wrapText="1"/>
    </xf>
    <xf numFmtId="0" fontId="281" fillId="18" borderId="27" xfId="1" applyNumberFormat="1" applyFont="1" applyFill="1" applyBorder="1" applyAlignment="1">
      <alignment horizontal="center" vertical="center" wrapText="1"/>
    </xf>
    <xf numFmtId="2" fontId="281" fillId="18" borderId="6" xfId="1" applyNumberFormat="1" applyFont="1" applyFill="1" applyBorder="1" applyAlignment="1">
      <alignment horizontal="center" vertical="center" wrapText="1"/>
    </xf>
    <xf numFmtId="2" fontId="281" fillId="19" borderId="6" xfId="1" applyNumberFormat="1" applyFont="1" applyFill="1" applyBorder="1" applyAlignment="1">
      <alignment horizontal="center" vertical="center" wrapText="1"/>
    </xf>
    <xf numFmtId="0" fontId="281" fillId="19" borderId="6" xfId="1" applyNumberFormat="1" applyFont="1" applyFill="1" applyBorder="1" applyAlignment="1">
      <alignment horizontal="center" vertical="center" wrapText="1"/>
    </xf>
    <xf numFmtId="0" fontId="282" fillId="19" borderId="6" xfId="1" applyFont="1" applyFill="1" applyBorder="1" applyAlignment="1">
      <alignment horizontal="center" vertical="center" wrapText="1"/>
    </xf>
    <xf numFmtId="0" fontId="281" fillId="19" borderId="6" xfId="1" applyFont="1" applyFill="1" applyBorder="1" applyAlignment="1">
      <alignment horizontal="center" vertical="center" wrapText="1"/>
    </xf>
    <xf numFmtId="9" fontId="281" fillId="19" borderId="6" xfId="1" applyNumberFormat="1" applyFont="1" applyFill="1" applyBorder="1" applyAlignment="1">
      <alignment horizontal="center" vertical="center" wrapText="1"/>
    </xf>
    <xf numFmtId="0" fontId="145" fillId="25" borderId="6" xfId="1" applyFill="1" applyBorder="1" applyAlignment="1">
      <alignment horizontal="center" vertical="center" wrapText="1"/>
    </xf>
    <xf numFmtId="0" fontId="145" fillId="25" borderId="6" xfId="1" applyFont="1" applyFill="1" applyBorder="1" applyAlignment="1">
      <alignment horizontal="center" vertical="center" wrapText="1"/>
    </xf>
    <xf numFmtId="0" fontId="145" fillId="0" borderId="28" xfId="1" applyBorder="1" applyAlignment="1">
      <alignment horizontal="center" vertical="center" wrapText="1"/>
    </xf>
    <xf numFmtId="0" fontId="145" fillId="0" borderId="39" xfId="1" applyBorder="1" applyAlignment="1">
      <alignment horizontal="center" vertical="center" wrapText="1"/>
    </xf>
    <xf numFmtId="0" fontId="281" fillId="0" borderId="2" xfId="1" applyFont="1" applyBorder="1" applyAlignment="1">
      <alignment horizontal="center" vertical="center" wrapText="1"/>
    </xf>
    <xf numFmtId="0" fontId="281" fillId="18" borderId="9" xfId="1" applyFont="1" applyFill="1" applyBorder="1" applyAlignment="1">
      <alignment horizontal="center" vertical="center" wrapText="1"/>
    </xf>
    <xf numFmtId="0" fontId="281" fillId="18" borderId="2" xfId="1" applyFont="1" applyFill="1" applyBorder="1" applyAlignment="1">
      <alignment horizontal="center" vertical="center" wrapText="1"/>
    </xf>
    <xf numFmtId="0" fontId="281" fillId="18" borderId="2" xfId="1" applyNumberFormat="1" applyFont="1" applyFill="1" applyBorder="1" applyAlignment="1">
      <alignment horizontal="center" vertical="center" wrapText="1"/>
    </xf>
    <xf numFmtId="2" fontId="281" fillId="18" borderId="2" xfId="1" applyNumberFormat="1" applyFont="1" applyFill="1" applyBorder="1" applyAlignment="1">
      <alignment horizontal="center" vertical="center" wrapText="1"/>
    </xf>
    <xf numFmtId="2" fontId="281" fillId="19" borderId="2" xfId="1" applyNumberFormat="1" applyFont="1" applyFill="1" applyBorder="1" applyAlignment="1">
      <alignment horizontal="center" vertical="center" wrapText="1"/>
    </xf>
    <xf numFmtId="0" fontId="281" fillId="19" borderId="2" xfId="1" applyNumberFormat="1" applyFont="1" applyFill="1" applyBorder="1" applyAlignment="1">
      <alignment horizontal="center" vertical="center" wrapText="1"/>
    </xf>
    <xf numFmtId="0" fontId="282" fillId="19" borderId="2" xfId="1" applyFont="1" applyFill="1" applyBorder="1" applyAlignment="1">
      <alignment horizontal="center" vertical="center" wrapText="1"/>
    </xf>
    <xf numFmtId="0" fontId="281" fillId="19" borderId="2" xfId="1" applyFont="1" applyFill="1" applyBorder="1" applyAlignment="1">
      <alignment horizontal="center" vertical="center" wrapText="1"/>
    </xf>
    <xf numFmtId="9" fontId="281" fillId="19" borderId="2" xfId="1" applyNumberFormat="1" applyFont="1" applyFill="1" applyBorder="1" applyAlignment="1">
      <alignment horizontal="center" vertical="center" wrapText="1"/>
    </xf>
    <xf numFmtId="0" fontId="145" fillId="25" borderId="2" xfId="1" applyFill="1" applyBorder="1" applyAlignment="1">
      <alignment horizontal="center" vertical="center" wrapText="1"/>
    </xf>
    <xf numFmtId="0" fontId="145" fillId="25" borderId="2" xfId="1" applyFont="1" applyFill="1" applyBorder="1" applyAlignment="1">
      <alignment horizontal="center" vertical="center" wrapText="1"/>
    </xf>
    <xf numFmtId="0" fontId="145" fillId="0" borderId="0" xfId="1" applyBorder="1" applyAlignment="1">
      <alignment horizontal="center" vertical="center" wrapText="1"/>
    </xf>
    <xf numFmtId="0" fontId="145" fillId="0" borderId="65" xfId="1" applyBorder="1" applyAlignment="1">
      <alignment horizontal="center" vertical="center" wrapText="1"/>
    </xf>
    <xf numFmtId="0" fontId="283" fillId="6" borderId="44" xfId="1" applyFont="1" applyFill="1" applyBorder="1" applyAlignment="1">
      <alignment horizontal="center" vertical="center" wrapText="1"/>
    </xf>
    <xf numFmtId="0" fontId="283" fillId="6" borderId="61" xfId="1" applyFont="1" applyFill="1" applyBorder="1" applyAlignment="1">
      <alignment vertical="center" wrapText="1"/>
    </xf>
    <xf numFmtId="2" fontId="283" fillId="6" borderId="61" xfId="1" applyNumberFormat="1" applyFont="1" applyFill="1" applyBorder="1" applyAlignment="1">
      <alignment horizontal="center" vertical="center" wrapText="1"/>
    </xf>
    <xf numFmtId="0" fontId="283" fillId="6" borderId="61" xfId="1" applyNumberFormat="1" applyFont="1" applyFill="1" applyBorder="1" applyAlignment="1">
      <alignment vertical="center" wrapText="1"/>
    </xf>
    <xf numFmtId="0" fontId="283" fillId="6" borderId="61" xfId="1" applyFont="1" applyFill="1" applyBorder="1" applyAlignment="1">
      <alignment horizontal="center" vertical="center" wrapText="1"/>
    </xf>
    <xf numFmtId="0" fontId="186" fillId="6" borderId="61" xfId="1" applyFont="1" applyFill="1" applyBorder="1" applyAlignment="1">
      <alignment vertical="center" wrapText="1"/>
    </xf>
    <xf numFmtId="0" fontId="146" fillId="6" borderId="61" xfId="1" applyFont="1" applyFill="1" applyBorder="1" applyAlignment="1">
      <alignment horizontal="center" vertical="center" wrapText="1"/>
    </xf>
    <xf numFmtId="0" fontId="146" fillId="6" borderId="66" xfId="1" applyFont="1" applyFill="1" applyBorder="1" applyAlignment="1">
      <alignment horizontal="center" vertical="center" wrapText="1"/>
    </xf>
    <xf numFmtId="0" fontId="146" fillId="6" borderId="0" xfId="1" applyFont="1" applyFill="1" applyAlignment="1">
      <alignment vertical="center" wrapText="1"/>
    </xf>
    <xf numFmtId="31" fontId="281" fillId="18" borderId="6" xfId="1" applyNumberFormat="1" applyFont="1" applyFill="1" applyBorder="1" applyAlignment="1">
      <alignment horizontal="center" vertical="center" wrapText="1"/>
    </xf>
    <xf numFmtId="31" fontId="281" fillId="18" borderId="2" xfId="1" applyNumberFormat="1" applyFont="1" applyFill="1" applyBorder="1" applyAlignment="1">
      <alignment horizontal="center" vertical="center" wrapText="1"/>
    </xf>
    <xf numFmtId="31" fontId="281" fillId="18" borderId="27" xfId="1" applyNumberFormat="1" applyFont="1" applyFill="1" applyBorder="1" applyAlignment="1">
      <alignment horizontal="center" vertical="center" wrapText="1"/>
    </xf>
    <xf numFmtId="0" fontId="145" fillId="25" borderId="28" xfId="1" applyFill="1" applyBorder="1" applyAlignment="1">
      <alignment horizontal="center" vertical="center" wrapText="1"/>
    </xf>
    <xf numFmtId="0" fontId="145" fillId="25" borderId="28" xfId="1" applyFont="1" applyFill="1" applyBorder="1" applyAlignment="1">
      <alignment horizontal="center" vertical="center" wrapText="1"/>
    </xf>
    <xf numFmtId="0" fontId="145" fillId="25" borderId="0" xfId="1" applyFill="1" applyBorder="1" applyAlignment="1">
      <alignment horizontal="center" vertical="center" wrapText="1"/>
    </xf>
    <xf numFmtId="31" fontId="281" fillId="18" borderId="21" xfId="1" applyNumberFormat="1" applyFont="1" applyFill="1" applyBorder="1" applyAlignment="1">
      <alignment horizontal="center" vertical="center" wrapText="1"/>
    </xf>
    <xf numFmtId="0" fontId="283" fillId="6" borderId="37" xfId="1" applyFont="1" applyFill="1" applyBorder="1" applyAlignment="1">
      <alignment vertical="center" wrapText="1"/>
    </xf>
    <xf numFmtId="179" fontId="283" fillId="6" borderId="37" xfId="1" applyNumberFormat="1" applyFont="1" applyFill="1" applyBorder="1" applyAlignment="1">
      <alignment horizontal="center" vertical="center" wrapText="1"/>
    </xf>
    <xf numFmtId="0" fontId="283" fillId="6" borderId="37" xfId="1" applyNumberFormat="1" applyFont="1" applyFill="1" applyBorder="1" applyAlignment="1">
      <alignment vertical="center" wrapText="1"/>
    </xf>
    <xf numFmtId="0" fontId="283" fillId="6" borderId="37" xfId="1" applyFont="1" applyFill="1" applyBorder="1" applyAlignment="1">
      <alignment horizontal="center" vertical="center" wrapText="1"/>
    </xf>
    <xf numFmtId="0" fontId="186" fillId="6" borderId="37" xfId="1" applyFont="1" applyFill="1" applyBorder="1" applyAlignment="1">
      <alignment vertical="center" wrapText="1"/>
    </xf>
    <xf numFmtId="0" fontId="146" fillId="6" borderId="37" xfId="1" applyFont="1" applyFill="1" applyBorder="1" applyAlignment="1">
      <alignment horizontal="center" vertical="center" wrapText="1"/>
    </xf>
    <xf numFmtId="0" fontId="146" fillId="6" borderId="38" xfId="1" applyFont="1" applyFill="1" applyBorder="1" applyAlignment="1">
      <alignment horizontal="center" vertical="center" wrapText="1"/>
    </xf>
    <xf numFmtId="0" fontId="281" fillId="0" borderId="0" xfId="1" applyFont="1" applyAlignment="1">
      <alignment vertical="center" wrapText="1"/>
    </xf>
    <xf numFmtId="0" fontId="281" fillId="0" borderId="0" xfId="1" applyNumberFormat="1" applyFont="1" applyAlignment="1">
      <alignment vertical="center" wrapText="1"/>
    </xf>
    <xf numFmtId="0" fontId="180" fillId="0" borderId="0" xfId="1" applyFont="1" applyAlignment="1">
      <alignment vertical="center" wrapText="1"/>
    </xf>
    <xf numFmtId="0" fontId="281" fillId="6" borderId="0" xfId="1" applyFont="1" applyFill="1" applyAlignment="1">
      <alignment vertical="center" wrapText="1"/>
    </xf>
    <xf numFmtId="0" fontId="263" fillId="7" borderId="10" xfId="14" applyFont="1" applyFill="1" applyBorder="1" applyAlignment="1">
      <alignment horizontal="center"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3" fillId="16" borderId="6" xfId="1" applyFont="1" applyFill="1" applyBorder="1" applyAlignment="1">
      <alignment horizontal="center" vertical="center" wrapText="1"/>
    </xf>
    <xf numFmtId="0" fontId="283" fillId="16" borderId="44" xfId="1" applyFont="1" applyFill="1" applyBorder="1" applyAlignment="1">
      <alignment horizontal="center" vertical="center" wrapText="1"/>
    </xf>
    <xf numFmtId="0" fontId="146" fillId="16" borderId="1" xfId="1" applyFont="1" applyFill="1" applyBorder="1" applyAlignment="1">
      <alignment horizontal="center" vertical="center" wrapText="1"/>
    </xf>
    <xf numFmtId="0" fontId="146" fillId="16" borderId="43" xfId="1" applyFont="1" applyFill="1" applyBorder="1" applyAlignment="1">
      <alignment horizontal="center" vertical="center" wrapText="1"/>
    </xf>
    <xf numFmtId="0" fontId="283" fillId="16" borderId="42" xfId="1" applyFont="1" applyFill="1" applyBorder="1" applyAlignment="1">
      <alignment horizontal="center" vertical="center" wrapText="1"/>
    </xf>
    <xf numFmtId="0" fontId="283" fillId="16" borderId="47" xfId="1" applyFont="1" applyFill="1" applyBorder="1" applyAlignment="1">
      <alignment horizontal="center" vertical="center" wrapText="1"/>
    </xf>
    <xf numFmtId="0" fontId="283" fillId="16" borderId="27" xfId="1" applyFont="1" applyFill="1" applyBorder="1" applyAlignment="1">
      <alignment horizontal="center" vertical="center" wrapText="1"/>
    </xf>
    <xf numFmtId="0" fontId="283" fillId="16" borderId="55" xfId="1" applyFont="1" applyFill="1" applyBorder="1" applyAlignment="1">
      <alignment horizontal="center" vertical="center" wrapText="1"/>
    </xf>
    <xf numFmtId="0" fontId="283" fillId="16" borderId="27" xfId="1" applyNumberFormat="1" applyFont="1" applyFill="1" applyBorder="1" applyAlignment="1">
      <alignment horizontal="center" vertical="center" wrapText="1"/>
    </xf>
    <xf numFmtId="0" fontId="283" fillId="16" borderId="55" xfId="1" applyNumberFormat="1" applyFont="1" applyFill="1" applyBorder="1" applyAlignment="1">
      <alignment horizontal="center" vertical="center" wrapText="1"/>
    </xf>
    <xf numFmtId="0" fontId="146" fillId="16" borderId="7" xfId="1" applyFont="1" applyFill="1" applyBorder="1" applyAlignment="1">
      <alignment horizontal="center" vertical="center" wrapText="1"/>
    </xf>
    <xf numFmtId="0" fontId="146" fillId="16" borderId="46" xfId="1" applyFont="1" applyFill="1" applyBorder="1" applyAlignment="1">
      <alignment horizontal="center" vertical="center" wrapText="1"/>
    </xf>
    <xf numFmtId="0" fontId="283" fillId="16" borderId="40" xfId="1" applyFont="1" applyFill="1" applyBorder="1" applyAlignment="1">
      <alignment horizontal="center" vertical="center" wrapText="1"/>
    </xf>
    <xf numFmtId="0" fontId="283" fillId="16" borderId="58" xfId="1" applyFont="1" applyFill="1" applyBorder="1" applyAlignment="1">
      <alignment horizontal="center" vertical="center" wrapText="1"/>
    </xf>
    <xf numFmtId="0" fontId="283" fillId="16" borderId="68" xfId="1" applyFont="1" applyFill="1" applyBorder="1" applyAlignment="1">
      <alignment horizontal="center" vertical="center" wrapText="1"/>
    </xf>
    <xf numFmtId="0" fontId="283" fillId="16" borderId="67" xfId="1" applyFont="1" applyFill="1" applyBorder="1" applyAlignment="1">
      <alignment horizontal="center" vertical="center" wrapText="1"/>
    </xf>
    <xf numFmtId="0" fontId="146" fillId="16" borderId="6" xfId="1" applyFont="1" applyFill="1" applyBorder="1" applyAlignment="1">
      <alignment horizontal="center" vertical="center" wrapText="1"/>
    </xf>
    <xf numFmtId="0" fontId="146" fillId="16" borderId="44" xfId="1" applyFont="1" applyFill="1" applyBorder="1" applyAlignment="1">
      <alignment horizontal="center" vertical="center" wrapText="1"/>
    </xf>
    <xf numFmtId="0" fontId="145" fillId="0" borderId="1" xfId="1" applyBorder="1" applyAlignment="1">
      <alignment horizontal="center" vertical="center" wrapText="1"/>
    </xf>
    <xf numFmtId="0" fontId="145" fillId="0" borderId="11" xfId="1" applyBorder="1" applyAlignment="1">
      <alignment horizontal="center" vertical="center" wrapText="1"/>
    </xf>
    <xf numFmtId="0" fontId="145" fillId="0" borderId="43" xfId="1" applyBorder="1" applyAlignment="1">
      <alignment horizontal="center" vertical="center" wrapText="1"/>
    </xf>
    <xf numFmtId="0" fontId="146" fillId="6" borderId="33" xfId="1" applyFont="1" applyFill="1" applyBorder="1" applyAlignment="1">
      <alignment horizontal="center" vertical="center" wrapText="1"/>
    </xf>
    <xf numFmtId="0" fontId="146" fillId="6" borderId="83" xfId="1"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9" fillId="6" borderId="5" xfId="0" applyFont="1" applyFill="1" applyBorder="1" applyAlignment="1">
      <alignment horizontal="center" vertical="center" wrapText="1"/>
    </xf>
    <xf numFmtId="0" fontId="169" fillId="6" borderId="8" xfId="0" applyFont="1" applyFill="1" applyBorder="1" applyAlignment="1">
      <alignment horizontal="center" vertical="center" wrapText="1"/>
    </xf>
    <xf numFmtId="0" fontId="169" fillId="6" borderId="9" xfId="0" applyFont="1" applyFill="1" applyBorder="1" applyAlignment="1">
      <alignment horizontal="center" vertical="center" wrapText="1"/>
    </xf>
    <xf numFmtId="0" fontId="281" fillId="16" borderId="2" xfId="0" applyFont="1" applyFill="1" applyBorder="1" applyAlignment="1">
      <alignment horizontal="center" vertical="center" wrapText="1"/>
    </xf>
    <xf numFmtId="0" fontId="283" fillId="6" borderId="2" xfId="0" applyFont="1" applyFill="1" applyBorder="1" applyAlignment="1">
      <alignment horizontal="center" vertical="center" wrapText="1"/>
    </xf>
    <xf numFmtId="0" fontId="281" fillId="16" borderId="10"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5" fillId="0" borderId="0" xfId="0" applyFont="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2823;&#29702;&#21830;&#19994;&#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719;&#24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65288;&#22823;&#29702;&#32852;&#25490;&#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03;&#22320;&#65288;&#22823;&#29702;&#23567;&#39640;&#23618;&#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719;&#24635;&#18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面积统计表"/>
      <sheetName val="数据-基础表"/>
      <sheetName val="住宅土地明细 (2)"/>
      <sheetName val="数据-汇总表"/>
      <sheetName val="数据-取费表"/>
      <sheetName val="估价对象房地状况"/>
      <sheetName val="工业土地明细 "/>
      <sheetName val="住宅土地明细"/>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土地案例"/>
      <sheetName val="剩余法-待开发"/>
      <sheetName val="不动产收益法"/>
      <sheetName val="酒店收入计算"/>
      <sheetName val="成本逼近法"/>
      <sheetName val="不动产比较法-小高层"/>
      <sheetName val="不动产比较法-多层"/>
      <sheetName val="不动产比较法-联排"/>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高层</v>
          </cell>
          <cell r="B28" t="str">
            <v>*</v>
          </cell>
        </row>
        <row r="29">
          <cell r="A29" t="str">
            <v>多层</v>
          </cell>
          <cell r="B29" t="str">
            <v>*</v>
          </cell>
        </row>
        <row r="30">
          <cell r="A30" t="str">
            <v>小高层</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sheetData sheetId="14">
        <row r="17">
          <cell r="C17" t="str">
            <v>项目类型</v>
          </cell>
        </row>
        <row r="19">
          <cell r="C19" t="str">
            <v>联排</v>
          </cell>
        </row>
        <row r="20">
          <cell r="C20" t="str">
            <v>多层</v>
          </cell>
        </row>
        <row r="21">
          <cell r="C21" t="str">
            <v>小高层</v>
          </cell>
        </row>
        <row r="22">
          <cell r="C22" t="str">
            <v>商业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row r="17">
          <cell r="M17">
            <v>6952</v>
          </cell>
        </row>
      </sheetData>
      <sheetData sheetId="21"/>
      <sheetData sheetId="22">
        <row r="75">
          <cell r="A75" t="str">
            <v>交易情况</v>
          </cell>
          <cell r="C75" t="str">
            <v>正常</v>
          </cell>
        </row>
        <row r="77">
          <cell r="B77" t="str">
            <v>用途</v>
          </cell>
          <cell r="C77" t="str">
            <v>商业</v>
          </cell>
        </row>
        <row r="108">
          <cell r="B108" t="str">
            <v>毗邻道路的类型与等级</v>
          </cell>
          <cell r="C108" t="str">
            <v>快速路</v>
          </cell>
          <cell r="D108" t="str">
            <v>主干道</v>
          </cell>
          <cell r="E108" t="str">
            <v>次干道</v>
          </cell>
          <cell r="F108" t="str">
            <v>支路</v>
          </cell>
        </row>
        <row r="110">
          <cell r="B110" t="str">
            <v>土地级别</v>
          </cell>
        </row>
        <row r="121">
          <cell r="B121" t="str">
            <v>宗地形状</v>
          </cell>
          <cell r="C121" t="str">
            <v>较规则</v>
          </cell>
        </row>
        <row r="123">
          <cell r="B123" t="str">
            <v>临街宽度及深度</v>
          </cell>
        </row>
        <row r="125">
          <cell r="B125" t="str">
            <v>宗地开发程度</v>
          </cell>
          <cell r="C125" t="str">
            <v>六通一平</v>
          </cell>
        </row>
        <row r="127">
          <cell r="B127" t="str">
            <v>工程地质条件</v>
          </cell>
          <cell r="C127" t="str">
            <v>较好</v>
          </cell>
        </row>
      </sheetData>
      <sheetData sheetId="23">
        <row r="72">
          <cell r="B72" t="str">
            <v>用途</v>
          </cell>
        </row>
        <row r="101">
          <cell r="B101" t="str">
            <v>土地级别</v>
          </cell>
        </row>
      </sheetData>
      <sheetData sheetId="24"/>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住宅土地明细"/>
      <sheetName val="工业土地明细 "/>
      <sheetName val="投资情况表"/>
      <sheetName val="结果汇总"/>
    </sheetNames>
    <sheetDataSet>
      <sheetData sheetId="0">
        <row r="3">
          <cell r="F3" t="str">
            <v>大理创意园区开发有限公司</v>
          </cell>
        </row>
      </sheetData>
      <sheetData sheetId="1">
        <row r="9">
          <cell r="J9">
            <v>188669.69</v>
          </cell>
        </row>
      </sheetData>
      <sheetData sheetId="2">
        <row r="11">
          <cell r="D11">
            <v>49980.91</v>
          </cell>
        </row>
        <row r="12">
          <cell r="C12">
            <v>39886.33</v>
          </cell>
          <cell r="D12">
            <v>75761.22</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面积统计表"/>
      <sheetName val="数据-基础表"/>
      <sheetName val="住宅土地明细 (2)"/>
      <sheetName val="数据-汇总表"/>
      <sheetName val="数据-取费表"/>
      <sheetName val="估价对象房地状况"/>
      <sheetName val="工业土地明细 "/>
      <sheetName val="住宅土地明细"/>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土地案例"/>
      <sheetName val="剩余法-待开发"/>
      <sheetName val="不动产收益法"/>
      <sheetName val="酒店收入计算"/>
      <sheetName val="成本逼近法"/>
      <sheetName val="不动产比较法-小高层"/>
      <sheetName val="不动产比较法-多层"/>
      <sheetName val="不动产比较法-联排"/>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7">
          <cell r="M17">
            <v>97687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面积统计表"/>
      <sheetName val="数据-基础表"/>
      <sheetName val="住宅土地明细 (2)"/>
      <sheetName val="数据-汇总表"/>
      <sheetName val="数据-取费表"/>
      <sheetName val="估价对象房地状况"/>
      <sheetName val="工业土地明细 "/>
      <sheetName val="住宅土地明细"/>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土地案例"/>
      <sheetName val="剩余法-待开发"/>
      <sheetName val="不动产收益法"/>
      <sheetName val="酒店收入计算"/>
      <sheetName val="成本逼近法"/>
      <sheetName val="不动产比较法-小高层"/>
      <sheetName val="不动产比较法-多层"/>
      <sheetName val="不动产比较法-联排"/>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7">
          <cell r="M17">
            <v>32801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地明细"/>
      <sheetName val="工业土地明细 "/>
      <sheetName val="本次评估对象"/>
      <sheetName val="投资情况表"/>
      <sheetName val="租金"/>
      <sheetName val="结果汇总"/>
    </sheetNames>
    <sheetDataSet>
      <sheetData sheetId="0" refreshError="1"/>
      <sheetData sheetId="1" refreshError="1"/>
      <sheetData sheetId="2">
        <row r="7">
          <cell r="AF7">
            <v>5095</v>
          </cell>
        </row>
        <row r="22">
          <cell r="AF22">
            <v>4073</v>
          </cell>
          <cell r="AH22">
            <v>1441</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2659</v>
      </c>
      <c r="B1" s="2918" t="s">
        <v>2756</v>
      </c>
    </row>
    <row r="2" spans="1:55" s="2922" customFormat="1" ht="15" thickTop="1">
      <c r="A2" s="2920" t="s">
        <v>2663</v>
      </c>
      <c r="B2" s="2921" t="str">
        <f>'预评函-封皮'!B37</f>
        <v>出让国有建设用地使用权抵押价格预评估</v>
      </c>
      <c r="AX2" s="2923"/>
      <c r="AZ2" s="2923"/>
      <c r="BA2" s="2924"/>
      <c r="BC2" s="2924"/>
    </row>
    <row r="3" spans="1:55" s="2925" customFormat="1">
      <c r="A3" s="2904" t="s">
        <v>2664</v>
      </c>
      <c r="B3" s="2907">
        <f>'预评函-封皮'!B40</f>
        <v>0</v>
      </c>
    </row>
    <row r="4" spans="1:55" s="2906" customFormat="1">
      <c r="A4" s="2904" t="s">
        <v>2665</v>
      </c>
      <c r="B4" s="2905" t="str">
        <f>'预评函-封皮'!B46</f>
        <v>王鹏、郑燚、郑燚、王鹏</v>
      </c>
      <c r="N4" s="2906" t="str">
        <f>'预评函-1'!A28</f>
        <v/>
      </c>
    </row>
    <row r="5" spans="1:55" s="2919" customFormat="1" ht="15" thickBot="1">
      <c r="A5" s="2926" t="s">
        <v>2666</v>
      </c>
      <c r="B5" s="2927" t="str">
        <f>'预评函-封皮'!B49</f>
        <v>康正预评字号</v>
      </c>
    </row>
    <row r="6" spans="1:55" s="2928" customFormat="1" ht="15" thickTop="1">
      <c r="A6" s="2920" t="s">
        <v>2708</v>
      </c>
      <c r="B6" s="2921" t="str">
        <f>'预评函-1'!A4</f>
        <v>受贵公司委托，我公司对出让国有建设用地使用权抵押价格进行了预评估。</v>
      </c>
      <c r="AM6" s="2929"/>
    </row>
    <row r="7" spans="1:55" s="2903" customFormat="1">
      <c r="A7" s="2904" t="s">
        <v>2660</v>
      </c>
      <c r="B7" s="2905" t="str">
        <f>'预评函-1'!A6</f>
        <v>估价对象为使用的、位于出让国有建设用地使用权。根据《国有土地使用证》[]，估价对象（分摊）出让国有建设用地使用权面积为76242平方米。根据《建设工程规划许可证》[]、《出让合同》[]，估价对象规划建筑面积为114363平方米。</v>
      </c>
    </row>
    <row r="8" spans="1:55" s="2903" customFormat="1">
      <c r="A8" s="2904" t="s">
        <v>2661</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2711</v>
      </c>
      <c r="B9" s="2905" t="str">
        <f>'预评函-1'!A9</f>
        <v>委托估价方在向金融机构（中诚信托有限公司）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2662</v>
      </c>
      <c r="B10" s="2905" t="str">
        <f>'预评函-1'!A11</f>
        <v>2017年11月13日（评估专业人员勘察现场之日）</v>
      </c>
    </row>
    <row r="11" spans="1:55" s="2903" customFormat="1">
      <c r="A11" s="2904" t="s">
        <v>2668</v>
      </c>
      <c r="B11" s="2905" t="str">
        <f>'预评函-1'!A14</f>
        <v>根据《国有土地使用证》[]，本次评估估价对象证载（地类）用途为。</v>
      </c>
    </row>
    <row r="12" spans="1:55" s="2903" customFormat="1">
      <c r="A12" s="2904" t="s">
        <v>2669</v>
      </c>
      <c r="B12" s="2905" t="str">
        <f>'预评函-1'!A15</f>
        <v>本次评估设定用途即为证载用途。</v>
      </c>
    </row>
    <row r="13" spans="1:55" s="2903" customFormat="1">
      <c r="A13" s="2904" t="s">
        <v>2670</v>
      </c>
      <c r="B13" s="2905" t="str">
        <f>'预评函-1'!A17</f>
        <v>根据委托估价方介绍及评估专业人员现场勘查，本次评估估价对象实际土地开发程度为红线外市政基础设施达“七通”（即、、、、、、）、宗地红线内场地平整。</v>
      </c>
    </row>
    <row r="14" spans="1:55" s="2903" customFormat="1">
      <c r="A14" s="2904" t="s">
        <v>2671</v>
      </c>
      <c r="B14" s="2905" t="str">
        <f>'预评函-1'!A18</f>
        <v>。本次评估设定土地开发程度为红线外市政基础设施达“七通”、宗地红线内场地平整。</v>
      </c>
    </row>
    <row r="15" spans="1:55" s="2903" customFormat="1">
      <c r="A15" s="2904" t="s">
        <v>2667</v>
      </c>
      <c r="B15" s="2905" t="str">
        <f>'预评函-1'!A20</f>
        <v>根据《国有土地使用证》[]，估价对象（分摊）出让国有建设用地使用权面积为76242平方米。根据《建设工程规划许可证》[]、《出让合同》[]，估价对象规划建筑面积为114363平方米。</v>
      </c>
    </row>
    <row r="16" spans="1:55" s="2903" customFormat="1">
      <c r="A16" s="2904" t="s">
        <v>2672</v>
      </c>
      <c r="B16" s="2905" t="str">
        <f>'预评函-1'!A22</f>
        <v>本次估价对象为出让国有建设用地使用权，《国有土地使用证》[]证载土地终止日期为住宅2083年10月18日、商业2053年10月18日。截至估价期日，出让国有建设用地使用权剩余土地使用年限为。</v>
      </c>
    </row>
    <row r="17" spans="1:48" s="2903" customFormat="1">
      <c r="A17" s="2904" t="s">
        <v>2673</v>
      </c>
      <c r="B17" s="2905" t="str">
        <f>'预评函-1'!A23</f>
        <v>本次评估设定估价对象剩余土地使用年限为。</v>
      </c>
    </row>
    <row r="18" spans="1:48" s="2903" customFormat="1">
      <c r="A18" s="2904" t="s">
        <v>2674</v>
      </c>
      <c r="B18" s="2905" t="str">
        <f>'预评函-1'!A25</f>
        <v>本次估价的“出让国有建设用地使用权价格”是指在估价对象土地所有权为国家所有，使用权性质为出让，在公开市场条件下、于估价期日2017年11月13日，在规划利用条件下、设定土地开发程度为红线外“七通”、宗地内场地，设定用途为，剩余土地使用年限为的出让国有建设用地使用权价格。</v>
      </c>
    </row>
    <row r="19" spans="1:48" s="2903" customFormat="1">
      <c r="A19" s="2904" t="s">
        <v>2675</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2676</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2677</v>
      </c>
      <c r="B21" s="2927" t="str">
        <f>'预评函-1'!A28</f>
        <v/>
      </c>
    </row>
    <row r="22" spans="1:48" ht="15" thickTop="1">
      <c r="A22" s="2915" t="s">
        <v>2678</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2679</v>
      </c>
      <c r="B23" s="2905" t="str">
        <f>'预评函-2'!K2</f>
        <v>估价期日：2017年11月13日</v>
      </c>
    </row>
    <row r="24" spans="1:48">
      <c r="A24" s="2904" t="s">
        <v>2680</v>
      </c>
      <c r="B24" s="2905" t="str">
        <f>'预评函-2'!R2</f>
        <v>估价期日的国有建设用地使用权性质：出让</v>
      </c>
    </row>
    <row r="25" spans="1:48">
      <c r="A25" s="2904" t="s">
        <v>2736</v>
      </c>
      <c r="B25" s="2905" t="str">
        <f>'预评函-2'!A3</f>
        <v>估价期日土地使用者</v>
      </c>
    </row>
    <row r="26" spans="1:48">
      <c r="A26" s="2904" t="s">
        <v>2712</v>
      </c>
      <c r="B26" s="2905" t="str">
        <f>'预评函-2'!A5</f>
        <v>中信开发</v>
      </c>
    </row>
    <row r="27" spans="1:48">
      <c r="A27" s="2904" t="s">
        <v>2737</v>
      </c>
      <c r="B27" s="2905" t="str">
        <f>'预评函-2'!B3</f>
        <v>宗地编号/不动产单元号</v>
      </c>
    </row>
    <row r="28" spans="1:48">
      <c r="A28" s="2904" t="s">
        <v>2713</v>
      </c>
      <c r="B28" s="2905" t="str">
        <f>'预评函-2'!B5</f>
        <v>11111111111</v>
      </c>
    </row>
    <row r="29" spans="1:48">
      <c r="A29" s="2904" t="s">
        <v>2739</v>
      </c>
      <c r="B29" s="2905">
        <f>'预评函-2'!C5</f>
        <v>22</v>
      </c>
    </row>
    <row r="30" spans="1:48">
      <c r="A30" s="2904" t="s">
        <v>2740</v>
      </c>
      <c r="B30" s="2905" t="str">
        <f>'预评函-2'!D3</f>
        <v>土地使用证编号/不动产权证书编号</v>
      </c>
    </row>
    <row r="31" spans="1:48">
      <c r="A31" s="2904" t="s">
        <v>2714</v>
      </c>
      <c r="B31" s="2905" t="str">
        <f>'预评函-2'!D5</f>
        <v>京国土字第111号</v>
      </c>
    </row>
    <row r="32" spans="1:48">
      <c r="A32" s="2904" t="s">
        <v>2715</v>
      </c>
      <c r="B32" s="2905">
        <f>'预评函-2'!E5</f>
        <v>0</v>
      </c>
      <c r="AV32" s="2909"/>
    </row>
    <row r="33" spans="1:2">
      <c r="A33" s="2904" t="s">
        <v>2716</v>
      </c>
      <c r="B33" s="2905">
        <f>'预评函-2'!F5</f>
        <v>258</v>
      </c>
    </row>
    <row r="34" spans="1:2">
      <c r="A34" s="2904" t="s">
        <v>2717</v>
      </c>
      <c r="B34" s="2905">
        <f>'预评函-2'!G5</f>
        <v>0</v>
      </c>
    </row>
    <row r="35" spans="1:2">
      <c r="A35" s="2904" t="s">
        <v>2718</v>
      </c>
      <c r="B35" s="2905">
        <f>'预评函-2'!H5</f>
        <v>1.5</v>
      </c>
    </row>
    <row r="36" spans="1:2">
      <c r="A36" s="2904" t="s">
        <v>2719</v>
      </c>
      <c r="B36" s="2905">
        <f>'预评函-2'!I5</f>
        <v>1.5</v>
      </c>
    </row>
    <row r="37" spans="1:2">
      <c r="A37" s="2904" t="s">
        <v>2720</v>
      </c>
      <c r="B37" s="2905">
        <f>'预评函-2'!J5</f>
        <v>1.5</v>
      </c>
    </row>
    <row r="38" spans="1:2">
      <c r="A38" s="2904" t="s">
        <v>2721</v>
      </c>
      <c r="B38" s="2905" t="str">
        <f>'预评函-2'!K5</f>
        <v>红线外七通、宗地红线内</v>
      </c>
    </row>
    <row r="39" spans="1:2">
      <c r="A39" s="2904" t="s">
        <v>2722</v>
      </c>
      <c r="B39" s="2905" t="str">
        <f>'预评函-2'!L5</f>
        <v>红线外七通、宗地红线内场地</v>
      </c>
    </row>
    <row r="40" spans="1:2">
      <c r="A40" s="2904" t="s">
        <v>2741</v>
      </c>
      <c r="B40" s="2905" t="str">
        <f>'预评函-2'!M3</f>
        <v>（剩余）土地使用年限/年</v>
      </c>
    </row>
    <row r="41" spans="1:2">
      <c r="A41" s="2904" t="s">
        <v>2723</v>
      </c>
      <c r="B41" s="2905">
        <f>'预评函-2'!M5</f>
        <v>0</v>
      </c>
    </row>
    <row r="42" spans="1:2">
      <c r="A42" s="2904" t="s">
        <v>2742</v>
      </c>
      <c r="B42" s="2905" t="str">
        <f>'预评函-2'!N3</f>
        <v>（分摊）出让国有建设用地使用权面积/㎡</v>
      </c>
    </row>
    <row r="43" spans="1:2">
      <c r="A43" s="2904" t="s">
        <v>2724</v>
      </c>
      <c r="B43" s="2905">
        <f>'预评函-2'!N5</f>
        <v>76242</v>
      </c>
    </row>
    <row r="44" spans="1:2">
      <c r="A44" s="2904" t="s">
        <v>2743</v>
      </c>
      <c r="B44" s="2905" t="str">
        <f>'预评函-2'!O3</f>
        <v>规划建筑面积/㎡</v>
      </c>
    </row>
    <row r="45" spans="1:2">
      <c r="A45" s="2904" t="s">
        <v>2725</v>
      </c>
      <c r="B45" s="2905">
        <f>'预评函-2'!O5</f>
        <v>114363</v>
      </c>
    </row>
    <row r="46" spans="1:2">
      <c r="A46" s="2904" t="s">
        <v>2726</v>
      </c>
      <c r="B46" s="2905">
        <f ca="1">'预评函-2'!P5</f>
        <v>2653</v>
      </c>
    </row>
    <row r="47" spans="1:2">
      <c r="A47" s="2904" t="s">
        <v>2727</v>
      </c>
      <c r="B47" s="2905">
        <f ca="1">'预评函-2'!Q5</f>
        <v>1769</v>
      </c>
    </row>
    <row r="48" spans="1:2">
      <c r="A48" s="2904" t="s">
        <v>2728</v>
      </c>
      <c r="B48" s="2905">
        <f ca="1">'预评函-2'!R5</f>
        <v>20227</v>
      </c>
    </row>
    <row r="49" spans="1:2">
      <c r="A49" s="2904" t="s">
        <v>2744</v>
      </c>
      <c r="B49" s="2905" t="str">
        <f>'预评函-2'!A6</f>
        <v>抵押价格</v>
      </c>
    </row>
    <row r="50" spans="1:2">
      <c r="A50" s="2904" t="s">
        <v>2729</v>
      </c>
      <c r="B50" s="2905">
        <f ca="1">'预评函-2'!R6</f>
        <v>20227</v>
      </c>
    </row>
    <row r="51" spans="1:2">
      <c r="A51" s="2904" t="s">
        <v>2745</v>
      </c>
      <c r="B51" s="2905" t="str">
        <f>'预评函-2'!A7</f>
        <v>——</v>
      </c>
    </row>
    <row r="52" spans="1:2">
      <c r="A52" s="2904" t="s">
        <v>2730</v>
      </c>
      <c r="B52" s="2905" t="str">
        <f>'预评函-2'!R7</f>
        <v>——</v>
      </c>
    </row>
    <row r="53" spans="1:2">
      <c r="A53" s="2904" t="s">
        <v>2746</v>
      </c>
      <c r="B53" s="2905" t="str">
        <f>'预评函-2'!A8</f>
        <v>——</v>
      </c>
    </row>
    <row r="54" spans="1:2" s="2919" customFormat="1" ht="15" thickBot="1">
      <c r="A54" s="2926" t="s">
        <v>2731</v>
      </c>
      <c r="B54" s="2927" t="str">
        <f>'预评函-2'!R8</f>
        <v>——</v>
      </c>
    </row>
    <row r="55" spans="1:2" ht="15" thickTop="1">
      <c r="A55" s="2915" t="s">
        <v>2681</v>
      </c>
      <c r="B55" s="2916" t="str">
        <f>'预评函-3'!A2</f>
        <v>1.权利限制：根据估价对象《不动产权证书》原件、《国有土地使用权》复印件，截至估价期日，估价对象抵押权未见登记。未设定租赁等其他他项权利。</v>
      </c>
    </row>
    <row r="56" spans="1:2">
      <c r="A56" s="2904" t="s">
        <v>2682</v>
      </c>
      <c r="B56" s="2905" t="str">
        <f>'预评函-3'!A3</f>
        <v>2.基础设施条件：估价对象实际开发程度为红线外七通、宗地红线内；本次评估设定开发程度为红线外七通、宗地红线内场地。</v>
      </c>
    </row>
    <row r="57" spans="1:2">
      <c r="A57" s="2904" t="s">
        <v>2683</v>
      </c>
      <c r="B57" s="2905" t="str">
        <f>'预评函-3'!A4</f>
        <v>3.估价规划限制条件：详见《建设工程规划许可证》[]、《出让合同》[]。</v>
      </c>
    </row>
    <row r="58" spans="1:2" s="2919" customFormat="1" ht="15" thickBot="1">
      <c r="A58" s="2926" t="s">
        <v>2732</v>
      </c>
      <c r="B58" s="2927" t="str">
        <f>'预评函-3'!A5</f>
        <v>4.影响价格的其他限定条件：无。</v>
      </c>
    </row>
    <row r="59" spans="1:2" ht="15" thickTop="1">
      <c r="A59" s="2915" t="s">
        <v>2684</v>
      </c>
      <c r="B59" s="2916" t="str">
        <f>'预评函-3'!A8</f>
        <v>2.本《评估意见函》仅供金融机构进行内部审核使用，不做其他目的之用。</v>
      </c>
    </row>
    <row r="60" spans="1:2">
      <c r="A60" s="2904" t="s">
        <v>2685</v>
      </c>
      <c r="B60" s="2905" t="str">
        <f>'预评函-3'!A9</f>
        <v>3.抵押双方在办理抵押登记手续时，应使用本公司出具的正式《土地估价报告》，特提请报告使用者注意。</v>
      </c>
    </row>
    <row r="61" spans="1:2">
      <c r="A61" s="2904" t="s">
        <v>2687</v>
      </c>
      <c r="B61" s="2905" t="str">
        <f>'预评函-3'!A10</f>
        <v>4.估价师所知悉的法定优先受偿款情况为：</v>
      </c>
    </row>
    <row r="62" spans="1:2">
      <c r="A62" s="2904" t="s">
        <v>2686</v>
      </c>
      <c r="B62" s="290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4" t="s">
        <v>2688</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2689</v>
      </c>
      <c r="B64" s="2910" t="str">
        <f>'预评函-3'!A13</f>
        <v>（3）。</v>
      </c>
    </row>
    <row r="65" spans="1:2">
      <c r="A65" s="2904" t="s">
        <v>2690</v>
      </c>
      <c r="B65" s="2911" t="str">
        <f>'预评函-3'!A14</f>
        <v>综上，本次评估不存在估价师知悉的法定优先受偿款</v>
      </c>
    </row>
    <row r="66" spans="1:2">
      <c r="A66" s="2904" t="s">
        <v>2691</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2692</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2695</v>
      </c>
      <c r="B68" s="2930">
        <f>'预评函-3'!D30</f>
        <v>42558</v>
      </c>
    </row>
    <row r="69" spans="1:2" ht="15" thickTop="1">
      <c r="A69" s="2915" t="s">
        <v>2693</v>
      </c>
      <c r="B69" s="2916" t="str">
        <f>'预评函-3'!A20</f>
        <v>王鹏</v>
      </c>
    </row>
    <row r="70" spans="1:2">
      <c r="A70" s="2904" t="s">
        <v>2693</v>
      </c>
      <c r="B70" s="2911">
        <f ca="1">'预评函-3'!B20</f>
        <v>2002110030</v>
      </c>
    </row>
    <row r="71" spans="1:2">
      <c r="A71" s="2904" t="s">
        <v>2694</v>
      </c>
      <c r="B71" s="2905" t="str">
        <f>'预评函-3'!A21</f>
        <v>郑燚</v>
      </c>
    </row>
    <row r="72" spans="1:2" s="2919" customFormat="1" ht="15" thickBot="1">
      <c r="A72" s="2926" t="s">
        <v>2694</v>
      </c>
      <c r="B72" s="2932">
        <f>'预评函-3'!B21</f>
        <v>2014110011</v>
      </c>
    </row>
    <row r="73" spans="1:2" ht="15" thickTop="1">
      <c r="A73" s="2915" t="s">
        <v>2753</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2754</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2755</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2790</v>
      </c>
      <c r="B76" s="291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21" sqref="E21:I21"/>
    </sheetView>
  </sheetViews>
  <sheetFormatPr defaultColWidth="10" defaultRowHeight="14.25"/>
  <cols>
    <col min="1" max="1" width="15.375" style="1690" customWidth="1"/>
    <col min="2" max="2" width="11.375" style="1690" customWidth="1"/>
    <col min="3" max="3" width="12.625" style="1690" customWidth="1"/>
    <col min="4" max="4" width="11.62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337" t="str">
        <f>IF(B10="北京市","北京市",C10)&amp;F10&amp;B16&amp;"国有建设用地使用权"&amp;B9&amp;"预评估"</f>
        <v>出让国有建设用地使用权抵押价格预评估</v>
      </c>
      <c r="C1" s="3338"/>
      <c r="D1" s="3338"/>
      <c r="E1" s="3338"/>
      <c r="F1" s="3338"/>
      <c r="G1" s="3338"/>
      <c r="H1" s="3338"/>
      <c r="I1" s="3339"/>
      <c r="J1" s="1693"/>
      <c r="K1" s="2479"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1941</v>
      </c>
      <c r="B2" s="1841"/>
      <c r="D2" s="1693"/>
      <c r="E2" s="1693"/>
      <c r="F2" s="1693"/>
      <c r="G2" s="1693"/>
      <c r="H2" s="1659"/>
      <c r="I2" s="1694"/>
      <c r="J2" s="1693"/>
      <c r="K2" s="2479" t="str">
        <f>IF(B10="北京市","北京市",C10)&amp;F10&amp;B16&amp;"国有建设用地使用权"</f>
        <v>出让国有建设用地使用权</v>
      </c>
      <c r="L2" s="1722"/>
      <c r="M2" s="1722"/>
      <c r="N2" s="1693"/>
      <c r="O2" s="1694"/>
      <c r="P2" s="1693"/>
      <c r="Q2" s="1693"/>
      <c r="R2" s="1693"/>
      <c r="S2" s="1693"/>
      <c r="T2" s="1693"/>
      <c r="U2" s="1693"/>
    </row>
    <row r="3" spans="1:21">
      <c r="A3" s="1660" t="s">
        <v>1942</v>
      </c>
      <c r="B3" s="1661">
        <v>43052</v>
      </c>
      <c r="C3" s="1662" t="s">
        <v>1998</v>
      </c>
      <c r="D3" s="1661">
        <f>B3</f>
        <v>43052</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3014</v>
      </c>
      <c r="C4" s="1845">
        <f ca="1">SUMIF(土地估价师,B4,估价师及机构信息!E3:E24)</f>
        <v>2002110030</v>
      </c>
      <c r="D4" s="1842" t="s">
        <v>3013</v>
      </c>
      <c r="E4" s="1845">
        <f>SUMIF(土地估价师,D4,估价师及机构信息!E3:E24)</f>
        <v>2014110011</v>
      </c>
      <c r="F4" s="1842" t="s">
        <v>3013</v>
      </c>
      <c r="G4" s="1845">
        <f>SUMIF(土地估价师,F4,估价师及机构信息!E3:E24)</f>
        <v>2014110011</v>
      </c>
      <c r="H4" s="1842" t="s">
        <v>3014</v>
      </c>
      <c r="I4" s="1845">
        <f ca="1">SUMIF(土地估价师,H4,估价师及机构信息!E3:E24)</f>
        <v>2002110030</v>
      </c>
      <c r="J4" s="1693"/>
      <c r="K4" s="2479" t="str">
        <f>IF(AND(F4="——",H4="——"),B4&amp;"、"&amp;D4,IF(AND(F4&lt;&gt;"——",H4="——"),B4&amp;"、"&amp;D4&amp;"、"&amp;F4,B4&amp;"、"&amp;D4&amp;"、"&amp;F4&amp;"、"&amp;H4))</f>
        <v>王鹏、郑燚、郑燚、王鹏</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t="s">
        <v>3015</v>
      </c>
      <c r="C6" s="1760"/>
      <c r="D6" s="1667"/>
      <c r="E6" s="1693"/>
      <c r="F6" s="1693"/>
      <c r="G6" s="1693"/>
      <c r="H6" s="1659"/>
      <c r="I6" s="1694"/>
      <c r="J6" s="1693"/>
      <c r="K6" s="3082"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3016</v>
      </c>
      <c r="C8" s="1670"/>
      <c r="D8" s="3343" t="s">
        <v>1947</v>
      </c>
      <c r="E8" s="1843" t="s">
        <v>3017</v>
      </c>
      <c r="F8" s="1671"/>
      <c r="G8" s="1659"/>
      <c r="H8" s="1659"/>
      <c r="I8" s="1706"/>
      <c r="J8" s="1693"/>
      <c r="K8" s="1773"/>
      <c r="L8" s="1722"/>
      <c r="M8" s="1722"/>
      <c r="N8" s="1693"/>
      <c r="O8" s="1694"/>
      <c r="P8" s="1693"/>
      <c r="Q8" s="1693"/>
      <c r="R8" s="1693"/>
      <c r="S8" s="1693"/>
      <c r="T8" s="1693"/>
      <c r="U8" s="1693"/>
    </row>
    <row r="9" spans="1:21" ht="15" thickBot="1">
      <c r="A9" s="1672" t="s">
        <v>1946</v>
      </c>
      <c r="B9" s="1673" t="s">
        <v>3017</v>
      </c>
      <c r="C9" s="1674"/>
      <c r="D9" s="3344"/>
      <c r="E9" s="1673" t="s">
        <v>952</v>
      </c>
      <c r="F9" s="1746"/>
      <c r="G9" s="1741"/>
      <c r="H9" s="1741"/>
      <c r="I9" s="1742"/>
      <c r="J9" s="1693"/>
      <c r="K9" s="1773"/>
      <c r="L9" s="1722"/>
      <c r="M9" s="1722"/>
      <c r="N9" s="1693"/>
      <c r="O9" s="1694"/>
      <c r="P9" s="1693"/>
      <c r="Q9" s="1693"/>
      <c r="R9" s="1693"/>
      <c r="S9" s="1693"/>
      <c r="T9" s="1693"/>
      <c r="U9" s="1693"/>
    </row>
    <row r="10" spans="1:21" ht="15" thickTop="1">
      <c r="A10" s="1743" t="s">
        <v>2002</v>
      </c>
      <c r="B10" s="1718" t="s">
        <v>3018</v>
      </c>
      <c r="C10" s="1675"/>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2003</v>
      </c>
      <c r="B11" s="1697" t="s">
        <v>3273</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340"/>
      <c r="C12" s="3341"/>
      <c r="D12" s="3342"/>
      <c r="E12" s="1698" t="s">
        <v>2064</v>
      </c>
      <c r="F12" s="3358" t="s">
        <v>2892</v>
      </c>
      <c r="G12" s="3359"/>
      <c r="H12" s="3359"/>
      <c r="I12" s="3360"/>
      <c r="J12" s="1693"/>
      <c r="K12" s="1773"/>
      <c r="L12" s="1722"/>
      <c r="M12" s="1722"/>
      <c r="N12" s="1693"/>
      <c r="O12" s="1694"/>
      <c r="P12" s="1693"/>
      <c r="Q12" s="1693"/>
      <c r="R12" s="1693"/>
      <c r="S12" s="1693"/>
      <c r="T12" s="1693"/>
      <c r="U12" s="1693"/>
    </row>
    <row r="13" spans="1:21">
      <c r="A13" s="1686" t="s">
        <v>2062</v>
      </c>
      <c r="B13" s="3340"/>
      <c r="C13" s="3341"/>
      <c r="D13" s="3342"/>
      <c r="E13" s="1698" t="s">
        <v>2064</v>
      </c>
      <c r="F13" s="3358" t="s">
        <v>2893</v>
      </c>
      <c r="G13" s="3359"/>
      <c r="H13" s="3359"/>
      <c r="I13" s="3360"/>
      <c r="J13" s="1693"/>
      <c r="K13" s="1773"/>
      <c r="L13" s="1722"/>
      <c r="M13" s="1722"/>
      <c r="N13" s="1693"/>
      <c r="O13" s="1694"/>
      <c r="P13" s="1693"/>
      <c r="Q13" s="1693"/>
      <c r="R13" s="1693"/>
      <c r="S13" s="1693"/>
      <c r="T13" s="1693"/>
      <c r="U13" s="1693"/>
    </row>
    <row r="14" spans="1:21">
      <c r="A14" s="1660" t="s">
        <v>2065</v>
      </c>
      <c r="B14" s="1698"/>
      <c r="C14" s="1844" t="s">
        <v>3274</v>
      </c>
      <c r="D14" s="1732" t="str">
        <f>IF(C14="不一致","是否符合证载地类范围","")</f>
        <v/>
      </c>
      <c r="E14" s="1698"/>
      <c r="F14" s="1789" t="s">
        <v>3275</v>
      </c>
      <c r="G14" s="1727"/>
      <c r="H14" s="1727"/>
      <c r="I14" s="1836"/>
      <c r="J14" s="1693"/>
      <c r="K14" s="1773"/>
      <c r="L14" s="1722"/>
      <c r="M14" s="1722"/>
      <c r="N14" s="1693"/>
      <c r="O14" s="1694"/>
      <c r="P14" s="1693"/>
      <c r="Q14" s="1693"/>
      <c r="R14" s="1693"/>
      <c r="S14" s="1693"/>
      <c r="T14" s="1693"/>
      <c r="U14" s="1693"/>
    </row>
    <row r="15" spans="1:21" hidden="1">
      <c r="A15" s="2670"/>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3021</v>
      </c>
      <c r="C16" s="1698" t="s">
        <v>1951</v>
      </c>
      <c r="D16" s="2671" t="s">
        <v>1952</v>
      </c>
      <c r="E16" s="1721" t="s">
        <v>3019</v>
      </c>
      <c r="F16" s="1721"/>
      <c r="G16" s="1721"/>
      <c r="H16" s="1721"/>
      <c r="I16" s="1685" t="s">
        <v>1957</v>
      </c>
      <c r="J16" s="1693"/>
      <c r="K16" s="2480" t="str">
        <f>IF(D17="","",D16&amp;TEXT(D17,"yyyy年m月d日;;"))</f>
        <v>住宅2083年10月18日</v>
      </c>
      <c r="L16" s="1698" t="str">
        <f>IF(OR(K16="",M16=""),"","、")</f>
        <v>、</v>
      </c>
      <c r="M16" s="2480" t="str">
        <f>IF(E17="","",E16&amp;TEXT(E17,"yyyy年m月d日;;"))</f>
        <v>商业2053年10月18日</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
      </c>
    </row>
    <row r="17" spans="1:21">
      <c r="A17" s="1762"/>
      <c r="B17" s="1681"/>
      <c r="C17" s="1682" t="s">
        <v>1958</v>
      </c>
      <c r="D17" s="1699">
        <v>67132</v>
      </c>
      <c r="E17" s="1699">
        <v>56175</v>
      </c>
      <c r="F17" s="1699"/>
      <c r="G17" s="1699"/>
      <c r="H17" s="1699"/>
      <c r="I17" s="1699"/>
      <c r="J17" s="1693"/>
      <c r="K17" s="2479" t="str">
        <f>CONCATENATE(K16,L16,M16,N16,O16,P16,Q16,R16,S16,T16,,U16)</f>
        <v>住宅2083年10月18日、商业2053年10月18日</v>
      </c>
      <c r="L17" s="1722"/>
      <c r="M17" s="1722"/>
      <c r="N17" s="1693"/>
      <c r="O17" s="1694"/>
      <c r="P17" s="1693"/>
      <c r="Q17" s="1693"/>
      <c r="R17" s="1693"/>
      <c r="S17" s="1693"/>
      <c r="T17" s="1693"/>
      <c r="U17" s="1693"/>
    </row>
    <row r="18" spans="1:21">
      <c r="A18" s="1762"/>
      <c r="B18" s="1681"/>
      <c r="C18" s="1682" t="s">
        <v>1959</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65.97</v>
      </c>
      <c r="E19" s="1684">
        <f>IF(B16="出让",IF(E17="","",ROUNDDOWN(MIN((E17-$D$3)/365,E18),2)),E18)</f>
        <v>35.950000000000003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355"/>
      <c r="E20" s="3356"/>
      <c r="F20" s="3356"/>
      <c r="G20" s="3356"/>
      <c r="H20" s="3356"/>
      <c r="I20" s="3357"/>
      <c r="J20" s="1693"/>
      <c r="K20" s="1773"/>
      <c r="L20" s="1722"/>
      <c r="M20" s="1722"/>
      <c r="N20" s="1693"/>
      <c r="O20" s="1694"/>
      <c r="P20" s="1693"/>
      <c r="Q20" s="1693"/>
      <c r="R20" s="1693"/>
      <c r="S20" s="1693"/>
      <c r="T20" s="1693"/>
      <c r="U20" s="1693"/>
    </row>
    <row r="21" spans="1:21">
      <c r="A21" s="1762" t="s">
        <v>1961</v>
      </c>
      <c r="B21" s="1763" t="s">
        <v>1962</v>
      </c>
      <c r="C21" s="1758">
        <f>'数据-汇总表'!E3</f>
        <v>114363</v>
      </c>
      <c r="D21" s="1759" t="s">
        <v>1963</v>
      </c>
      <c r="E21" s="3345" t="s">
        <v>2001</v>
      </c>
      <c r="F21" s="3346"/>
      <c r="G21" s="3346"/>
      <c r="H21" s="3346"/>
      <c r="I21" s="3347"/>
      <c r="J21" s="1693"/>
      <c r="K21" s="1773"/>
      <c r="L21" s="1722"/>
      <c r="M21" s="1722"/>
      <c r="N21" s="1693"/>
      <c r="O21" s="1694"/>
      <c r="P21" s="1693"/>
      <c r="Q21" s="1693"/>
      <c r="R21" s="1693"/>
      <c r="S21" s="1693"/>
      <c r="T21" s="1693"/>
      <c r="U21" s="1693"/>
    </row>
    <row r="22" spans="1:21">
      <c r="A22" s="2662" t="s">
        <v>952</v>
      </c>
      <c r="B22" s="1660" t="s">
        <v>1964</v>
      </c>
      <c r="C22" s="1685">
        <f>'数据-汇总表'!D3</f>
        <v>76242</v>
      </c>
      <c r="D22" s="1686" t="s">
        <v>1963</v>
      </c>
      <c r="E22" s="3345" t="s">
        <v>2894</v>
      </c>
      <c r="F22" s="3346"/>
      <c r="G22" s="3346"/>
      <c r="H22" s="3346"/>
      <c r="I22" s="3347"/>
      <c r="J22" s="1693"/>
      <c r="K22" s="1773"/>
      <c r="L22" s="1722"/>
      <c r="M22" s="1722"/>
      <c r="N22" s="1693"/>
      <c r="O22" s="1694"/>
      <c r="P22" s="1693"/>
      <c r="Q22" s="1693"/>
      <c r="R22" s="1693"/>
      <c r="S22" s="1693"/>
      <c r="T22" s="1693"/>
      <c r="U22" s="1693"/>
    </row>
    <row r="23" spans="1:21" ht="43.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348" t="s">
        <v>1969</v>
      </c>
      <c r="C24" s="3349"/>
      <c r="D24" s="3350" t="s">
        <v>1970</v>
      </c>
      <c r="E24" s="3351"/>
      <c r="F24" s="1707" t="s">
        <v>1971</v>
      </c>
      <c r="G24" s="1693"/>
      <c r="H24" s="1693"/>
      <c r="I24" s="1706"/>
      <c r="J24" s="1693"/>
      <c r="K24" s="3336" t="s">
        <v>1972</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2325</v>
      </c>
      <c r="C25" s="1708" t="s">
        <v>1973</v>
      </c>
      <c r="D25" s="1709"/>
      <c r="E25" s="1710" t="s">
        <v>952</v>
      </c>
      <c r="F25" s="1711"/>
      <c r="G25" s="1693"/>
      <c r="H25" s="1693"/>
      <c r="I25" s="1706"/>
      <c r="J25" s="1693"/>
      <c r="K25" s="3336"/>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2326</v>
      </c>
      <c r="D26" s="1659"/>
      <c r="E26" s="1659"/>
      <c r="F26" s="1687"/>
      <c r="G26" s="1693"/>
      <c r="H26" s="1693"/>
      <c r="I26" s="1706"/>
      <c r="J26" s="1693"/>
      <c r="K26" s="3336"/>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76"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77"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77"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78" t="s">
        <v>1979</v>
      </c>
      <c r="E30" s="1717"/>
      <c r="F30" s="1688"/>
      <c r="G30" s="1741"/>
      <c r="H30" s="1741"/>
      <c r="I30" s="1742"/>
      <c r="J30" s="1693"/>
      <c r="K30" s="1773"/>
      <c r="L30" s="1722"/>
      <c r="M30" s="1722"/>
      <c r="N30" s="1693"/>
      <c r="O30" s="1694"/>
      <c r="P30" s="1693"/>
      <c r="Q30" s="1693"/>
      <c r="R30" s="1693"/>
      <c r="S30" s="1693"/>
      <c r="T30" s="1693"/>
      <c r="U30" s="1693"/>
    </row>
    <row r="31" spans="1:21" ht="15" thickTop="1">
      <c r="A31" s="3363" t="s">
        <v>2004</v>
      </c>
      <c r="B31" s="1763" t="s">
        <v>2005</v>
      </c>
      <c r="C31" s="3361"/>
      <c r="D31" s="3362"/>
      <c r="E31" s="1693"/>
      <c r="F31" s="1693"/>
      <c r="G31" s="1693"/>
      <c r="H31" s="1693"/>
      <c r="I31" s="1706"/>
      <c r="J31" s="1693"/>
      <c r="K31" s="2482"/>
      <c r="L31" s="1693"/>
      <c r="M31" s="1693"/>
      <c r="N31" s="1693"/>
      <c r="O31" s="1693"/>
      <c r="P31" s="1693"/>
      <c r="Q31" s="1693"/>
      <c r="R31" s="1693"/>
      <c r="S31" s="1693"/>
      <c r="T31" s="1693"/>
      <c r="U31" s="1693"/>
    </row>
    <row r="32" spans="1:21">
      <c r="A32" s="3363"/>
      <c r="B32" s="1660" t="s">
        <v>2006</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363"/>
      <c r="B33" s="1660" t="s">
        <v>2007</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364"/>
      <c r="B34" s="1660" t="s">
        <v>2008</v>
      </c>
      <c r="C34" s="3365"/>
      <c r="D34" s="3366"/>
      <c r="E34" s="1693"/>
      <c r="F34" s="1693"/>
      <c r="G34" s="1693"/>
      <c r="H34" s="1693"/>
      <c r="I34" s="1706"/>
      <c r="J34" s="1693"/>
      <c r="K34" s="2482"/>
      <c r="L34" s="1693"/>
      <c r="M34" s="1693"/>
      <c r="N34" s="1693"/>
      <c r="O34" s="1693"/>
      <c r="P34" s="1693"/>
      <c r="Q34" s="1693"/>
      <c r="R34" s="1693"/>
      <c r="S34" s="1693"/>
      <c r="T34" s="1693"/>
      <c r="U34" s="1693"/>
    </row>
    <row r="35" spans="1:21">
      <c r="A35" s="3367" t="s">
        <v>847</v>
      </c>
      <c r="B35" s="1721"/>
      <c r="C35" s="1775" t="str">
        <f>IF(B35="场地平整","——","具体情况：")</f>
        <v>具体情况：</v>
      </c>
      <c r="D35" s="3369"/>
      <c r="E35" s="3370"/>
      <c r="F35" s="3370"/>
      <c r="G35" s="3370"/>
      <c r="H35" s="3370"/>
      <c r="I35" s="3371"/>
      <c r="J35" s="1693"/>
      <c r="K35" s="1774"/>
      <c r="L35" s="1722"/>
      <c r="M35" s="1722"/>
      <c r="N35" s="1693"/>
      <c r="O35" s="1694"/>
      <c r="P35" s="1693"/>
      <c r="Q35" s="1693"/>
      <c r="R35" s="1693"/>
      <c r="S35" s="1693"/>
      <c r="T35" s="1693"/>
      <c r="U35" s="1693"/>
    </row>
    <row r="36" spans="1:21">
      <c r="A36" s="3363"/>
      <c r="B36" s="3372" t="s">
        <v>2057</v>
      </c>
      <c r="C36" s="3373"/>
      <c r="D36" s="1791"/>
      <c r="E36" s="3374"/>
      <c r="F36" s="3374"/>
      <c r="G36" s="1686" t="str">
        <f>IF(B35="场地未平整","估价结果处理","")</f>
        <v/>
      </c>
      <c r="H36" s="3375"/>
      <c r="I36" s="3375"/>
      <c r="J36" s="1693"/>
      <c r="K36" s="1774"/>
      <c r="L36" s="1722"/>
      <c r="M36" s="1722"/>
      <c r="N36" s="1693"/>
      <c r="O36" s="1694"/>
      <c r="P36" s="1693"/>
      <c r="Q36" s="1693"/>
      <c r="R36" s="1693"/>
      <c r="S36" s="1693"/>
      <c r="T36" s="1693"/>
      <c r="U36" s="1693"/>
    </row>
    <row r="37" spans="1:21" ht="28.5">
      <c r="A37" s="3363"/>
      <c r="B37" s="3352"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363"/>
      <c r="B38" s="3353"/>
      <c r="C38" s="1668" t="s">
        <v>850</v>
      </c>
      <c r="D38" s="1790">
        <f>ROUNDDOWN(MIN(('数据-取费表'!$B$2-D37)/365,D34),1)</f>
        <v>117.9</v>
      </c>
      <c r="E38" s="1726" t="s">
        <v>851</v>
      </c>
      <c r="F38" s="1693"/>
      <c r="G38" s="1693"/>
      <c r="H38" s="1693"/>
      <c r="I38" s="1706"/>
      <c r="J38" s="1693"/>
      <c r="K38" s="1774"/>
      <c r="L38" s="1693"/>
      <c r="M38" s="1693"/>
      <c r="N38" s="1693"/>
      <c r="O38" s="1693"/>
      <c r="P38" s="1693"/>
      <c r="Q38" s="1693"/>
      <c r="R38" s="1693"/>
      <c r="S38" s="1693"/>
      <c r="T38" s="1693"/>
      <c r="U38" s="1693"/>
    </row>
    <row r="39" spans="1:21">
      <c r="A39" s="3364"/>
      <c r="B39" s="3354"/>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335" t="s">
        <v>1988</v>
      </c>
      <c r="T40" s="1730" t="str">
        <f>NUMBERSTRING(7-K40,1)&amp;"通"</f>
        <v>七通</v>
      </c>
      <c r="U40" s="1693"/>
    </row>
    <row r="41" spans="1:21">
      <c r="A41" s="1662"/>
      <c r="B41" s="3368" t="s">
        <v>1722</v>
      </c>
      <c r="C41" s="3368"/>
      <c r="D41" s="3368"/>
      <c r="E41" s="3368"/>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335"/>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9" customFormat="1" ht="21" thickBot="1">
      <c r="A45" s="3100" t="s">
        <v>2895</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6" t="s">
        <v>0</v>
      </c>
      <c r="B1" s="3376" t="s">
        <v>4</v>
      </c>
      <c r="C1" s="3376" t="s">
        <v>5</v>
      </c>
      <c r="D1" s="3377" t="s">
        <v>40</v>
      </c>
      <c r="E1" s="3377" t="s">
        <v>41</v>
      </c>
      <c r="F1" s="3377"/>
      <c r="G1" s="3377"/>
      <c r="H1" s="3377"/>
      <c r="I1" s="3377"/>
      <c r="J1" s="3377"/>
      <c r="K1" s="3377"/>
      <c r="L1" s="3377"/>
      <c r="M1" s="3377"/>
    </row>
    <row r="2" spans="1:13" ht="27" customHeight="1">
      <c r="A2" s="3376"/>
      <c r="B2" s="3376"/>
      <c r="C2" s="3376"/>
      <c r="D2" s="3377"/>
      <c r="E2" s="3377" t="s">
        <v>24</v>
      </c>
      <c r="F2" s="3377" t="s">
        <v>25</v>
      </c>
      <c r="G2" s="3377"/>
      <c r="H2" s="3377"/>
      <c r="I2" s="3377"/>
      <c r="J2" s="3377" t="s">
        <v>26</v>
      </c>
      <c r="K2" s="3377"/>
      <c r="L2" s="3377"/>
      <c r="M2" s="3377"/>
    </row>
    <row r="3" spans="1:13" ht="28.5">
      <c r="A3" s="3376"/>
      <c r="B3" s="3376"/>
      <c r="C3" s="3376"/>
      <c r="D3" s="3377"/>
      <c r="E3" s="33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7" t="s">
        <v>42</v>
      </c>
      <c r="B9" s="3377"/>
      <c r="C9" s="33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workbookViewId="0">
      <selection activeCell="E7" sqref="E7"/>
    </sheetView>
  </sheetViews>
  <sheetFormatPr defaultRowHeight="13.5"/>
  <sheetData>
    <row r="1" spans="1:12" ht="36" thickBot="1">
      <c r="A1" s="3170">
        <v>9</v>
      </c>
      <c r="B1" s="3170" t="s">
        <v>3047</v>
      </c>
      <c r="C1" s="3171" t="s">
        <v>3107</v>
      </c>
      <c r="D1" s="3171" t="s">
        <v>3043</v>
      </c>
      <c r="E1" s="3170" t="s">
        <v>3048</v>
      </c>
      <c r="F1" s="3170">
        <v>40.76</v>
      </c>
      <c r="G1" s="3170">
        <v>60</v>
      </c>
      <c r="H1" s="3170" t="s">
        <v>3106</v>
      </c>
      <c r="I1" s="3170" t="s">
        <v>3049</v>
      </c>
      <c r="J1" s="3170" t="s">
        <v>3050</v>
      </c>
      <c r="L1">
        <f t="shared" ref="L1:L27" si="0">F1*$L$29</f>
        <v>27173.333469199995</v>
      </c>
    </row>
    <row r="2" spans="1:12" ht="36" thickBot="1">
      <c r="A2" s="3170">
        <v>16</v>
      </c>
      <c r="B2" s="3170" t="s">
        <v>3070</v>
      </c>
      <c r="C2" s="3171" t="s">
        <v>3117</v>
      </c>
      <c r="D2" s="3171" t="s">
        <v>3043</v>
      </c>
      <c r="E2" s="3170" t="s">
        <v>3071</v>
      </c>
      <c r="F2" s="3170">
        <v>20.41</v>
      </c>
      <c r="G2" s="3170">
        <v>60</v>
      </c>
      <c r="H2" s="3170" t="s">
        <v>3111</v>
      </c>
      <c r="I2" s="3170" t="s">
        <v>3049</v>
      </c>
      <c r="J2" s="3170" t="s">
        <v>3050</v>
      </c>
      <c r="L2">
        <f t="shared" si="0"/>
        <v>13606.666734699998</v>
      </c>
    </row>
    <row r="3" spans="1:12" ht="36" thickBot="1">
      <c r="A3" s="3170">
        <v>10</v>
      </c>
      <c r="B3" s="3170" t="s">
        <v>3051</v>
      </c>
      <c r="C3" s="3171" t="s">
        <v>3108</v>
      </c>
      <c r="D3" s="3171" t="s">
        <v>3043</v>
      </c>
      <c r="E3" s="3170" t="s">
        <v>3052</v>
      </c>
      <c r="F3" s="3170">
        <v>59.33</v>
      </c>
      <c r="G3" s="3170">
        <v>60</v>
      </c>
      <c r="H3" s="3170" t="s">
        <v>3106</v>
      </c>
      <c r="I3" s="3170" t="s">
        <v>3049</v>
      </c>
      <c r="J3" s="3170" t="s">
        <v>3050</v>
      </c>
      <c r="L3">
        <f t="shared" si="0"/>
        <v>39553.333531099997</v>
      </c>
    </row>
    <row r="4" spans="1:12" ht="36" thickBot="1">
      <c r="A4" s="3170">
        <v>18</v>
      </c>
      <c r="B4" s="3170" t="s">
        <v>3075</v>
      </c>
      <c r="C4" s="3171" t="s">
        <v>3119</v>
      </c>
      <c r="D4" s="3171" t="s">
        <v>3076</v>
      </c>
      <c r="E4" s="3170">
        <v>647.46</v>
      </c>
      <c r="F4" s="3170">
        <v>10.79</v>
      </c>
      <c r="G4" s="3170">
        <v>60</v>
      </c>
      <c r="H4" s="3170" t="s">
        <v>3034</v>
      </c>
      <c r="I4" s="3170" t="s">
        <v>3049</v>
      </c>
      <c r="J4" s="3170" t="s">
        <v>3050</v>
      </c>
      <c r="L4">
        <f t="shared" si="0"/>
        <v>7193.3333692999986</v>
      </c>
    </row>
    <row r="5" spans="1:12" ht="36" thickBot="1">
      <c r="A5" s="3170">
        <v>8</v>
      </c>
      <c r="B5" s="3170" t="s">
        <v>3042</v>
      </c>
      <c r="C5" s="3171" t="s">
        <v>3105</v>
      </c>
      <c r="D5" s="3171" t="s">
        <v>3043</v>
      </c>
      <c r="E5" s="3170">
        <v>907.94</v>
      </c>
      <c r="F5" s="3170">
        <v>20.18</v>
      </c>
      <c r="G5" s="3170">
        <v>45</v>
      </c>
      <c r="H5" s="3170" t="s">
        <v>3106</v>
      </c>
      <c r="I5" s="3170" t="s">
        <v>3045</v>
      </c>
      <c r="J5" s="3170" t="s">
        <v>3046</v>
      </c>
      <c r="L5">
        <f t="shared" si="0"/>
        <v>13453.333400599999</v>
      </c>
    </row>
    <row r="6" spans="1:12" ht="36" thickBot="1">
      <c r="A6" s="3170">
        <v>20</v>
      </c>
      <c r="B6" s="3170" t="s">
        <v>3078</v>
      </c>
      <c r="C6" s="3171" t="s">
        <v>3121</v>
      </c>
      <c r="D6" s="3171" t="s">
        <v>3076</v>
      </c>
      <c r="E6" s="3170">
        <v>779.96</v>
      </c>
      <c r="F6" s="3170">
        <v>17.329999999999998</v>
      </c>
      <c r="G6" s="3170">
        <v>45</v>
      </c>
      <c r="H6" s="3170" t="s">
        <v>3074</v>
      </c>
      <c r="I6" s="3170" t="s">
        <v>3045</v>
      </c>
      <c r="J6" s="3170" t="s">
        <v>3046</v>
      </c>
      <c r="L6">
        <f t="shared" si="0"/>
        <v>11553.333391099997</v>
      </c>
    </row>
    <row r="7" spans="1:12" ht="36" thickBot="1">
      <c r="A7" s="3170">
        <v>19</v>
      </c>
      <c r="B7" s="3170" t="s">
        <v>3077</v>
      </c>
      <c r="C7" s="3171" t="s">
        <v>3120</v>
      </c>
      <c r="D7" s="3171" t="s">
        <v>3076</v>
      </c>
      <c r="E7" s="3170">
        <v>587.72</v>
      </c>
      <c r="F7" s="3170">
        <v>13.06</v>
      </c>
      <c r="G7" s="3170">
        <v>45</v>
      </c>
      <c r="H7" s="3170" t="s">
        <v>3074</v>
      </c>
      <c r="I7" s="3170" t="s">
        <v>3045</v>
      </c>
      <c r="J7" s="3170" t="s">
        <v>3046</v>
      </c>
      <c r="L7">
        <f t="shared" si="0"/>
        <v>8706.6667101999992</v>
      </c>
    </row>
    <row r="8" spans="1:12" ht="36" thickBot="1">
      <c r="A8" s="3170">
        <v>21</v>
      </c>
      <c r="B8" s="3170" t="s">
        <v>3079</v>
      </c>
      <c r="C8" s="3171" t="s">
        <v>3122</v>
      </c>
      <c r="D8" s="3171" t="s">
        <v>3110</v>
      </c>
      <c r="E8" s="3170" t="s">
        <v>3080</v>
      </c>
      <c r="F8" s="3170">
        <v>22.79</v>
      </c>
      <c r="G8" s="3170">
        <v>45</v>
      </c>
      <c r="H8" s="3170" t="s">
        <v>3106</v>
      </c>
      <c r="I8" s="3170" t="s">
        <v>3081</v>
      </c>
      <c r="J8" s="3170" t="s">
        <v>3082</v>
      </c>
      <c r="L8">
        <f t="shared" si="0"/>
        <v>15193.333409299998</v>
      </c>
    </row>
    <row r="9" spans="1:12" ht="36" thickBot="1">
      <c r="A9" s="3170">
        <v>23</v>
      </c>
      <c r="B9" s="3170" t="s">
        <v>3085</v>
      </c>
      <c r="C9" s="3171" t="s">
        <v>3124</v>
      </c>
      <c r="D9" s="3171" t="s">
        <v>3110</v>
      </c>
      <c r="E9" s="3170" t="s">
        <v>3086</v>
      </c>
      <c r="F9" s="3170">
        <v>47.64</v>
      </c>
      <c r="G9" s="3170">
        <v>45</v>
      </c>
      <c r="H9" s="3170" t="s">
        <v>3111</v>
      </c>
      <c r="I9" s="3170" t="s">
        <v>3081</v>
      </c>
      <c r="J9" s="3170" t="s">
        <v>3082</v>
      </c>
      <c r="L9">
        <f t="shared" si="0"/>
        <v>31760.000158799998</v>
      </c>
    </row>
    <row r="10" spans="1:12" ht="36" thickBot="1">
      <c r="A10" s="3170">
        <v>24</v>
      </c>
      <c r="B10" s="3170" t="s">
        <v>3087</v>
      </c>
      <c r="C10" s="3171" t="s">
        <v>3125</v>
      </c>
      <c r="D10" s="3171" t="s">
        <v>3110</v>
      </c>
      <c r="E10" s="3170" t="s">
        <v>3088</v>
      </c>
      <c r="F10" s="3170">
        <v>50.81</v>
      </c>
      <c r="G10" s="3170">
        <v>45</v>
      </c>
      <c r="H10" s="3170" t="s">
        <v>3111</v>
      </c>
      <c r="I10" s="3170" t="s">
        <v>3081</v>
      </c>
      <c r="J10" s="3170" t="s">
        <v>3082</v>
      </c>
      <c r="L10">
        <f t="shared" si="0"/>
        <v>33873.333502699999</v>
      </c>
    </row>
    <row r="11" spans="1:12" ht="36" thickBot="1">
      <c r="A11" s="3170">
        <v>26</v>
      </c>
      <c r="B11" s="3170" t="s">
        <v>3091</v>
      </c>
      <c r="C11" s="3171" t="s">
        <v>3127</v>
      </c>
      <c r="D11" s="3171" t="s">
        <v>3110</v>
      </c>
      <c r="E11" s="3170" t="s">
        <v>3092</v>
      </c>
      <c r="F11" s="3170">
        <v>35.130000000000003</v>
      </c>
      <c r="G11" s="3170">
        <v>45</v>
      </c>
      <c r="H11" s="3170" t="s">
        <v>3111</v>
      </c>
      <c r="I11" s="3170" t="s">
        <v>3081</v>
      </c>
      <c r="J11" s="3170" t="s">
        <v>3082</v>
      </c>
      <c r="L11">
        <f t="shared" si="0"/>
        <v>23420.0001171</v>
      </c>
    </row>
    <row r="12" spans="1:12" ht="36" thickBot="1">
      <c r="A12" s="3170">
        <v>22</v>
      </c>
      <c r="B12" s="3170" t="s">
        <v>3083</v>
      </c>
      <c r="C12" s="3171" t="s">
        <v>3123</v>
      </c>
      <c r="D12" s="3171" t="s">
        <v>3110</v>
      </c>
      <c r="E12" s="3170" t="s">
        <v>3084</v>
      </c>
      <c r="F12" s="3170">
        <v>44.37</v>
      </c>
      <c r="G12" s="3170">
        <v>45</v>
      </c>
      <c r="H12" s="3170" t="s">
        <v>3111</v>
      </c>
      <c r="I12" s="3170" t="s">
        <v>3081</v>
      </c>
      <c r="J12" s="3170" t="s">
        <v>3082</v>
      </c>
      <c r="L12">
        <f t="shared" si="0"/>
        <v>29580.000147899995</v>
      </c>
    </row>
    <row r="13" spans="1:12" ht="36" thickBot="1">
      <c r="A13" s="3170">
        <v>25</v>
      </c>
      <c r="B13" s="3170" t="s">
        <v>3089</v>
      </c>
      <c r="C13" s="3171" t="s">
        <v>3126</v>
      </c>
      <c r="D13" s="3171" t="s">
        <v>3110</v>
      </c>
      <c r="E13" s="3170" t="s">
        <v>3090</v>
      </c>
      <c r="F13" s="3170">
        <v>43.84</v>
      </c>
      <c r="G13" s="3170">
        <v>45</v>
      </c>
      <c r="H13" s="3170" t="s">
        <v>3111</v>
      </c>
      <c r="I13" s="3170" t="s">
        <v>3081</v>
      </c>
      <c r="J13" s="3170" t="s">
        <v>3082</v>
      </c>
      <c r="L13">
        <f t="shared" si="0"/>
        <v>29226.666812800002</v>
      </c>
    </row>
    <row r="14" spans="1:12" ht="36" thickBot="1">
      <c r="A14" s="3170">
        <v>2</v>
      </c>
      <c r="B14" s="3170" t="s">
        <v>3030</v>
      </c>
      <c r="C14" s="3171" t="s">
        <v>3098</v>
      </c>
      <c r="D14" s="3171" t="s">
        <v>3027</v>
      </c>
      <c r="E14" s="3170">
        <v>145.61000000000001</v>
      </c>
      <c r="F14" s="3170">
        <v>18.2</v>
      </c>
      <c r="G14" s="3170">
        <v>8</v>
      </c>
      <c r="H14" s="3170" t="s">
        <v>3097</v>
      </c>
      <c r="I14" s="3170" t="s">
        <v>3028</v>
      </c>
      <c r="J14" s="3170" t="s">
        <v>3029</v>
      </c>
      <c r="L14">
        <f t="shared" si="0"/>
        <v>12133.333393999999</v>
      </c>
    </row>
    <row r="15" spans="1:12" ht="36" thickBot="1">
      <c r="A15" s="3170">
        <v>1</v>
      </c>
      <c r="B15" s="3170" t="s">
        <v>3026</v>
      </c>
      <c r="C15" s="3171" t="s">
        <v>3096</v>
      </c>
      <c r="D15" s="3171" t="s">
        <v>3027</v>
      </c>
      <c r="E15" s="3170">
        <v>641.08000000000004</v>
      </c>
      <c r="F15" s="3170">
        <v>80.13</v>
      </c>
      <c r="G15" s="3170">
        <v>8</v>
      </c>
      <c r="H15" s="3170" t="s">
        <v>3097</v>
      </c>
      <c r="I15" s="3170" t="s">
        <v>3028</v>
      </c>
      <c r="J15" s="3170" t="s">
        <v>3029</v>
      </c>
      <c r="L15">
        <f t="shared" si="0"/>
        <v>53420.000267099997</v>
      </c>
    </row>
    <row r="16" spans="1:12" ht="36" thickBot="1">
      <c r="A16" s="3170">
        <v>4</v>
      </c>
      <c r="B16" s="3170" t="s">
        <v>3032</v>
      </c>
      <c r="C16" s="3171" t="s">
        <v>3101</v>
      </c>
      <c r="D16" s="3171" t="s">
        <v>3027</v>
      </c>
      <c r="E16" s="3170">
        <v>370.34</v>
      </c>
      <c r="F16" s="3170">
        <v>46.29</v>
      </c>
      <c r="G16" s="3170">
        <v>8</v>
      </c>
      <c r="H16" s="3170" t="s">
        <v>3100</v>
      </c>
      <c r="I16" s="3170" t="s">
        <v>3028</v>
      </c>
      <c r="J16" s="3170" t="s">
        <v>3029</v>
      </c>
      <c r="L16">
        <f t="shared" si="0"/>
        <v>30860.000154299996</v>
      </c>
    </row>
    <row r="17" spans="1:12" ht="36" thickBot="1">
      <c r="A17" s="3170">
        <v>3</v>
      </c>
      <c r="B17" s="3170" t="s">
        <v>3031</v>
      </c>
      <c r="C17" s="3171" t="s">
        <v>3099</v>
      </c>
      <c r="D17" s="3171" t="s">
        <v>3027</v>
      </c>
      <c r="E17" s="3170">
        <v>832.96</v>
      </c>
      <c r="F17" s="3170">
        <v>104.12</v>
      </c>
      <c r="G17" s="3170">
        <v>8</v>
      </c>
      <c r="H17" s="3170" t="s">
        <v>3100</v>
      </c>
      <c r="I17" s="3170" t="s">
        <v>3028</v>
      </c>
      <c r="J17" s="3170" t="s">
        <v>3029</v>
      </c>
      <c r="L17">
        <f t="shared" si="0"/>
        <v>69413.333680399999</v>
      </c>
    </row>
    <row r="18" spans="1:12" ht="36" thickBot="1">
      <c r="A18" s="3170">
        <v>11</v>
      </c>
      <c r="B18" s="3170" t="s">
        <v>3053</v>
      </c>
      <c r="C18" s="3171" t="s">
        <v>3109</v>
      </c>
      <c r="D18" s="3171" t="s">
        <v>3110</v>
      </c>
      <c r="E18" s="3170" t="s">
        <v>3054</v>
      </c>
      <c r="F18" s="3170">
        <v>71.34</v>
      </c>
      <c r="G18" s="3170">
        <v>45</v>
      </c>
      <c r="H18" s="3170" t="s">
        <v>3111</v>
      </c>
      <c r="I18" s="3170" t="s">
        <v>3028</v>
      </c>
      <c r="J18" s="3170" t="s">
        <v>3029</v>
      </c>
      <c r="L18">
        <f t="shared" si="0"/>
        <v>47560.000237799999</v>
      </c>
    </row>
    <row r="19" spans="1:12" ht="36" thickBot="1">
      <c r="A19" s="3170">
        <v>12</v>
      </c>
      <c r="B19" s="3170" t="s">
        <v>3056</v>
      </c>
      <c r="C19" s="3171" t="s">
        <v>3112</v>
      </c>
      <c r="D19" s="3171" t="s">
        <v>3110</v>
      </c>
      <c r="E19" s="3170" t="s">
        <v>3057</v>
      </c>
      <c r="F19" s="3170">
        <v>25.17</v>
      </c>
      <c r="G19" s="3170">
        <v>45</v>
      </c>
      <c r="H19" s="3170" t="s">
        <v>3111</v>
      </c>
      <c r="I19" s="3170" t="s">
        <v>3058</v>
      </c>
      <c r="J19" s="3170" t="s">
        <v>3059</v>
      </c>
      <c r="L19">
        <f t="shared" si="0"/>
        <v>16780.000083899999</v>
      </c>
    </row>
    <row r="20" spans="1:12" ht="36" thickBot="1">
      <c r="A20" s="3170">
        <v>17</v>
      </c>
      <c r="B20" s="3170" t="s">
        <v>3072</v>
      </c>
      <c r="C20" s="3171" t="s">
        <v>3118</v>
      </c>
      <c r="D20" s="3171" t="s">
        <v>3073</v>
      </c>
      <c r="E20" s="3170">
        <v>850.7</v>
      </c>
      <c r="F20" s="3170">
        <v>18.899999999999999</v>
      </c>
      <c r="G20" s="3170">
        <v>45</v>
      </c>
      <c r="H20" s="3170" t="s">
        <v>3074</v>
      </c>
      <c r="I20" s="3170" t="s">
        <v>3058</v>
      </c>
      <c r="J20" s="3170" t="s">
        <v>3059</v>
      </c>
      <c r="L20">
        <f t="shared" si="0"/>
        <v>12600.000062999998</v>
      </c>
    </row>
    <row r="21" spans="1:12" ht="36" thickBot="1">
      <c r="A21" s="3170">
        <v>13</v>
      </c>
      <c r="B21" s="3170" t="s">
        <v>3060</v>
      </c>
      <c r="C21" s="3171" t="s">
        <v>3113</v>
      </c>
      <c r="D21" s="3171" t="s">
        <v>3110</v>
      </c>
      <c r="E21" s="3170" t="s">
        <v>3061</v>
      </c>
      <c r="F21" s="3170">
        <v>114.36</v>
      </c>
      <c r="G21" s="3170">
        <v>45</v>
      </c>
      <c r="H21" s="3170" t="s">
        <v>3114</v>
      </c>
      <c r="I21" s="3170" t="s">
        <v>3058</v>
      </c>
      <c r="J21" s="3170" t="s">
        <v>3059</v>
      </c>
      <c r="L21">
        <f t="shared" si="0"/>
        <v>76240.000381199992</v>
      </c>
    </row>
    <row r="22" spans="1:12" ht="36" thickBot="1">
      <c r="A22" s="3170">
        <v>5</v>
      </c>
      <c r="B22" s="3170" t="s">
        <v>3033</v>
      </c>
      <c r="C22" s="3171" t="s">
        <v>3102</v>
      </c>
      <c r="D22" s="3171" t="s">
        <v>3027</v>
      </c>
      <c r="E22" s="3170">
        <v>203.21</v>
      </c>
      <c r="F22" s="3170">
        <v>25.4</v>
      </c>
      <c r="G22" s="3170">
        <v>8</v>
      </c>
      <c r="H22" s="3170" t="s">
        <v>3034</v>
      </c>
      <c r="I22" s="3170" t="s">
        <v>3035</v>
      </c>
      <c r="J22" s="3170" t="s">
        <v>3036</v>
      </c>
      <c r="L22">
        <f t="shared" si="0"/>
        <v>16933.333417999998</v>
      </c>
    </row>
    <row r="23" spans="1:12" ht="36" thickBot="1">
      <c r="A23" s="3170">
        <v>6</v>
      </c>
      <c r="B23" s="3170" t="s">
        <v>3037</v>
      </c>
      <c r="C23" s="3171" t="s">
        <v>3103</v>
      </c>
      <c r="D23" s="3171" t="s">
        <v>3027</v>
      </c>
      <c r="E23" s="3170">
        <v>70.849999999999994</v>
      </c>
      <c r="F23" s="3170">
        <v>8.86</v>
      </c>
      <c r="G23" s="3170">
        <v>8</v>
      </c>
      <c r="H23" s="3170" t="s">
        <v>3034</v>
      </c>
      <c r="I23" s="3170" t="s">
        <v>3035</v>
      </c>
      <c r="J23" s="3170" t="s">
        <v>3036</v>
      </c>
      <c r="L23">
        <f t="shared" si="0"/>
        <v>5906.666696199999</v>
      </c>
    </row>
    <row r="24" spans="1:12" ht="36" thickBot="1">
      <c r="A24" s="3170">
        <v>14</v>
      </c>
      <c r="B24" s="3170" t="s">
        <v>3063</v>
      </c>
      <c r="C24" s="3171" t="s">
        <v>3115</v>
      </c>
      <c r="D24" s="3171" t="s">
        <v>3110</v>
      </c>
      <c r="E24" s="3170">
        <v>808.87</v>
      </c>
      <c r="F24" s="3170">
        <v>23.11</v>
      </c>
      <c r="G24" s="3170">
        <v>35</v>
      </c>
      <c r="H24" s="3170" t="s">
        <v>3111</v>
      </c>
      <c r="I24" s="3170" t="s">
        <v>3064</v>
      </c>
      <c r="J24" s="3170" t="s">
        <v>3065</v>
      </c>
      <c r="L24">
        <f t="shared" si="0"/>
        <v>15406.666743699998</v>
      </c>
    </row>
    <row r="25" spans="1:12" ht="36" thickBot="1">
      <c r="A25" s="3170">
        <v>27</v>
      </c>
      <c r="B25" s="3170" t="s">
        <v>3093</v>
      </c>
      <c r="C25" s="3171" t="s">
        <v>3128</v>
      </c>
      <c r="D25" s="3171" t="s">
        <v>3110</v>
      </c>
      <c r="E25" s="3170">
        <v>958.81</v>
      </c>
      <c r="F25" s="3170">
        <v>27.39</v>
      </c>
      <c r="G25" s="3170">
        <v>35</v>
      </c>
      <c r="H25" s="3170" t="s">
        <v>3111</v>
      </c>
      <c r="I25" s="3170" t="s">
        <v>3064</v>
      </c>
      <c r="J25" s="3170" t="s">
        <v>3065</v>
      </c>
      <c r="L25">
        <f t="shared" si="0"/>
        <v>18260.0000913</v>
      </c>
    </row>
    <row r="26" spans="1:12" ht="36" thickBot="1">
      <c r="A26" s="3170">
        <v>28</v>
      </c>
      <c r="B26" s="3170" t="s">
        <v>3094</v>
      </c>
      <c r="C26" s="3171" t="s">
        <v>3129</v>
      </c>
      <c r="D26" s="3171" t="s">
        <v>3110</v>
      </c>
      <c r="E26" s="3170" t="s">
        <v>3095</v>
      </c>
      <c r="F26" s="3170">
        <v>55.4</v>
      </c>
      <c r="G26" s="3170">
        <v>35</v>
      </c>
      <c r="H26" s="3170" t="s">
        <v>3111</v>
      </c>
      <c r="I26" s="3170" t="s">
        <v>3068</v>
      </c>
      <c r="J26" s="3170" t="s">
        <v>3069</v>
      </c>
      <c r="L26">
        <f t="shared" si="0"/>
        <v>36933.333517999999</v>
      </c>
    </row>
    <row r="27" spans="1:12" ht="36" thickBot="1">
      <c r="A27" s="3170">
        <v>15</v>
      </c>
      <c r="B27" s="3170" t="s">
        <v>3066</v>
      </c>
      <c r="C27" s="3171" t="s">
        <v>3116</v>
      </c>
      <c r="D27" s="3171" t="s">
        <v>3110</v>
      </c>
      <c r="E27" s="3170" t="s">
        <v>3067</v>
      </c>
      <c r="F27" s="3170">
        <v>72.599999999999994</v>
      </c>
      <c r="G27" s="3170">
        <v>35</v>
      </c>
      <c r="H27" s="3170" t="s">
        <v>3111</v>
      </c>
      <c r="I27" s="3170" t="s">
        <v>3068</v>
      </c>
      <c r="J27" s="3170" t="s">
        <v>3069</v>
      </c>
      <c r="L27">
        <f t="shared" si="0"/>
        <v>48400.000241999995</v>
      </c>
    </row>
    <row r="28" spans="1:12" ht="36" thickBot="1">
      <c r="A28" s="3170">
        <v>7</v>
      </c>
      <c r="B28" s="3170" t="s">
        <v>3038</v>
      </c>
      <c r="C28" s="3171" t="s">
        <v>3104</v>
      </c>
      <c r="D28" s="3171" t="s">
        <v>3039</v>
      </c>
      <c r="E28" s="3170">
        <v>85.65</v>
      </c>
      <c r="F28" s="3170">
        <v>2.27</v>
      </c>
      <c r="G28" s="3170">
        <v>36.74</v>
      </c>
      <c r="H28" s="3170" t="s">
        <v>3034</v>
      </c>
      <c r="I28" s="3170" t="s">
        <v>3040</v>
      </c>
      <c r="J28" s="3170" t="s">
        <v>3041</v>
      </c>
      <c r="L28">
        <f>F28*$L$29</f>
        <v>1513.3333408999999</v>
      </c>
    </row>
    <row r="29" spans="1:12">
      <c r="A29" s="3173"/>
      <c r="L29">
        <v>666.66666999999995</v>
      </c>
    </row>
  </sheetData>
  <sortState ref="A1:J32">
    <sortCondition ref="C1"/>
  </sortState>
  <phoneticPr fontId="23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P22" sqref="P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4"/>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2333</v>
      </c>
      <c r="BA2" s="2361"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'住宅土地明细 (2)'!M22</f>
        <v>76242</v>
      </c>
      <c r="B3" s="22">
        <f>IF(C3="否",G5-AT5,G5)</f>
        <v>114363</v>
      </c>
      <c r="C3" s="23" t="s">
        <v>3020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90"/>
      <c r="C5" s="990"/>
      <c r="D5" s="997"/>
      <c r="E5" s="27" t="s">
        <v>1</v>
      </c>
      <c r="F5" s="27">
        <f>SUM(F13:F572)</f>
        <v>0</v>
      </c>
      <c r="G5" s="27">
        <f>SUM(G13:G572)</f>
        <v>114363</v>
      </c>
      <c r="H5" s="27">
        <f t="shared" ref="H5:AT5" si="0">SUM(H13:H641)</f>
        <v>114363</v>
      </c>
      <c r="I5" s="27">
        <f t="shared" si="0"/>
        <v>0</v>
      </c>
      <c r="J5" s="27">
        <f t="shared" si="0"/>
        <v>0</v>
      </c>
      <c r="K5" s="27">
        <f t="shared" si="0"/>
        <v>91490.4</v>
      </c>
      <c r="L5" s="27">
        <f t="shared" si="0"/>
        <v>0</v>
      </c>
      <c r="M5" s="27">
        <f t="shared" si="0"/>
        <v>0</v>
      </c>
      <c r="N5" s="27">
        <f t="shared" si="0"/>
        <v>0</v>
      </c>
      <c r="O5" s="27">
        <f t="shared" si="0"/>
        <v>22872.600000000002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9"/>
      <c r="AV5" s="26" t="s">
        <v>168</v>
      </c>
      <c r="AW5" s="990"/>
      <c r="AX5" s="990"/>
      <c r="AY5" s="28" t="s">
        <v>3</v>
      </c>
      <c r="AZ5" s="29">
        <f t="shared" ref="AZ5:BT5" si="1">SUM(AZ13:AZ641)</f>
        <v>114363</v>
      </c>
      <c r="BA5" s="29">
        <f t="shared" si="1"/>
        <v>114363</v>
      </c>
      <c r="BB5" s="29">
        <f t="shared" si="1"/>
        <v>0</v>
      </c>
      <c r="BC5" s="29">
        <f t="shared" si="1"/>
        <v>91490.4</v>
      </c>
      <c r="BD5" s="29">
        <f t="shared" si="1"/>
        <v>0</v>
      </c>
      <c r="BE5" s="29">
        <f t="shared" si="1"/>
        <v>22872.600000000002</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76242</v>
      </c>
      <c r="F6" s="27" t="s">
        <v>1</v>
      </c>
      <c r="G6" s="27" t="s">
        <v>2</v>
      </c>
      <c r="H6" s="33">
        <f>SUMIF(I$12:AB$12,"总值",I6:AB6)</f>
        <v>76242</v>
      </c>
      <c r="I6" s="27">
        <f t="shared" ref="I6:AB6" si="2">ROUND($A$3*I5/$B$3,2)</f>
        <v>0</v>
      </c>
      <c r="J6" s="27">
        <f t="shared" si="2"/>
        <v>0</v>
      </c>
      <c r="K6" s="27">
        <f t="shared" si="2"/>
        <v>60993.599999999999</v>
      </c>
      <c r="L6" s="27">
        <f t="shared" si="2"/>
        <v>0</v>
      </c>
      <c r="M6" s="27">
        <f t="shared" si="2"/>
        <v>0</v>
      </c>
      <c r="N6" s="27">
        <f t="shared" si="2"/>
        <v>0</v>
      </c>
      <c r="O6" s="27">
        <f t="shared" si="2"/>
        <v>15248.4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76242</v>
      </c>
      <c r="AZ6" s="27" t="s">
        <v>3</v>
      </c>
      <c r="BA6" s="27">
        <f>ROUND($AY$6*BA5/$AZ$5,2)</f>
        <v>76242</v>
      </c>
      <c r="BB6" s="27">
        <f>ROUND($AY$6*BB5/$AZ$5,2)</f>
        <v>0</v>
      </c>
      <c r="BC6" s="27">
        <f t="shared" ref="BC6:BH6" si="4">ROUND($AY$6*BC5/$AZ$5,2)</f>
        <v>60993.599999999999</v>
      </c>
      <c r="BD6" s="27">
        <f t="shared" si="4"/>
        <v>0</v>
      </c>
      <c r="BE6" s="27">
        <f t="shared" si="4"/>
        <v>15248.4</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9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2"/>
      <c r="K8" s="1002"/>
      <c r="L8" s="1002"/>
      <c r="M8" s="1002"/>
      <c r="N8" s="1002"/>
      <c r="O8" s="1002"/>
      <c r="P8" s="1002"/>
      <c r="Q8" s="1002"/>
      <c r="R8" s="1002"/>
      <c r="S8" s="1002"/>
      <c r="T8" s="1002"/>
      <c r="U8" s="1002"/>
      <c r="V8" s="49"/>
      <c r="W8" s="1002"/>
      <c r="X8" s="1002"/>
      <c r="Y8" s="1002"/>
      <c r="Z8" s="1002"/>
      <c r="AA8" s="49"/>
      <c r="AB8" s="50"/>
      <c r="AC8" s="51" t="s">
        <v>184</v>
      </c>
      <c r="AD8" s="52"/>
      <c r="AE8" s="43"/>
      <c r="AF8" s="1002"/>
      <c r="AG8" s="1002"/>
      <c r="AH8" s="1002"/>
      <c r="AI8" s="1002"/>
      <c r="AJ8" s="1002"/>
      <c r="AK8" s="1002"/>
      <c r="AL8" s="1002"/>
      <c r="AM8" s="1002"/>
      <c r="AN8" s="1002"/>
      <c r="AO8" s="1002"/>
      <c r="AP8" s="1002"/>
      <c r="AQ8" s="1002"/>
      <c r="AR8" s="1002"/>
      <c r="AS8" s="2297"/>
      <c r="AT8" s="2328" t="s">
        <v>855</v>
      </c>
      <c r="AU8" s="45" t="s">
        <v>185</v>
      </c>
      <c r="AV8" s="55"/>
      <c r="AW8" s="1004"/>
      <c r="AX8" s="55"/>
      <c r="AY8" s="42"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188</v>
      </c>
      <c r="I9" s="3045" t="s">
        <v>3012</v>
      </c>
      <c r="J9" s="51"/>
      <c r="K9" s="3045" t="s">
        <v>3012</v>
      </c>
      <c r="L9" s="51"/>
      <c r="M9" s="3045" t="s">
        <v>3012</v>
      </c>
      <c r="N9" s="51"/>
      <c r="O9" s="59" t="s">
        <v>3012</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4"/>
      <c r="AX9" s="55"/>
      <c r="AY9" s="62"/>
      <c r="AZ9" s="62" t="s">
        <v>195</v>
      </c>
      <c r="BA9" s="63" t="s">
        <v>196</v>
      </c>
      <c r="BB9" s="64"/>
      <c r="BC9" s="996"/>
      <c r="BD9" s="996"/>
      <c r="BE9" s="996"/>
      <c r="BF9" s="996"/>
      <c r="BG9" s="996"/>
      <c r="BH9" s="996"/>
      <c r="BI9" s="996"/>
      <c r="BJ9" s="996"/>
      <c r="BK9" s="65"/>
      <c r="BL9" s="26" t="s">
        <v>197</v>
      </c>
      <c r="BM9" s="1002"/>
      <c r="BN9" s="48"/>
      <c r="BO9" s="1002"/>
      <c r="BP9" s="1002"/>
      <c r="BQ9" s="1002"/>
      <c r="BR9" s="1002"/>
      <c r="BS9" s="1002"/>
      <c r="BT9" s="56"/>
    </row>
    <row r="10" spans="1:72" s="57" customFormat="1" ht="12.75">
      <c r="A10" s="45"/>
      <c r="B10" s="45"/>
      <c r="C10" s="45"/>
      <c r="D10" s="45"/>
      <c r="E10" s="45"/>
      <c r="F10" s="45"/>
      <c r="G10" s="55"/>
      <c r="H10" s="62"/>
      <c r="I10" s="3045" t="s">
        <v>923</v>
      </c>
      <c r="J10" s="51"/>
      <c r="K10" s="3047" t="s">
        <v>923</v>
      </c>
      <c r="L10" s="51"/>
      <c r="M10" s="3047" t="s">
        <v>923</v>
      </c>
      <c r="N10" s="51"/>
      <c r="O10" s="66" t="s">
        <v>3019</v>
      </c>
      <c r="P10" s="51"/>
      <c r="Q10" s="66"/>
      <c r="R10" s="51"/>
      <c r="S10" s="66"/>
      <c r="T10" s="51"/>
      <c r="U10" s="66"/>
      <c r="V10" s="51"/>
      <c r="W10" s="66"/>
      <c r="X10" s="51"/>
      <c r="Y10" s="66"/>
      <c r="Z10" s="51"/>
      <c r="AA10" s="66"/>
      <c r="AB10" s="51"/>
      <c r="AC10" s="55"/>
      <c r="AD10" s="2314" t="s">
        <v>2317</v>
      </c>
      <c r="AE10" s="2336"/>
      <c r="AF10" s="2314" t="s">
        <v>2317</v>
      </c>
      <c r="AG10" s="2336"/>
      <c r="AH10" s="2314" t="s">
        <v>2318</v>
      </c>
      <c r="AI10" s="2336"/>
      <c r="AJ10" s="26" t="s">
        <v>2331</v>
      </c>
      <c r="AK10" s="2333"/>
      <c r="AL10" s="2314" t="s">
        <v>2319</v>
      </c>
      <c r="AM10" s="2315"/>
      <c r="AN10" s="26" t="s">
        <v>198</v>
      </c>
      <c r="AO10" s="61"/>
      <c r="AP10" s="1187" t="s">
        <v>199</v>
      </c>
      <c r="AQ10" s="1189"/>
      <c r="AR10" s="1187" t="s">
        <v>199</v>
      </c>
      <c r="AS10" s="1189"/>
      <c r="AT10" s="45"/>
      <c r="AU10" s="45"/>
      <c r="AV10" s="55"/>
      <c r="AW10" s="1004"/>
      <c r="AX10" s="55"/>
      <c r="AY10" s="62"/>
      <c r="AZ10" s="62"/>
      <c r="BA10" s="67" t="s">
        <v>193</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193</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46" t="s">
        <v>3145</v>
      </c>
      <c r="J11" s="71"/>
      <c r="K11" s="3046" t="s">
        <v>3268</v>
      </c>
      <c r="L11" s="71"/>
      <c r="M11" s="70" t="s">
        <v>3270</v>
      </c>
      <c r="N11" s="71"/>
      <c r="O11" s="70"/>
      <c r="P11" s="71"/>
      <c r="Q11" s="70"/>
      <c r="R11" s="71"/>
      <c r="S11" s="70"/>
      <c r="T11" s="71"/>
      <c r="U11" s="70"/>
      <c r="V11" s="71"/>
      <c r="W11" s="70"/>
      <c r="X11" s="71"/>
      <c r="Y11" s="70"/>
      <c r="Z11" s="71"/>
      <c r="AA11" s="70"/>
      <c r="AB11" s="71"/>
      <c r="AC11" s="55"/>
      <c r="AD11" s="2334" t="s">
        <v>2330</v>
      </c>
      <c r="AE11" s="1003"/>
      <c r="AF11" s="2334" t="s">
        <v>2330</v>
      </c>
      <c r="AG11" s="1003"/>
      <c r="AH11" s="2334" t="s">
        <v>2329</v>
      </c>
      <c r="AI11" s="2335"/>
      <c r="AJ11" s="2334" t="s">
        <v>2329</v>
      </c>
      <c r="AK11" s="2333"/>
      <c r="AL11" s="1001"/>
      <c r="AM11" s="1003"/>
      <c r="AN11" s="1001"/>
      <c r="AO11" s="1003"/>
      <c r="AP11" s="1188"/>
      <c r="AQ11" s="1190"/>
      <c r="AR11" s="1188"/>
      <c r="AS11" s="1190"/>
      <c r="AT11" s="1004"/>
      <c r="AU11" s="45"/>
      <c r="AV11" s="55"/>
      <c r="AW11" s="1004"/>
      <c r="AX11" s="55"/>
      <c r="AY11" s="62"/>
      <c r="AZ11" s="62"/>
      <c r="BA11" s="62"/>
      <c r="BB11" s="50" t="str">
        <f>I10</f>
        <v>住宅</v>
      </c>
      <c r="BC11" s="50" t="str">
        <f>K10</f>
        <v>住宅</v>
      </c>
      <c r="BD11" s="50" t="str">
        <f>M10</f>
        <v>住宅</v>
      </c>
      <c r="BE11" s="50" t="str">
        <f>O10</f>
        <v>商业</v>
      </c>
      <c r="BF11" s="50">
        <f>Q10</f>
        <v>0</v>
      </c>
      <c r="BG11" s="50">
        <f>S10</f>
        <v>0</v>
      </c>
      <c r="BH11" s="50">
        <f>U10</f>
        <v>0</v>
      </c>
      <c r="BI11" s="50">
        <f>W10</f>
        <v>0</v>
      </c>
      <c r="BJ11" s="50">
        <f>Y10</f>
        <v>0</v>
      </c>
      <c r="BK11" s="50">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5"/>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联排</v>
      </c>
      <c r="BC12" s="79" t="str">
        <f>K11</f>
        <v>多层</v>
      </c>
      <c r="BD12" s="79" t="str">
        <f>M11</f>
        <v>小高层</v>
      </c>
      <c r="BE12" s="50">
        <f>O11</f>
        <v>0</v>
      </c>
      <c r="BF12" s="50">
        <f>Q11</f>
        <v>0</v>
      </c>
      <c r="BG12" s="50">
        <f>S11</f>
        <v>0</v>
      </c>
      <c r="BH12" s="50">
        <f>U11</f>
        <v>0</v>
      </c>
      <c r="BI12" s="50">
        <f>W11</f>
        <v>0</v>
      </c>
      <c r="BJ12" s="50">
        <f>Y11</f>
        <v>0</v>
      </c>
      <c r="BK12" s="50">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ht="12.75">
      <c r="A13" s="3040"/>
      <c r="B13" s="3040"/>
      <c r="C13" s="3040"/>
      <c r="D13" s="3041" t="s">
        <v>1679</v>
      </c>
      <c r="E13" s="27">
        <f t="shared" ref="E13:E20" si="6">IF($C$3="是",ROUND($A$3*G13/$B$3,2),ROUND($A$3*(G13-AT13)/$B$3,2))</f>
        <v>76242</v>
      </c>
      <c r="F13" s="81"/>
      <c r="G13" s="82">
        <f t="shared" ref="G13:G20" si="7">H13+AC13+AT13</f>
        <v>114363</v>
      </c>
      <c r="H13" s="33">
        <f t="shared" ref="H13:H20" si="8">SUMIF(I$12:AB$12,"总值",I13:AB13)</f>
        <v>114363</v>
      </c>
      <c r="I13" s="3044"/>
      <c r="J13" s="3044"/>
      <c r="K13" s="3044">
        <f>'住宅土地明细 (2)'!X22</f>
        <v>91490.4</v>
      </c>
      <c r="L13" s="3044"/>
      <c r="M13" s="3044"/>
      <c r="N13" s="83"/>
      <c r="O13" s="83">
        <f>'住宅土地明细 (2)'!Y22</f>
        <v>22872.600000000002</v>
      </c>
      <c r="P13" s="83"/>
      <c r="Q13" s="83"/>
      <c r="R13" s="83"/>
      <c r="S13" s="83"/>
      <c r="T13" s="83"/>
      <c r="U13" s="83"/>
      <c r="V13" s="83"/>
      <c r="W13" s="83"/>
      <c r="X13" s="83"/>
      <c r="Y13" s="83"/>
      <c r="Z13" s="83"/>
      <c r="AA13" s="83"/>
      <c r="AB13" s="83"/>
      <c r="AC13" s="27">
        <f t="shared" ref="AC13:AC20" si="9">SUMIF(AD$12:AS$12,"总值",AD13:AS13)</f>
        <v>0</v>
      </c>
      <c r="AD13" s="3048"/>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0</v>
      </c>
      <c r="AW13" s="17">
        <f t="shared" si="10"/>
        <v>0</v>
      </c>
      <c r="AX13" s="17">
        <f t="shared" si="10"/>
        <v>0</v>
      </c>
      <c r="AY13" s="997">
        <f t="shared" ref="AY13:AY20" si="11">ROUND($AY$6*AZ13/$AZ$5,2)</f>
        <v>76242</v>
      </c>
      <c r="AZ13" s="27">
        <f t="shared" ref="AZ13:AZ20" si="12">BA13+BL13</f>
        <v>114363</v>
      </c>
      <c r="BA13" s="27">
        <f t="shared" ref="BA13:BA20" si="13">SUM(BB13:BK13)</f>
        <v>114363</v>
      </c>
      <c r="BB13" s="27">
        <f t="shared" ref="BB13:BB20" si="14">IF($D13="是",I13-J13,0)</f>
        <v>0</v>
      </c>
      <c r="BC13" s="27">
        <f t="shared" ref="BC13:BC20" si="15">IF($D13="是",K13-L13,0)</f>
        <v>91490.4</v>
      </c>
      <c r="BD13" s="27">
        <f t="shared" ref="BD13:BD20" si="16">IF($D13="是",M13-N13,0)</f>
        <v>0</v>
      </c>
      <c r="BE13" s="27">
        <f t="shared" ref="BE13:BE20" si="17">IF($D13="是",O13-P13,0)</f>
        <v>22872.600000000002</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2"/>
      <c r="D14" s="3041"/>
      <c r="E14" s="27">
        <f t="shared" si="6"/>
        <v>0</v>
      </c>
      <c r="F14" s="81"/>
      <c r="G14" s="82">
        <f t="shared" si="7"/>
        <v>0</v>
      </c>
      <c r="H14" s="33">
        <f t="shared" si="8"/>
        <v>0</v>
      </c>
      <c r="I14" s="3044"/>
      <c r="J14" s="3044"/>
      <c r="K14" s="3044"/>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f t="shared" si="10"/>
        <v>0</v>
      </c>
      <c r="AY14" s="99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2"/>
      <c r="D15" s="3041"/>
      <c r="E15" s="27">
        <f t="shared" si="6"/>
        <v>0</v>
      </c>
      <c r="F15" s="81"/>
      <c r="G15" s="82">
        <f t="shared" si="7"/>
        <v>0</v>
      </c>
      <c r="H15" s="33">
        <f t="shared" si="8"/>
        <v>0</v>
      </c>
      <c r="I15" s="3044"/>
      <c r="J15" s="3044"/>
      <c r="K15" s="3044"/>
      <c r="L15" s="3044"/>
      <c r="M15" s="3044"/>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f t="shared" si="10"/>
        <v>0</v>
      </c>
      <c r="AY15" s="99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3">
        <f t="shared" si="10"/>
        <v>0</v>
      </c>
      <c r="AW18" s="993">
        <f t="shared" si="10"/>
        <v>0</v>
      </c>
      <c r="AX18" s="99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3">
        <f t="shared" si="10"/>
        <v>0</v>
      </c>
      <c r="AW19" s="993">
        <f t="shared" si="10"/>
        <v>0</v>
      </c>
      <c r="AX19" s="99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3">
        <f t="shared" si="10"/>
        <v>0</v>
      </c>
      <c r="AW20" s="993">
        <f t="shared" si="10"/>
        <v>0</v>
      </c>
      <c r="AX20" s="99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6"/>
  <sheetViews>
    <sheetView topLeftCell="X10" zoomScaleNormal="100" workbookViewId="0">
      <selection activeCell="AC24" sqref="AC24"/>
    </sheetView>
  </sheetViews>
  <sheetFormatPr defaultRowHeight="17.25"/>
  <cols>
    <col min="1" max="1" width="9" style="3248"/>
    <col min="2" max="2" width="9" style="3302"/>
    <col min="3" max="3" width="26.75" style="3302" customWidth="1"/>
    <col min="4" max="4" width="21.75" style="3302" customWidth="1"/>
    <col min="5" max="5" width="25.375" style="3302" hidden="1" customWidth="1"/>
    <col min="6" max="6" width="27" style="3302" hidden="1" customWidth="1"/>
    <col min="7" max="7" width="23.125" style="3302" hidden="1" customWidth="1"/>
    <col min="8" max="9" width="21.75" style="3302" hidden="1" customWidth="1"/>
    <col min="10" max="10" width="22.625" style="3302" customWidth="1"/>
    <col min="11" max="11" width="15.375" style="3302" customWidth="1"/>
    <col min="12" max="12" width="22.625" style="3302" customWidth="1"/>
    <col min="13" max="13" width="15.375" style="3302" customWidth="1"/>
    <col min="14" max="14" width="11.75" style="3302" customWidth="1"/>
    <col min="15" max="15" width="15.125" style="3302" customWidth="1"/>
    <col min="16" max="17" width="15.25" style="3303" customWidth="1"/>
    <col min="18" max="20" width="11.75" style="3302" customWidth="1"/>
    <col min="21" max="21" width="12" style="3302" customWidth="1"/>
    <col min="22" max="22" width="11.875" style="3302" customWidth="1"/>
    <col min="23" max="23" width="15.375" style="3302" customWidth="1"/>
    <col min="24" max="24" width="13.25" style="3302" customWidth="1"/>
    <col min="25" max="25" width="12.125" style="3302" customWidth="1"/>
    <col min="26" max="27" width="12.25" style="3302" customWidth="1"/>
    <col min="28" max="28" width="9" style="3302"/>
    <col min="29" max="29" width="17.875" style="3304" customWidth="1"/>
    <col min="30" max="30" width="3.375" style="3248" customWidth="1"/>
    <col min="31" max="31" width="9" style="3248"/>
    <col min="32" max="32" width="14.5" style="3248" bestFit="1" customWidth="1"/>
    <col min="33" max="34" width="17.25" style="3248" customWidth="1"/>
    <col min="35" max="16384" width="9" style="3248"/>
  </cols>
  <sheetData>
    <row r="1" spans="1:34" ht="23.25" customHeight="1">
      <c r="A1" s="3380" t="s">
        <v>3310</v>
      </c>
      <c r="B1" s="3378" t="s">
        <v>3311</v>
      </c>
      <c r="C1" s="3382" t="s">
        <v>3312</v>
      </c>
      <c r="D1" s="3384" t="s">
        <v>3313</v>
      </c>
      <c r="E1" s="3384" t="s">
        <v>3314</v>
      </c>
      <c r="F1" s="3378" t="s">
        <v>3315</v>
      </c>
      <c r="G1" s="3378" t="s">
        <v>3316</v>
      </c>
      <c r="H1" s="3378" t="s">
        <v>3317</v>
      </c>
      <c r="I1" s="3384" t="s">
        <v>3318</v>
      </c>
      <c r="J1" s="3378" t="s">
        <v>3319</v>
      </c>
      <c r="K1" s="3384" t="s">
        <v>3320</v>
      </c>
      <c r="L1" s="3384" t="s">
        <v>3321</v>
      </c>
      <c r="M1" s="3378" t="s">
        <v>3322</v>
      </c>
      <c r="N1" s="3384" t="s">
        <v>3323</v>
      </c>
      <c r="O1" s="3384" t="s">
        <v>3324</v>
      </c>
      <c r="P1" s="3386" t="s">
        <v>3325</v>
      </c>
      <c r="Q1" s="3386" t="s">
        <v>3326</v>
      </c>
      <c r="R1" s="3384" t="s">
        <v>3327</v>
      </c>
      <c r="S1" s="3384" t="s">
        <v>3328</v>
      </c>
      <c r="T1" s="3384" t="s">
        <v>3329</v>
      </c>
      <c r="U1" s="3378" t="s">
        <v>3330</v>
      </c>
      <c r="V1" s="3378" t="s">
        <v>3331</v>
      </c>
      <c r="W1" s="3378"/>
      <c r="X1" s="3378" t="s">
        <v>3332</v>
      </c>
      <c r="Y1" s="3378"/>
      <c r="Z1" s="3378"/>
      <c r="AA1" s="3384" t="s">
        <v>3333</v>
      </c>
      <c r="AB1" s="3378" t="s">
        <v>3334</v>
      </c>
      <c r="AC1" s="3378" t="s">
        <v>3335</v>
      </c>
      <c r="AD1" s="3390" t="s">
        <v>3336</v>
      </c>
      <c r="AE1" s="3391"/>
      <c r="AF1" s="3394" t="s">
        <v>3337</v>
      </c>
      <c r="AG1" s="3394" t="s">
        <v>3338</v>
      </c>
      <c r="AH1" s="3388" t="s">
        <v>3339</v>
      </c>
    </row>
    <row r="2" spans="1:34" ht="23.25" customHeight="1" thickBot="1">
      <c r="A2" s="3381"/>
      <c r="B2" s="3379"/>
      <c r="C2" s="3383"/>
      <c r="D2" s="3385"/>
      <c r="E2" s="3385"/>
      <c r="F2" s="3379"/>
      <c r="G2" s="3379"/>
      <c r="H2" s="3379"/>
      <c r="I2" s="3385"/>
      <c r="J2" s="3379"/>
      <c r="K2" s="3385"/>
      <c r="L2" s="3385"/>
      <c r="M2" s="3379"/>
      <c r="N2" s="3385"/>
      <c r="O2" s="3385"/>
      <c r="P2" s="3387"/>
      <c r="Q2" s="3387"/>
      <c r="R2" s="3385"/>
      <c r="S2" s="3385"/>
      <c r="T2" s="3385"/>
      <c r="U2" s="3379"/>
      <c r="V2" s="3249" t="s">
        <v>3340</v>
      </c>
      <c r="W2" s="3249" t="s">
        <v>3341</v>
      </c>
      <c r="X2" s="3249" t="s">
        <v>3342</v>
      </c>
      <c r="Y2" s="3249" t="s">
        <v>3343</v>
      </c>
      <c r="Z2" s="3249" t="s">
        <v>3344</v>
      </c>
      <c r="AA2" s="3385"/>
      <c r="AB2" s="3379"/>
      <c r="AC2" s="3379"/>
      <c r="AD2" s="3392"/>
      <c r="AE2" s="3393"/>
      <c r="AF2" s="3395"/>
      <c r="AG2" s="3395"/>
      <c r="AH2" s="3389"/>
    </row>
    <row r="3" spans="1:34" ht="35.1" customHeight="1">
      <c r="A3" s="3396">
        <v>1</v>
      </c>
      <c r="B3" s="3250">
        <v>1</v>
      </c>
      <c r="C3" s="3251" t="s">
        <v>3345</v>
      </c>
      <c r="D3" s="3252" t="s">
        <v>3346</v>
      </c>
      <c r="E3" s="3252" t="s">
        <v>3347</v>
      </c>
      <c r="F3" s="3252" t="s">
        <v>3348</v>
      </c>
      <c r="G3" s="3252" t="s">
        <v>3349</v>
      </c>
      <c r="H3" s="3252" t="s">
        <v>3350</v>
      </c>
      <c r="I3" s="3252" t="s">
        <v>3342</v>
      </c>
      <c r="J3" s="3253" t="s">
        <v>3351</v>
      </c>
      <c r="K3" s="3254" t="s">
        <v>3352</v>
      </c>
      <c r="L3" s="3253" t="s">
        <v>3351</v>
      </c>
      <c r="M3" s="3255">
        <v>27176.04</v>
      </c>
      <c r="N3" s="3256" t="s">
        <v>3353</v>
      </c>
      <c r="O3" s="3256" t="s">
        <v>3354</v>
      </c>
      <c r="P3" s="3257">
        <v>24458400</v>
      </c>
      <c r="Q3" s="3257">
        <v>900</v>
      </c>
      <c r="R3" s="3256" t="s">
        <v>3355</v>
      </c>
      <c r="S3" s="3256" t="s">
        <v>3356</v>
      </c>
      <c r="T3" s="3256" t="s">
        <v>3357</v>
      </c>
      <c r="U3" s="3258" t="s">
        <v>3047</v>
      </c>
      <c r="V3" s="3258" t="s">
        <v>3044</v>
      </c>
      <c r="W3" s="3259">
        <v>2</v>
      </c>
      <c r="X3" s="3259">
        <v>54352</v>
      </c>
      <c r="Y3" s="3259">
        <v>0</v>
      </c>
      <c r="Z3" s="3259">
        <f>X3+Y3</f>
        <v>54352</v>
      </c>
      <c r="AA3" s="3259" t="s">
        <v>3358</v>
      </c>
      <c r="AB3" s="3260">
        <v>0.22</v>
      </c>
      <c r="AC3" s="3260">
        <v>0.4</v>
      </c>
      <c r="AD3" s="3261">
        <f>W3/AB3</f>
        <v>9.0909090909090917</v>
      </c>
      <c r="AE3" s="3262" t="s">
        <v>3359</v>
      </c>
      <c r="AF3" s="3263"/>
      <c r="AG3" s="3263"/>
      <c r="AH3" s="3264"/>
    </row>
    <row r="4" spans="1:34" ht="35.1" customHeight="1">
      <c r="A4" s="3397"/>
      <c r="B4" s="3265">
        <v>2</v>
      </c>
      <c r="C4" s="3266" t="s">
        <v>3360</v>
      </c>
      <c r="D4" s="3267" t="s">
        <v>3361</v>
      </c>
      <c r="E4" s="3267" t="s">
        <v>3362</v>
      </c>
      <c r="F4" s="3267" t="s">
        <v>3348</v>
      </c>
      <c r="G4" s="3267" t="s">
        <v>3349</v>
      </c>
      <c r="H4" s="3267" t="s">
        <v>3350</v>
      </c>
      <c r="I4" s="3267" t="s">
        <v>3342</v>
      </c>
      <c r="J4" s="3268" t="s">
        <v>3351</v>
      </c>
      <c r="K4" s="3268" t="s">
        <v>3352</v>
      </c>
      <c r="L4" s="3268" t="s">
        <v>3351</v>
      </c>
      <c r="M4" s="3269">
        <v>39550.92</v>
      </c>
      <c r="N4" s="3270" t="s">
        <v>3363</v>
      </c>
      <c r="O4" s="3270" t="s">
        <v>3364</v>
      </c>
      <c r="P4" s="3271">
        <v>35595900</v>
      </c>
      <c r="Q4" s="3271">
        <v>900</v>
      </c>
      <c r="R4" s="3270" t="s">
        <v>3365</v>
      </c>
      <c r="S4" s="3270" t="s">
        <v>3366</v>
      </c>
      <c r="T4" s="3270" t="s">
        <v>3357</v>
      </c>
      <c r="U4" s="3272" t="s">
        <v>3051</v>
      </c>
      <c r="V4" s="3272" t="s">
        <v>3044</v>
      </c>
      <c r="W4" s="3273">
        <v>2</v>
      </c>
      <c r="X4" s="3273">
        <v>79102</v>
      </c>
      <c r="Y4" s="3273">
        <v>0</v>
      </c>
      <c r="Z4" s="3273">
        <f>X4+Y4</f>
        <v>79102</v>
      </c>
      <c r="AA4" s="3273" t="s">
        <v>3358</v>
      </c>
      <c r="AB4" s="3274">
        <v>0.22</v>
      </c>
      <c r="AC4" s="3274">
        <v>0.4</v>
      </c>
      <c r="AD4" s="3275">
        <f>W4/AB4</f>
        <v>9.0909090909090917</v>
      </c>
      <c r="AE4" s="3276" t="s">
        <v>3359</v>
      </c>
      <c r="AF4" s="3277"/>
      <c r="AG4" s="3277"/>
      <c r="AH4" s="3278"/>
    </row>
    <row r="5" spans="1:34" ht="35.1" customHeight="1">
      <c r="A5" s="3397"/>
      <c r="B5" s="3265">
        <v>3</v>
      </c>
      <c r="C5" s="3266" t="s">
        <v>3367</v>
      </c>
      <c r="D5" s="3267" t="s">
        <v>3368</v>
      </c>
      <c r="E5" s="3267" t="s">
        <v>3369</v>
      </c>
      <c r="F5" s="3267" t="s">
        <v>3348</v>
      </c>
      <c r="G5" s="3267" t="s">
        <v>3349</v>
      </c>
      <c r="H5" s="3267" t="s">
        <v>3350</v>
      </c>
      <c r="I5" s="3267" t="s">
        <v>3342</v>
      </c>
      <c r="J5" s="3268" t="s">
        <v>3370</v>
      </c>
      <c r="K5" s="3268" t="s">
        <v>3371</v>
      </c>
      <c r="L5" s="3268" t="s">
        <v>3351</v>
      </c>
      <c r="M5" s="3269">
        <v>13451</v>
      </c>
      <c r="N5" s="3270" t="s">
        <v>3372</v>
      </c>
      <c r="O5" s="3270" t="s">
        <v>3373</v>
      </c>
      <c r="P5" s="3271">
        <v>9079425</v>
      </c>
      <c r="Q5" s="3271">
        <v>675</v>
      </c>
      <c r="R5" s="3270" t="s">
        <v>3365</v>
      </c>
      <c r="S5" s="3270" t="s">
        <v>3366</v>
      </c>
      <c r="T5" s="3270" t="s">
        <v>3374</v>
      </c>
      <c r="U5" s="3272" t="s">
        <v>3042</v>
      </c>
      <c r="V5" s="3272" t="s">
        <v>3044</v>
      </c>
      <c r="W5" s="3273">
        <v>2</v>
      </c>
      <c r="X5" s="3273">
        <v>26902</v>
      </c>
      <c r="Y5" s="3273">
        <v>0</v>
      </c>
      <c r="Z5" s="3273">
        <f>X5+Y5</f>
        <v>26902</v>
      </c>
      <c r="AA5" s="3273" t="s">
        <v>3358</v>
      </c>
      <c r="AB5" s="3274">
        <v>0.22</v>
      </c>
      <c r="AC5" s="3274">
        <v>0.4</v>
      </c>
      <c r="AD5" s="3275">
        <f>W5/AB5</f>
        <v>9.0909090909090917</v>
      </c>
      <c r="AE5" s="3276" t="s">
        <v>3359</v>
      </c>
      <c r="AF5" s="3277"/>
      <c r="AG5" s="3277"/>
      <c r="AH5" s="3278"/>
    </row>
    <row r="6" spans="1:34" ht="35.1" customHeight="1">
      <c r="A6" s="3397"/>
      <c r="B6" s="3265">
        <v>4</v>
      </c>
      <c r="C6" s="3266" t="s">
        <v>2983</v>
      </c>
      <c r="D6" s="3267" t="s">
        <v>3375</v>
      </c>
      <c r="E6" s="3267" t="s">
        <v>3376</v>
      </c>
      <c r="F6" s="3267" t="s">
        <v>3348</v>
      </c>
      <c r="G6" s="3267" t="s">
        <v>3349</v>
      </c>
      <c r="H6" s="3267" t="s">
        <v>3377</v>
      </c>
      <c r="I6" s="3267" t="s">
        <v>3378</v>
      </c>
      <c r="J6" s="3268" t="s">
        <v>3379</v>
      </c>
      <c r="K6" s="3268" t="s">
        <v>3380</v>
      </c>
      <c r="L6" s="3268" t="s">
        <v>3381</v>
      </c>
      <c r="M6" s="3269">
        <v>15194</v>
      </c>
      <c r="N6" s="3270" t="s">
        <v>3382</v>
      </c>
      <c r="O6" s="3270" t="s">
        <v>3383</v>
      </c>
      <c r="P6" s="3271">
        <v>10255950</v>
      </c>
      <c r="Q6" s="3271">
        <v>675</v>
      </c>
      <c r="R6" s="3270" t="s">
        <v>3384</v>
      </c>
      <c r="S6" s="3270" t="s">
        <v>3385</v>
      </c>
      <c r="T6" s="3270" t="s">
        <v>3386</v>
      </c>
      <c r="U6" s="3272" t="s">
        <v>3079</v>
      </c>
      <c r="V6" s="3272" t="s">
        <v>3044</v>
      </c>
      <c r="W6" s="3273">
        <v>2</v>
      </c>
      <c r="X6" s="3273">
        <f>Z6-Y6</f>
        <v>24310.400000000001</v>
      </c>
      <c r="Y6" s="3273">
        <f>Z6*0.2</f>
        <v>6077.6</v>
      </c>
      <c r="Z6" s="3273">
        <v>30388</v>
      </c>
      <c r="AA6" s="3273" t="s">
        <v>3358</v>
      </c>
      <c r="AB6" s="3274">
        <v>0.22</v>
      </c>
      <c r="AC6" s="3274" t="s">
        <v>3358</v>
      </c>
      <c r="AD6" s="3275">
        <f>W6/AB6</f>
        <v>9.0909090909090917</v>
      </c>
      <c r="AE6" s="3276" t="s">
        <v>3359</v>
      </c>
      <c r="AF6" s="3277"/>
      <c r="AG6" s="3277"/>
      <c r="AH6" s="3278"/>
    </row>
    <row r="7" spans="1:34" s="3287" customFormat="1" ht="35.1" customHeight="1" thickBot="1">
      <c r="A7" s="3398"/>
      <c r="B7" s="3279" t="s">
        <v>3344</v>
      </c>
      <c r="C7" s="3280"/>
      <c r="D7" s="3280"/>
      <c r="E7" s="3280"/>
      <c r="F7" s="3280"/>
      <c r="G7" s="3280"/>
      <c r="H7" s="3280"/>
      <c r="I7" s="3280"/>
      <c r="J7" s="3280"/>
      <c r="K7" s="3280"/>
      <c r="L7" s="3280"/>
      <c r="M7" s="3281">
        <f>SUM(M3:M6)</f>
        <v>95371.959999999992</v>
      </c>
      <c r="N7" s="3280"/>
      <c r="O7" s="3280"/>
      <c r="P7" s="3282"/>
      <c r="Q7" s="3282"/>
      <c r="R7" s="3280"/>
      <c r="S7" s="3280"/>
      <c r="T7" s="3280"/>
      <c r="U7" s="3280"/>
      <c r="V7" s="3280"/>
      <c r="W7" s="3280"/>
      <c r="X7" s="3283">
        <f>SUM(X3:X6)</f>
        <v>184666.4</v>
      </c>
      <c r="Y7" s="3283">
        <f t="shared" ref="Y7:Z7" si="0">SUM(Y3:Y6)</f>
        <v>6077.6</v>
      </c>
      <c r="Z7" s="3283">
        <f t="shared" si="0"/>
        <v>190744</v>
      </c>
      <c r="AA7" s="3280"/>
      <c r="AB7" s="3280"/>
      <c r="AC7" s="3284"/>
      <c r="AD7" s="3285"/>
      <c r="AE7" s="3285"/>
      <c r="AF7" s="3285">
        <f>ROUND([2]投资情况表!C12/('住宅土地明细 (2)'!M28+'[2]工业土地明细 '!J9)*'住宅土地明细 (2)'!M7,0)</f>
        <v>5105</v>
      </c>
      <c r="AG7" s="3285">
        <f>ROUND(([2]投资情况表!D12-[2]投资情况表!D11)/('住宅土地明细 (2)'!M28+'[2]工业土地明细 '!J9)*M7,0)</f>
        <v>3300</v>
      </c>
      <c r="AH7" s="3286">
        <f>AF7-AG7</f>
        <v>1805</v>
      </c>
    </row>
    <row r="8" spans="1:34" ht="35.1" customHeight="1">
      <c r="A8" s="3396">
        <v>2</v>
      </c>
      <c r="B8" s="3250">
        <v>5</v>
      </c>
      <c r="C8" s="3251" t="s">
        <v>3387</v>
      </c>
      <c r="D8" s="3252" t="s">
        <v>3388</v>
      </c>
      <c r="E8" s="3252" t="s">
        <v>3389</v>
      </c>
      <c r="F8" s="3252" t="s">
        <v>3348</v>
      </c>
      <c r="G8" s="3252" t="s">
        <v>3349</v>
      </c>
      <c r="H8" s="3252" t="s">
        <v>3350</v>
      </c>
      <c r="I8" s="3252" t="s">
        <v>3342</v>
      </c>
      <c r="J8" s="3288" t="s">
        <v>3351</v>
      </c>
      <c r="K8" s="3254" t="s">
        <v>3352</v>
      </c>
      <c r="L8" s="3268" t="s">
        <v>3351</v>
      </c>
      <c r="M8" s="3255">
        <v>13604.81</v>
      </c>
      <c r="N8" s="3256" t="s">
        <v>3390</v>
      </c>
      <c r="O8" s="3256" t="s">
        <v>3391</v>
      </c>
      <c r="P8" s="3257">
        <v>12244500</v>
      </c>
      <c r="Q8" s="3257">
        <v>900</v>
      </c>
      <c r="R8" s="3256" t="s">
        <v>3355</v>
      </c>
      <c r="S8" s="3256" t="s">
        <v>3356</v>
      </c>
      <c r="T8" s="3256"/>
      <c r="U8" s="3258" t="s">
        <v>3070</v>
      </c>
      <c r="V8" s="3258" t="s">
        <v>3055</v>
      </c>
      <c r="W8" s="3259">
        <v>1.1000000000000001</v>
      </c>
      <c r="X8" s="3259">
        <v>14965.5</v>
      </c>
      <c r="Y8" s="3259">
        <v>0</v>
      </c>
      <c r="Z8" s="3259">
        <f t="shared" ref="Z8" si="1">X8+Y8</f>
        <v>14965.5</v>
      </c>
      <c r="AA8" s="3259" t="s">
        <v>3358</v>
      </c>
      <c r="AB8" s="3260">
        <v>0.35</v>
      </c>
      <c r="AC8" s="3260">
        <v>0.4</v>
      </c>
      <c r="AD8" s="3261">
        <f t="shared" ref="AD8:AD19" si="2">W8/AB8</f>
        <v>3.1428571428571432</v>
      </c>
      <c r="AE8" s="3262" t="s">
        <v>3146</v>
      </c>
      <c r="AF8" s="3263"/>
      <c r="AG8" s="3263"/>
      <c r="AH8" s="3264"/>
    </row>
    <row r="9" spans="1:34" ht="35.1" customHeight="1">
      <c r="A9" s="3397"/>
      <c r="B9" s="3265">
        <v>6</v>
      </c>
      <c r="C9" s="3266" t="s">
        <v>2985</v>
      </c>
      <c r="D9" s="3267" t="s">
        <v>3392</v>
      </c>
      <c r="E9" s="3267" t="s">
        <v>3393</v>
      </c>
      <c r="F9" s="3267" t="s">
        <v>2973</v>
      </c>
      <c r="G9" s="3267" t="s">
        <v>2974</v>
      </c>
      <c r="H9" s="3267" t="s">
        <v>2984</v>
      </c>
      <c r="I9" s="3267" t="s">
        <v>3394</v>
      </c>
      <c r="J9" s="3289" t="s">
        <v>3395</v>
      </c>
      <c r="K9" s="3268" t="s">
        <v>3396</v>
      </c>
      <c r="L9" s="3268" t="s">
        <v>3397</v>
      </c>
      <c r="M9" s="3269">
        <v>31761</v>
      </c>
      <c r="N9" s="3270" t="s">
        <v>3398</v>
      </c>
      <c r="O9" s="3270" t="s">
        <v>3399</v>
      </c>
      <c r="P9" s="3271">
        <v>21438675</v>
      </c>
      <c r="Q9" s="3271">
        <v>675</v>
      </c>
      <c r="R9" s="3270" t="s">
        <v>3400</v>
      </c>
      <c r="S9" s="3270" t="s">
        <v>3401</v>
      </c>
      <c r="T9" s="3270" t="s">
        <v>3386</v>
      </c>
      <c r="U9" s="3272" t="s">
        <v>3085</v>
      </c>
      <c r="V9" s="3272" t="s">
        <v>3055</v>
      </c>
      <c r="W9" s="3273">
        <v>1.1000000000000001</v>
      </c>
      <c r="X9" s="3273">
        <f t="shared" ref="X9:X11" si="3">Z9-Y9</f>
        <v>27949.68</v>
      </c>
      <c r="Y9" s="3273">
        <f t="shared" ref="Y9:Y19" si="4">Z9*0.2</f>
        <v>6987.42</v>
      </c>
      <c r="Z9" s="3273">
        <v>34937.1</v>
      </c>
      <c r="AA9" s="3273">
        <v>12</v>
      </c>
      <c r="AB9" s="3274">
        <v>0.35</v>
      </c>
      <c r="AC9" s="3274" t="s">
        <v>3358</v>
      </c>
      <c r="AD9" s="3275">
        <f t="shared" si="2"/>
        <v>3.1428571428571432</v>
      </c>
      <c r="AE9" s="3276" t="s">
        <v>3402</v>
      </c>
      <c r="AF9" s="3277"/>
      <c r="AG9" s="3277"/>
      <c r="AH9" s="3278"/>
    </row>
    <row r="10" spans="1:34" ht="35.1" customHeight="1">
      <c r="A10" s="3397"/>
      <c r="B10" s="3265">
        <v>7</v>
      </c>
      <c r="C10" s="3266" t="s">
        <v>3403</v>
      </c>
      <c r="D10" s="3267" t="s">
        <v>3404</v>
      </c>
      <c r="E10" s="3267" t="s">
        <v>3405</v>
      </c>
      <c r="F10" s="3267" t="s">
        <v>3406</v>
      </c>
      <c r="G10" s="3267" t="s">
        <v>3407</v>
      </c>
      <c r="H10" s="3267" t="s">
        <v>3408</v>
      </c>
      <c r="I10" s="3267" t="s">
        <v>3409</v>
      </c>
      <c r="J10" s="3289" t="s">
        <v>3410</v>
      </c>
      <c r="K10" s="3268" t="s">
        <v>3411</v>
      </c>
      <c r="L10" s="3268" t="s">
        <v>3412</v>
      </c>
      <c r="M10" s="3269">
        <v>33875</v>
      </c>
      <c r="N10" s="3270" t="s">
        <v>3413</v>
      </c>
      <c r="O10" s="3270" t="s">
        <v>3414</v>
      </c>
      <c r="P10" s="3271">
        <v>22865625</v>
      </c>
      <c r="Q10" s="3271">
        <v>675</v>
      </c>
      <c r="R10" s="3270" t="s">
        <v>3415</v>
      </c>
      <c r="S10" s="3270" t="s">
        <v>3416</v>
      </c>
      <c r="T10" s="3270" t="s">
        <v>3417</v>
      </c>
      <c r="U10" s="3272" t="s">
        <v>3087</v>
      </c>
      <c r="V10" s="3272" t="s">
        <v>3055</v>
      </c>
      <c r="W10" s="3273">
        <v>1.1000000000000001</v>
      </c>
      <c r="X10" s="3273">
        <f t="shared" si="3"/>
        <v>29810</v>
      </c>
      <c r="Y10" s="3273">
        <f t="shared" si="4"/>
        <v>7452.5</v>
      </c>
      <c r="Z10" s="3273">
        <v>37262.5</v>
      </c>
      <c r="AA10" s="3273">
        <v>12</v>
      </c>
      <c r="AB10" s="3274">
        <v>0.35</v>
      </c>
      <c r="AC10" s="3274" t="s">
        <v>3418</v>
      </c>
      <c r="AD10" s="3275">
        <f t="shared" si="2"/>
        <v>3.1428571428571432</v>
      </c>
      <c r="AE10" s="3276" t="s">
        <v>3419</v>
      </c>
      <c r="AF10" s="3277"/>
      <c r="AG10" s="3277"/>
      <c r="AH10" s="3278"/>
    </row>
    <row r="11" spans="1:34" ht="35.1" customHeight="1">
      <c r="A11" s="3397"/>
      <c r="B11" s="3265">
        <v>8</v>
      </c>
      <c r="C11" s="3266" t="s">
        <v>3420</v>
      </c>
      <c r="D11" s="3267" t="s">
        <v>3421</v>
      </c>
      <c r="E11" s="3267" t="s">
        <v>3422</v>
      </c>
      <c r="F11" s="3267" t="s">
        <v>3406</v>
      </c>
      <c r="G11" s="3267" t="s">
        <v>3407</v>
      </c>
      <c r="H11" s="3267" t="s">
        <v>3408</v>
      </c>
      <c r="I11" s="3267" t="s">
        <v>3409</v>
      </c>
      <c r="J11" s="3289" t="s">
        <v>3410</v>
      </c>
      <c r="K11" s="3268" t="s">
        <v>3411</v>
      </c>
      <c r="L11" s="3268" t="s">
        <v>3412</v>
      </c>
      <c r="M11" s="3269">
        <v>23418</v>
      </c>
      <c r="N11" s="3270" t="s">
        <v>3423</v>
      </c>
      <c r="O11" s="3270" t="s">
        <v>3424</v>
      </c>
      <c r="P11" s="3271">
        <v>15807150</v>
      </c>
      <c r="Q11" s="3271">
        <v>675</v>
      </c>
      <c r="R11" s="3270" t="s">
        <v>3415</v>
      </c>
      <c r="S11" s="3270" t="s">
        <v>3416</v>
      </c>
      <c r="T11" s="3270" t="s">
        <v>3417</v>
      </c>
      <c r="U11" s="3272" t="s">
        <v>3091</v>
      </c>
      <c r="V11" s="3272" t="s">
        <v>3055</v>
      </c>
      <c r="W11" s="3273">
        <v>1.1000000000000001</v>
      </c>
      <c r="X11" s="3273">
        <f t="shared" si="3"/>
        <v>20607.84</v>
      </c>
      <c r="Y11" s="3273">
        <f t="shared" si="4"/>
        <v>5151.96</v>
      </c>
      <c r="Z11" s="3273">
        <v>25759.8</v>
      </c>
      <c r="AA11" s="3273">
        <v>12</v>
      </c>
      <c r="AB11" s="3274">
        <v>0.35</v>
      </c>
      <c r="AC11" s="3274" t="s">
        <v>3418</v>
      </c>
      <c r="AD11" s="3275">
        <f t="shared" si="2"/>
        <v>3.1428571428571432</v>
      </c>
      <c r="AE11" s="3276" t="s">
        <v>3419</v>
      </c>
      <c r="AF11" s="3277"/>
      <c r="AG11" s="3277"/>
      <c r="AH11" s="3278"/>
    </row>
    <row r="12" spans="1:34" ht="35.1" customHeight="1">
      <c r="A12" s="3397"/>
      <c r="B12" s="3265">
        <v>9</v>
      </c>
      <c r="C12" s="3266" t="s">
        <v>3425</v>
      </c>
      <c r="D12" s="3267" t="s">
        <v>3426</v>
      </c>
      <c r="E12" s="3267" t="s">
        <v>3427</v>
      </c>
      <c r="F12" s="3267" t="s">
        <v>3406</v>
      </c>
      <c r="G12" s="3267" t="s">
        <v>3407</v>
      </c>
      <c r="H12" s="3267" t="s">
        <v>3408</v>
      </c>
      <c r="I12" s="3267" t="s">
        <v>3409</v>
      </c>
      <c r="J12" s="3289" t="s">
        <v>3410</v>
      </c>
      <c r="K12" s="3268" t="s">
        <v>3411</v>
      </c>
      <c r="L12" s="3268" t="s">
        <v>3412</v>
      </c>
      <c r="M12" s="3269">
        <v>29579</v>
      </c>
      <c r="N12" s="3270" t="s">
        <v>3428</v>
      </c>
      <c r="O12" s="3270" t="s">
        <v>3429</v>
      </c>
      <c r="P12" s="3271">
        <v>19965825</v>
      </c>
      <c r="Q12" s="3271">
        <v>675</v>
      </c>
      <c r="R12" s="3270" t="s">
        <v>3415</v>
      </c>
      <c r="S12" s="3270" t="s">
        <v>3416</v>
      </c>
      <c r="T12" s="3270" t="s">
        <v>3417</v>
      </c>
      <c r="U12" s="3272" t="s">
        <v>3083</v>
      </c>
      <c r="V12" s="3272" t="s">
        <v>3055</v>
      </c>
      <c r="W12" s="3273">
        <v>1.1000000000000001</v>
      </c>
      <c r="X12" s="3273">
        <f>Z12-Y12</f>
        <v>26029.52</v>
      </c>
      <c r="Y12" s="3273">
        <f t="shared" si="4"/>
        <v>6507.380000000001</v>
      </c>
      <c r="Z12" s="3273">
        <v>32536.9</v>
      </c>
      <c r="AA12" s="3273">
        <v>12</v>
      </c>
      <c r="AB12" s="3274">
        <v>0.35</v>
      </c>
      <c r="AC12" s="3274" t="s">
        <v>3418</v>
      </c>
      <c r="AD12" s="3275">
        <f t="shared" si="2"/>
        <v>3.1428571428571432</v>
      </c>
      <c r="AE12" s="3276" t="s">
        <v>3419</v>
      </c>
      <c r="AF12" s="3277"/>
      <c r="AG12" s="3277"/>
      <c r="AH12" s="3278"/>
    </row>
    <row r="13" spans="1:34" ht="35.1" customHeight="1">
      <c r="A13" s="3397"/>
      <c r="B13" s="3265">
        <v>10</v>
      </c>
      <c r="C13" s="3266" t="s">
        <v>3430</v>
      </c>
      <c r="D13" s="3267" t="s">
        <v>3431</v>
      </c>
      <c r="E13" s="3267" t="s">
        <v>3432</v>
      </c>
      <c r="F13" s="3267" t="s">
        <v>3348</v>
      </c>
      <c r="G13" s="3267" t="s">
        <v>3349</v>
      </c>
      <c r="H13" s="3267" t="s">
        <v>3377</v>
      </c>
      <c r="I13" s="3267" t="s">
        <v>3378</v>
      </c>
      <c r="J13" s="3289" t="s">
        <v>3379</v>
      </c>
      <c r="K13" s="3268" t="s">
        <v>3380</v>
      </c>
      <c r="L13" s="3268" t="s">
        <v>3381</v>
      </c>
      <c r="M13" s="3269">
        <v>29227</v>
      </c>
      <c r="N13" s="3270" t="s">
        <v>3433</v>
      </c>
      <c r="O13" s="3270" t="s">
        <v>3434</v>
      </c>
      <c r="P13" s="3271">
        <v>19728225</v>
      </c>
      <c r="Q13" s="3271">
        <v>675</v>
      </c>
      <c r="R13" s="3270" t="s">
        <v>3400</v>
      </c>
      <c r="S13" s="3270" t="s">
        <v>3401</v>
      </c>
      <c r="T13" s="3270" t="s">
        <v>3386</v>
      </c>
      <c r="U13" s="3272" t="s">
        <v>3089</v>
      </c>
      <c r="V13" s="3272" t="s">
        <v>3055</v>
      </c>
      <c r="W13" s="3273">
        <v>1.1000000000000001</v>
      </c>
      <c r="X13" s="3273">
        <f>Z13-Y13</f>
        <v>25719.760000000002</v>
      </c>
      <c r="Y13" s="3273">
        <f t="shared" si="4"/>
        <v>6429.9400000000005</v>
      </c>
      <c r="Z13" s="3273">
        <v>32149.7</v>
      </c>
      <c r="AA13" s="3273">
        <v>12</v>
      </c>
      <c r="AB13" s="3274">
        <v>0.35</v>
      </c>
      <c r="AC13" s="3274" t="s">
        <v>3358</v>
      </c>
      <c r="AD13" s="3275">
        <f t="shared" si="2"/>
        <v>3.1428571428571432</v>
      </c>
      <c r="AE13" s="3276" t="s">
        <v>3402</v>
      </c>
      <c r="AF13" s="3277"/>
      <c r="AG13" s="3277"/>
      <c r="AH13" s="3278"/>
    </row>
    <row r="14" spans="1:34" ht="35.1" customHeight="1">
      <c r="A14" s="3397"/>
      <c r="B14" s="3265">
        <v>11</v>
      </c>
      <c r="C14" s="3266" t="s">
        <v>3435</v>
      </c>
      <c r="D14" s="3267" t="s">
        <v>3436</v>
      </c>
      <c r="E14" s="3267" t="s">
        <v>3437</v>
      </c>
      <c r="F14" s="3267" t="s">
        <v>3348</v>
      </c>
      <c r="G14" s="3267" t="s">
        <v>3349</v>
      </c>
      <c r="H14" s="3267" t="s">
        <v>3377</v>
      </c>
      <c r="I14" s="3267" t="s">
        <v>3378</v>
      </c>
      <c r="J14" s="3289" t="s">
        <v>3438</v>
      </c>
      <c r="K14" s="3268" t="s">
        <v>3439</v>
      </c>
      <c r="L14" s="3268" t="s">
        <v>3381</v>
      </c>
      <c r="M14" s="3269">
        <v>47561</v>
      </c>
      <c r="N14" s="3270" t="s">
        <v>3440</v>
      </c>
      <c r="O14" s="3270" t="s">
        <v>3441</v>
      </c>
      <c r="P14" s="3271">
        <v>32103675</v>
      </c>
      <c r="Q14" s="3271">
        <v>675</v>
      </c>
      <c r="R14" s="3270" t="s">
        <v>3442</v>
      </c>
      <c r="S14" s="3270" t="s">
        <v>3443</v>
      </c>
      <c r="T14" s="3270" t="s">
        <v>3444</v>
      </c>
      <c r="U14" s="3272" t="s">
        <v>3053</v>
      </c>
      <c r="V14" s="3272" t="s">
        <v>3055</v>
      </c>
      <c r="W14" s="3273">
        <v>1.1000000000000001</v>
      </c>
      <c r="X14" s="3273">
        <f>Z14-Y14</f>
        <v>41853.68</v>
      </c>
      <c r="Y14" s="3273">
        <f t="shared" si="4"/>
        <v>10463.42</v>
      </c>
      <c r="Z14" s="3273">
        <v>52317.1</v>
      </c>
      <c r="AA14" s="3273">
        <v>12</v>
      </c>
      <c r="AB14" s="3274">
        <v>0.35</v>
      </c>
      <c r="AC14" s="3274">
        <v>0.4</v>
      </c>
      <c r="AD14" s="3275">
        <f t="shared" si="2"/>
        <v>3.1428571428571432</v>
      </c>
      <c r="AE14" s="3276" t="s">
        <v>3402</v>
      </c>
      <c r="AF14" s="3277"/>
      <c r="AG14" s="3277"/>
      <c r="AH14" s="3278"/>
    </row>
    <row r="15" spans="1:34" ht="35.1" customHeight="1">
      <c r="A15" s="3397"/>
      <c r="B15" s="3265">
        <v>12</v>
      </c>
      <c r="C15" s="3266" t="s">
        <v>3445</v>
      </c>
      <c r="D15" s="3267" t="s">
        <v>3446</v>
      </c>
      <c r="E15" s="3267" t="s">
        <v>3447</v>
      </c>
      <c r="F15" s="3267" t="s">
        <v>3348</v>
      </c>
      <c r="G15" s="3267" t="s">
        <v>3349</v>
      </c>
      <c r="H15" s="3267" t="s">
        <v>3448</v>
      </c>
      <c r="I15" s="3267" t="s">
        <v>3378</v>
      </c>
      <c r="J15" s="3289" t="s">
        <v>3449</v>
      </c>
      <c r="K15" s="3268" t="s">
        <v>3450</v>
      </c>
      <c r="L15" s="3268" t="s">
        <v>3381</v>
      </c>
      <c r="M15" s="3269">
        <v>16782</v>
      </c>
      <c r="N15" s="3270" t="s">
        <v>3451</v>
      </c>
      <c r="O15" s="3270" t="s">
        <v>3452</v>
      </c>
      <c r="P15" s="3271">
        <v>11327850</v>
      </c>
      <c r="Q15" s="3271">
        <v>675</v>
      </c>
      <c r="R15" s="3270" t="s">
        <v>3453</v>
      </c>
      <c r="S15" s="3270" t="s">
        <v>3454</v>
      </c>
      <c r="T15" s="3270" t="s">
        <v>3455</v>
      </c>
      <c r="U15" s="3272" t="s">
        <v>3456</v>
      </c>
      <c r="V15" s="3272" t="s">
        <v>3055</v>
      </c>
      <c r="W15" s="3273">
        <v>1.1000000000000001</v>
      </c>
      <c r="X15" s="3273">
        <f>Z15-Y15</f>
        <v>14768.16</v>
      </c>
      <c r="Y15" s="3273">
        <f t="shared" si="4"/>
        <v>3692.0400000000004</v>
      </c>
      <c r="Z15" s="3273">
        <v>18460.2</v>
      </c>
      <c r="AA15" s="3273">
        <v>12</v>
      </c>
      <c r="AB15" s="3274">
        <v>0.35</v>
      </c>
      <c r="AC15" s="3274">
        <v>0.4</v>
      </c>
      <c r="AD15" s="3275">
        <f t="shared" si="2"/>
        <v>3.1428571428571432</v>
      </c>
      <c r="AE15" s="3276" t="s">
        <v>3402</v>
      </c>
      <c r="AF15" s="3277"/>
      <c r="AG15" s="3277"/>
      <c r="AH15" s="3278"/>
    </row>
    <row r="16" spans="1:34" ht="35.1" customHeight="1">
      <c r="A16" s="3397"/>
      <c r="B16" s="3265">
        <v>13</v>
      </c>
      <c r="C16" s="3266" t="s">
        <v>3457</v>
      </c>
      <c r="D16" s="3267" t="s">
        <v>3458</v>
      </c>
      <c r="E16" s="3267" t="s">
        <v>3459</v>
      </c>
      <c r="F16" s="3267" t="s">
        <v>3348</v>
      </c>
      <c r="G16" s="3267" t="s">
        <v>3349</v>
      </c>
      <c r="H16" s="3267" t="s">
        <v>3460</v>
      </c>
      <c r="I16" s="3267" t="s">
        <v>3378</v>
      </c>
      <c r="J16" s="3289" t="s">
        <v>3461</v>
      </c>
      <c r="K16" s="3268" t="s">
        <v>3462</v>
      </c>
      <c r="L16" s="3268" t="s">
        <v>3381</v>
      </c>
      <c r="M16" s="3269">
        <v>15407</v>
      </c>
      <c r="N16" s="3270" t="s">
        <v>3463</v>
      </c>
      <c r="O16" s="3270" t="s">
        <v>3464</v>
      </c>
      <c r="P16" s="3271">
        <v>8088675</v>
      </c>
      <c r="Q16" s="3271">
        <v>525</v>
      </c>
      <c r="R16" s="3270" t="s">
        <v>3465</v>
      </c>
      <c r="S16" s="3270" t="s">
        <v>3466</v>
      </c>
      <c r="T16" s="3270" t="s">
        <v>3467</v>
      </c>
      <c r="U16" s="3272" t="s">
        <v>3063</v>
      </c>
      <c r="V16" s="3272" t="s">
        <v>3055</v>
      </c>
      <c r="W16" s="3273">
        <v>1.1000000000000001</v>
      </c>
      <c r="X16" s="3273">
        <f t="shared" ref="X16:X19" si="5">Z16-Y16</f>
        <v>13558.16</v>
      </c>
      <c r="Y16" s="3273">
        <f t="shared" si="4"/>
        <v>3389.5400000000004</v>
      </c>
      <c r="Z16" s="3273">
        <v>16947.7</v>
      </c>
      <c r="AA16" s="3273">
        <v>12</v>
      </c>
      <c r="AB16" s="3274">
        <v>0.35</v>
      </c>
      <c r="AC16" s="3274">
        <v>0.4</v>
      </c>
      <c r="AD16" s="3275">
        <f t="shared" si="2"/>
        <v>3.1428571428571432</v>
      </c>
      <c r="AE16" s="3276" t="s">
        <v>3402</v>
      </c>
      <c r="AF16" s="3277"/>
      <c r="AG16" s="3277"/>
      <c r="AH16" s="3278"/>
    </row>
    <row r="17" spans="1:34" ht="35.1" customHeight="1">
      <c r="A17" s="3397"/>
      <c r="B17" s="3265">
        <v>14</v>
      </c>
      <c r="C17" s="3266" t="s">
        <v>2995</v>
      </c>
      <c r="D17" s="3267" t="s">
        <v>3468</v>
      </c>
      <c r="E17" s="3267" t="s">
        <v>3469</v>
      </c>
      <c r="F17" s="3267" t="s">
        <v>3348</v>
      </c>
      <c r="G17" s="3267" t="s">
        <v>3349</v>
      </c>
      <c r="H17" s="3267" t="s">
        <v>3460</v>
      </c>
      <c r="I17" s="3267" t="s">
        <v>3378</v>
      </c>
      <c r="J17" s="3289" t="s">
        <v>3461</v>
      </c>
      <c r="K17" s="3268" t="s">
        <v>3462</v>
      </c>
      <c r="L17" s="3268" t="s">
        <v>3381</v>
      </c>
      <c r="M17" s="3269">
        <v>18263</v>
      </c>
      <c r="N17" s="3270" t="s">
        <v>3470</v>
      </c>
      <c r="O17" s="3270" t="s">
        <v>3471</v>
      </c>
      <c r="P17" s="3271">
        <v>9588075</v>
      </c>
      <c r="Q17" s="3271">
        <v>525</v>
      </c>
      <c r="R17" s="3270" t="s">
        <v>3465</v>
      </c>
      <c r="S17" s="3270" t="s">
        <v>3466</v>
      </c>
      <c r="T17" s="3270" t="s">
        <v>3467</v>
      </c>
      <c r="U17" s="3272" t="s">
        <v>3093</v>
      </c>
      <c r="V17" s="3272" t="s">
        <v>3055</v>
      </c>
      <c r="W17" s="3273">
        <v>1.1000000000000001</v>
      </c>
      <c r="X17" s="3273">
        <f t="shared" si="5"/>
        <v>16071.439999999999</v>
      </c>
      <c r="Y17" s="3273">
        <f t="shared" si="4"/>
        <v>4017.86</v>
      </c>
      <c r="Z17" s="3273">
        <v>20089.3</v>
      </c>
      <c r="AA17" s="3273">
        <v>12</v>
      </c>
      <c r="AB17" s="3274">
        <v>0.35</v>
      </c>
      <c r="AC17" s="3274">
        <v>0.4</v>
      </c>
      <c r="AD17" s="3275">
        <f t="shared" si="2"/>
        <v>3.1428571428571432</v>
      </c>
      <c r="AE17" s="3276" t="s">
        <v>3402</v>
      </c>
      <c r="AF17" s="3277"/>
      <c r="AG17" s="3277"/>
      <c r="AH17" s="3278"/>
    </row>
    <row r="18" spans="1:34" ht="35.1" customHeight="1">
      <c r="A18" s="3397"/>
      <c r="B18" s="3265">
        <v>15</v>
      </c>
      <c r="C18" s="3266" t="s">
        <v>3472</v>
      </c>
      <c r="D18" s="3267" t="s">
        <v>3473</v>
      </c>
      <c r="E18" s="3267" t="s">
        <v>3474</v>
      </c>
      <c r="F18" s="3267" t="s">
        <v>3348</v>
      </c>
      <c r="G18" s="3267" t="s">
        <v>3349</v>
      </c>
      <c r="H18" s="3267" t="s">
        <v>3460</v>
      </c>
      <c r="I18" s="3267" t="s">
        <v>3378</v>
      </c>
      <c r="J18" s="3289" t="s">
        <v>3475</v>
      </c>
      <c r="K18" s="3268" t="s">
        <v>3476</v>
      </c>
      <c r="L18" s="3268" t="s">
        <v>3381</v>
      </c>
      <c r="M18" s="3269">
        <v>36933</v>
      </c>
      <c r="N18" s="3270" t="s">
        <v>3477</v>
      </c>
      <c r="O18" s="3270" t="s">
        <v>3478</v>
      </c>
      <c r="P18" s="3271">
        <v>19389825</v>
      </c>
      <c r="Q18" s="3271">
        <v>525</v>
      </c>
      <c r="R18" s="3270" t="s">
        <v>3479</v>
      </c>
      <c r="S18" s="3270" t="s">
        <v>3480</v>
      </c>
      <c r="T18" s="3270" t="s">
        <v>3481</v>
      </c>
      <c r="U18" s="3272" t="s">
        <v>3094</v>
      </c>
      <c r="V18" s="3272" t="s">
        <v>3055</v>
      </c>
      <c r="W18" s="3273">
        <v>1.1000000000000001</v>
      </c>
      <c r="X18" s="3273">
        <f t="shared" si="5"/>
        <v>32501.040000000001</v>
      </c>
      <c r="Y18" s="3273">
        <f t="shared" si="4"/>
        <v>8125.2600000000011</v>
      </c>
      <c r="Z18" s="3273">
        <v>40626.300000000003</v>
      </c>
      <c r="AA18" s="3273">
        <v>12</v>
      </c>
      <c r="AB18" s="3274">
        <v>0.35</v>
      </c>
      <c r="AC18" s="3274" t="s">
        <v>3358</v>
      </c>
      <c r="AD18" s="3275">
        <f t="shared" si="2"/>
        <v>3.1428571428571432</v>
      </c>
      <c r="AE18" s="3276" t="s">
        <v>3402</v>
      </c>
      <c r="AF18" s="3277"/>
      <c r="AG18" s="3277"/>
      <c r="AH18" s="3278"/>
    </row>
    <row r="19" spans="1:34" ht="35.1" customHeight="1">
      <c r="A19" s="3397"/>
      <c r="B19" s="3265">
        <v>16</v>
      </c>
      <c r="C19" s="3266" t="s">
        <v>2997</v>
      </c>
      <c r="D19" s="3267" t="s">
        <v>3482</v>
      </c>
      <c r="E19" s="3267" t="s">
        <v>3483</v>
      </c>
      <c r="F19" s="3267" t="s">
        <v>3348</v>
      </c>
      <c r="G19" s="3267" t="s">
        <v>3349</v>
      </c>
      <c r="H19" s="3267" t="s">
        <v>3460</v>
      </c>
      <c r="I19" s="3267" t="s">
        <v>3378</v>
      </c>
      <c r="J19" s="3289" t="s">
        <v>3475</v>
      </c>
      <c r="K19" s="3268" t="s">
        <v>3476</v>
      </c>
      <c r="L19" s="3268" t="s">
        <v>3381</v>
      </c>
      <c r="M19" s="3269">
        <v>48398</v>
      </c>
      <c r="N19" s="3270" t="s">
        <v>3440</v>
      </c>
      <c r="O19" s="3270" t="s">
        <v>3484</v>
      </c>
      <c r="P19" s="3271">
        <v>25408950</v>
      </c>
      <c r="Q19" s="3271">
        <v>525</v>
      </c>
      <c r="R19" s="3270" t="s">
        <v>3479</v>
      </c>
      <c r="S19" s="3270" t="s">
        <v>3480</v>
      </c>
      <c r="T19" s="3270" t="s">
        <v>3481</v>
      </c>
      <c r="U19" s="3272" t="s">
        <v>3066</v>
      </c>
      <c r="V19" s="3272" t="s">
        <v>3055</v>
      </c>
      <c r="W19" s="3273">
        <v>1.1000000000000001</v>
      </c>
      <c r="X19" s="3273">
        <f t="shared" si="5"/>
        <v>42590.240000000005</v>
      </c>
      <c r="Y19" s="3273">
        <f t="shared" si="4"/>
        <v>10647.560000000001</v>
      </c>
      <c r="Z19" s="3273">
        <v>53237.8</v>
      </c>
      <c r="AA19" s="3273">
        <v>12</v>
      </c>
      <c r="AB19" s="3274">
        <v>0.35</v>
      </c>
      <c r="AC19" s="3274" t="s">
        <v>3358</v>
      </c>
      <c r="AD19" s="3275">
        <f t="shared" si="2"/>
        <v>3.1428571428571432</v>
      </c>
      <c r="AE19" s="3276" t="s">
        <v>3402</v>
      </c>
      <c r="AF19" s="3277"/>
      <c r="AG19" s="3277"/>
      <c r="AH19" s="3278"/>
    </row>
    <row r="20" spans="1:34" s="3287" customFormat="1" ht="35.1" customHeight="1" thickBot="1">
      <c r="A20" s="3398"/>
      <c r="B20" s="3279" t="s">
        <v>3344</v>
      </c>
      <c r="C20" s="3280"/>
      <c r="D20" s="3280"/>
      <c r="E20" s="3280"/>
      <c r="F20" s="3280"/>
      <c r="G20" s="3280"/>
      <c r="H20" s="3280"/>
      <c r="I20" s="3280"/>
      <c r="J20" s="3280"/>
      <c r="K20" s="3280"/>
      <c r="L20" s="3280"/>
      <c r="M20" s="3281">
        <f>SUM(M8:M19)</f>
        <v>344808.81</v>
      </c>
      <c r="N20" s="3280"/>
      <c r="O20" s="3280"/>
      <c r="P20" s="3282"/>
      <c r="Q20" s="3282"/>
      <c r="R20" s="3280"/>
      <c r="S20" s="3280"/>
      <c r="T20" s="3280"/>
      <c r="U20" s="3280"/>
      <c r="V20" s="3280"/>
      <c r="W20" s="3280"/>
      <c r="X20" s="3283">
        <f>SUM(X8:X19)</f>
        <v>306425.01999999996</v>
      </c>
      <c r="Y20" s="3283">
        <f t="shared" ref="Y20:Z20" si="6">SUM(Y8:Y19)</f>
        <v>72864.88</v>
      </c>
      <c r="Z20" s="3283">
        <f t="shared" si="6"/>
        <v>379289.9</v>
      </c>
      <c r="AA20" s="3280"/>
      <c r="AB20" s="3280"/>
      <c r="AC20" s="3284"/>
      <c r="AD20" s="3285"/>
      <c r="AE20" s="3285"/>
      <c r="AF20" s="3285">
        <f>ROUND([2]投资情况表!C12/('住宅土地明细 (2)'!M28+'[2]工业土地明细 '!J9)*M20,0)</f>
        <v>18457</v>
      </c>
      <c r="AG20" s="3285">
        <f>ROUND(([2]投资情况表!D12-[2]投资情况表!D11)/('住宅土地明细 (2)'!M28+'[2]工业土地明细 '!J9)*M20,0)</f>
        <v>11929</v>
      </c>
      <c r="AH20" s="3286">
        <f>AF20-AG20</f>
        <v>6528</v>
      </c>
    </row>
    <row r="21" spans="1:34" ht="35.1" customHeight="1">
      <c r="A21" s="3396">
        <v>3</v>
      </c>
      <c r="B21" s="3250">
        <v>17</v>
      </c>
      <c r="C21" s="3251" t="s">
        <v>2993</v>
      </c>
      <c r="D21" s="3252" t="s">
        <v>3485</v>
      </c>
      <c r="E21" s="3252" t="s">
        <v>3486</v>
      </c>
      <c r="F21" s="3252" t="s">
        <v>3348</v>
      </c>
      <c r="G21" s="3252" t="s">
        <v>3349</v>
      </c>
      <c r="H21" s="3252" t="s">
        <v>3487</v>
      </c>
      <c r="I21" s="3252" t="s">
        <v>3378</v>
      </c>
      <c r="J21" s="3288" t="s">
        <v>3449</v>
      </c>
      <c r="K21" s="3268" t="s">
        <v>3450</v>
      </c>
      <c r="L21" s="3268" t="s">
        <v>3381</v>
      </c>
      <c r="M21" s="3255">
        <v>76242</v>
      </c>
      <c r="N21" s="3256" t="s">
        <v>3488</v>
      </c>
      <c r="O21" s="3256" t="s">
        <v>3489</v>
      </c>
      <c r="P21" s="3257">
        <v>51463350</v>
      </c>
      <c r="Q21" s="3257">
        <v>675</v>
      </c>
      <c r="R21" s="3256" t="s">
        <v>3453</v>
      </c>
      <c r="S21" s="3256" t="s">
        <v>3454</v>
      </c>
      <c r="T21" s="3256" t="s">
        <v>3455</v>
      </c>
      <c r="U21" s="3258" t="s">
        <v>3060</v>
      </c>
      <c r="V21" s="3258" t="s">
        <v>3062</v>
      </c>
      <c r="W21" s="3259">
        <v>1.5</v>
      </c>
      <c r="X21" s="3259">
        <f>Z21-Y21</f>
        <v>91490.4</v>
      </c>
      <c r="Y21" s="3259">
        <f>Z21*0.2</f>
        <v>22872.600000000002</v>
      </c>
      <c r="Z21" s="3259">
        <v>114363</v>
      </c>
      <c r="AA21" s="3259">
        <v>21</v>
      </c>
      <c r="AB21" s="3260">
        <v>0.22</v>
      </c>
      <c r="AC21" s="3260">
        <v>0.4</v>
      </c>
      <c r="AD21" s="3261">
        <f>W21/AB21</f>
        <v>6.8181818181818183</v>
      </c>
      <c r="AE21" s="3262" t="s">
        <v>3490</v>
      </c>
      <c r="AF21" s="3263"/>
      <c r="AG21" s="3263"/>
      <c r="AH21" s="3264"/>
    </row>
    <row r="22" spans="1:34" s="3287" customFormat="1" ht="35.1" customHeight="1" thickBot="1">
      <c r="A22" s="3398"/>
      <c r="B22" s="3279" t="s">
        <v>3344</v>
      </c>
      <c r="C22" s="3280"/>
      <c r="D22" s="3280"/>
      <c r="E22" s="3280"/>
      <c r="F22" s="3280"/>
      <c r="G22" s="3280"/>
      <c r="H22" s="3280"/>
      <c r="I22" s="3280"/>
      <c r="J22" s="3280"/>
      <c r="K22" s="3280"/>
      <c r="L22" s="3280"/>
      <c r="M22" s="3281">
        <f>SUM(M21)</f>
        <v>76242</v>
      </c>
      <c r="N22" s="3280"/>
      <c r="O22" s="3280"/>
      <c r="P22" s="3282"/>
      <c r="Q22" s="3282"/>
      <c r="R22" s="3280"/>
      <c r="S22" s="3280"/>
      <c r="T22" s="3280"/>
      <c r="U22" s="3280"/>
      <c r="V22" s="3280"/>
      <c r="W22" s="3280"/>
      <c r="X22" s="3283">
        <f>SUM(X21)</f>
        <v>91490.4</v>
      </c>
      <c r="Y22" s="3283">
        <f t="shared" ref="Y22:Z22" si="7">SUM(Y21)</f>
        <v>22872.600000000002</v>
      </c>
      <c r="Z22" s="3283">
        <f t="shared" si="7"/>
        <v>114363</v>
      </c>
      <c r="AA22" s="3280"/>
      <c r="AB22" s="3280"/>
      <c r="AC22" s="3284"/>
      <c r="AD22" s="3285"/>
      <c r="AE22" s="3285"/>
      <c r="AF22" s="3285">
        <f>ROUND([2]投资情况表!C12/('住宅土地明细 (2)'!M28+'[2]工业土地明细 '!J9)*M22,0)</f>
        <v>4081</v>
      </c>
      <c r="AG22" s="3285">
        <f>ROUND(([2]投资情况表!D12-[2]投资情况表!D11)/('住宅土地明细 (2)'!M28+'[2]工业土地明细 '!J9)*M22,0)</f>
        <v>2638</v>
      </c>
      <c r="AH22" s="3286">
        <f>AF22-AG22</f>
        <v>1443</v>
      </c>
    </row>
    <row r="23" spans="1:34" ht="35.1" customHeight="1">
      <c r="A23" s="3396">
        <v>4</v>
      </c>
      <c r="B23" s="3250">
        <v>18</v>
      </c>
      <c r="C23" s="3251" t="s">
        <v>3491</v>
      </c>
      <c r="D23" s="3252" t="s">
        <v>3492</v>
      </c>
      <c r="E23" s="3252" t="s">
        <v>3493</v>
      </c>
      <c r="F23" s="3252" t="s">
        <v>3348</v>
      </c>
      <c r="G23" s="3252" t="s">
        <v>3349</v>
      </c>
      <c r="H23" s="3252" t="s">
        <v>3494</v>
      </c>
      <c r="I23" s="3252" t="s">
        <v>3343</v>
      </c>
      <c r="J23" s="3288" t="s">
        <v>3495</v>
      </c>
      <c r="K23" s="3290" t="s">
        <v>3496</v>
      </c>
      <c r="L23" s="3290" t="s">
        <v>3495</v>
      </c>
      <c r="M23" s="3255">
        <v>7194.23</v>
      </c>
      <c r="N23" s="3256" t="s">
        <v>3497</v>
      </c>
      <c r="O23" s="3256" t="s">
        <v>3498</v>
      </c>
      <c r="P23" s="3257">
        <v>6474600</v>
      </c>
      <c r="Q23" s="3257">
        <v>900</v>
      </c>
      <c r="R23" s="3256" t="s">
        <v>3355</v>
      </c>
      <c r="S23" s="3256" t="s">
        <v>3356</v>
      </c>
      <c r="T23" s="3256" t="s">
        <v>3357</v>
      </c>
      <c r="U23" s="3258" t="s">
        <v>3075</v>
      </c>
      <c r="V23" s="3258" t="s">
        <v>3034</v>
      </c>
      <c r="W23" s="3259">
        <v>2</v>
      </c>
      <c r="X23" s="3259">
        <v>0</v>
      </c>
      <c r="Y23" s="3259">
        <v>14388</v>
      </c>
      <c r="Z23" s="3259">
        <f>X23+Y23</f>
        <v>14388</v>
      </c>
      <c r="AA23" s="3259" t="s">
        <v>3358</v>
      </c>
      <c r="AB23" s="3260">
        <v>0.3</v>
      </c>
      <c r="AC23" s="3260" t="s">
        <v>3358</v>
      </c>
      <c r="AD23" s="3291"/>
      <c r="AE23" s="3292"/>
      <c r="AF23" s="3263"/>
      <c r="AG23" s="3263"/>
      <c r="AH23" s="3264"/>
    </row>
    <row r="24" spans="1:34" ht="35.1" customHeight="1">
      <c r="A24" s="3397"/>
      <c r="B24" s="3265">
        <v>19</v>
      </c>
      <c r="C24" s="3266" t="s">
        <v>2981</v>
      </c>
      <c r="D24" s="3267" t="s">
        <v>3499</v>
      </c>
      <c r="E24" s="3267" t="s">
        <v>3500</v>
      </c>
      <c r="F24" s="3267" t="s">
        <v>3348</v>
      </c>
      <c r="G24" s="3267" t="s">
        <v>3349</v>
      </c>
      <c r="H24" s="3267" t="s">
        <v>3494</v>
      </c>
      <c r="I24" s="3267" t="s">
        <v>3343</v>
      </c>
      <c r="J24" s="3289" t="s">
        <v>3501</v>
      </c>
      <c r="K24" s="3289" t="s">
        <v>3502</v>
      </c>
      <c r="L24" s="3289" t="s">
        <v>3495</v>
      </c>
      <c r="M24" s="3269">
        <v>11555</v>
      </c>
      <c r="N24" s="3270" t="s">
        <v>3503</v>
      </c>
      <c r="O24" s="3270" t="s">
        <v>3504</v>
      </c>
      <c r="P24" s="3271">
        <v>7799625</v>
      </c>
      <c r="Q24" s="3271">
        <v>675</v>
      </c>
      <c r="R24" s="3270" t="s">
        <v>3365</v>
      </c>
      <c r="S24" s="3270" t="s">
        <v>3366</v>
      </c>
      <c r="T24" s="3270" t="s">
        <v>3374</v>
      </c>
      <c r="U24" s="3272" t="s">
        <v>3078</v>
      </c>
      <c r="V24" s="3272" t="s">
        <v>3074</v>
      </c>
      <c r="W24" s="3273">
        <v>1.5</v>
      </c>
      <c r="X24" s="3273">
        <v>0</v>
      </c>
      <c r="Y24" s="3273">
        <v>17332.5</v>
      </c>
      <c r="Z24" s="3273">
        <f>X24+Y24</f>
        <v>17332.5</v>
      </c>
      <c r="AA24" s="3273" t="s">
        <v>3358</v>
      </c>
      <c r="AB24" s="3274">
        <v>0.3</v>
      </c>
      <c r="AC24" s="3274" t="s">
        <v>3358</v>
      </c>
      <c r="AD24" s="3293"/>
      <c r="AE24" s="3293"/>
      <c r="AF24" s="3277"/>
      <c r="AG24" s="3277"/>
      <c r="AH24" s="3278"/>
    </row>
    <row r="25" spans="1:34" ht="35.1" customHeight="1">
      <c r="A25" s="3397"/>
      <c r="B25" s="3265">
        <v>20</v>
      </c>
      <c r="C25" s="3266" t="s">
        <v>2982</v>
      </c>
      <c r="D25" s="3267" t="s">
        <v>3505</v>
      </c>
      <c r="E25" s="3267" t="s">
        <v>3369</v>
      </c>
      <c r="F25" s="3267" t="s">
        <v>3348</v>
      </c>
      <c r="G25" s="3267" t="s">
        <v>3349</v>
      </c>
      <c r="H25" s="3267" t="s">
        <v>3494</v>
      </c>
      <c r="I25" s="3267" t="s">
        <v>3343</v>
      </c>
      <c r="J25" s="3289" t="s">
        <v>3501</v>
      </c>
      <c r="K25" s="3289" t="s">
        <v>3502</v>
      </c>
      <c r="L25" s="3289" t="s">
        <v>3495</v>
      </c>
      <c r="M25" s="3269">
        <v>8707</v>
      </c>
      <c r="N25" s="3270" t="s">
        <v>3506</v>
      </c>
      <c r="O25" s="3270" t="s">
        <v>3507</v>
      </c>
      <c r="P25" s="3271">
        <v>5877225</v>
      </c>
      <c r="Q25" s="3271">
        <v>675</v>
      </c>
      <c r="R25" s="3270" t="s">
        <v>3365</v>
      </c>
      <c r="S25" s="3270" t="s">
        <v>3366</v>
      </c>
      <c r="T25" s="3270" t="s">
        <v>3374</v>
      </c>
      <c r="U25" s="3272" t="s">
        <v>3077</v>
      </c>
      <c r="V25" s="3272" t="s">
        <v>3074</v>
      </c>
      <c r="W25" s="3273">
        <v>1.5</v>
      </c>
      <c r="X25" s="3273">
        <v>0</v>
      </c>
      <c r="Y25" s="3273">
        <v>13060.5</v>
      </c>
      <c r="Z25" s="3273">
        <f>X25+Y25</f>
        <v>13060.5</v>
      </c>
      <c r="AA25" s="3273" t="s">
        <v>3358</v>
      </c>
      <c r="AB25" s="3274">
        <v>0.3</v>
      </c>
      <c r="AC25" s="3274" t="s">
        <v>3358</v>
      </c>
      <c r="AD25" s="3293"/>
      <c r="AE25" s="3293"/>
      <c r="AF25" s="3277"/>
      <c r="AG25" s="3277"/>
      <c r="AH25" s="3278"/>
    </row>
    <row r="26" spans="1:34" ht="35.1" customHeight="1">
      <c r="A26" s="3397"/>
      <c r="B26" s="3265">
        <v>21</v>
      </c>
      <c r="C26" s="3266" t="s">
        <v>2992</v>
      </c>
      <c r="D26" s="3267" t="s">
        <v>3508</v>
      </c>
      <c r="E26" s="3267" t="s">
        <v>3509</v>
      </c>
      <c r="F26" s="3267" t="s">
        <v>3348</v>
      </c>
      <c r="G26" s="3267" t="s">
        <v>3349</v>
      </c>
      <c r="H26" s="3267" t="s">
        <v>3510</v>
      </c>
      <c r="I26" s="3267" t="s">
        <v>3343</v>
      </c>
      <c r="J26" s="3289" t="s">
        <v>3511</v>
      </c>
      <c r="K26" s="3289" t="s">
        <v>3512</v>
      </c>
      <c r="L26" s="3294" t="s">
        <v>3495</v>
      </c>
      <c r="M26" s="3269">
        <v>12603</v>
      </c>
      <c r="N26" s="3270" t="s">
        <v>3513</v>
      </c>
      <c r="O26" s="3270" t="s">
        <v>3514</v>
      </c>
      <c r="P26" s="3271">
        <v>8507025</v>
      </c>
      <c r="Q26" s="3271">
        <v>675</v>
      </c>
      <c r="R26" s="3270" t="s">
        <v>3453</v>
      </c>
      <c r="S26" s="3270" t="s">
        <v>3454</v>
      </c>
      <c r="T26" s="3270" t="s">
        <v>3455</v>
      </c>
      <c r="U26" s="3272" t="s">
        <v>3072</v>
      </c>
      <c r="V26" s="3272" t="s">
        <v>3074</v>
      </c>
      <c r="W26" s="3273">
        <v>1.5</v>
      </c>
      <c r="X26" s="3273">
        <v>0</v>
      </c>
      <c r="Y26" s="3273">
        <v>18904.5</v>
      </c>
      <c r="Z26" s="3273">
        <f>X26+Y26</f>
        <v>18904.5</v>
      </c>
      <c r="AA26" s="3273">
        <v>24</v>
      </c>
      <c r="AB26" s="3274">
        <v>0.3</v>
      </c>
      <c r="AC26" s="3274" t="s">
        <v>3358</v>
      </c>
      <c r="AD26" s="3293"/>
      <c r="AE26" s="3293"/>
      <c r="AF26" s="3277"/>
      <c r="AG26" s="3277"/>
      <c r="AH26" s="3278"/>
    </row>
    <row r="27" spans="1:34" s="3287" customFormat="1" ht="35.1" customHeight="1" thickBot="1">
      <c r="A27" s="3398"/>
      <c r="B27" s="3279" t="s">
        <v>3344</v>
      </c>
      <c r="C27" s="3280"/>
      <c r="D27" s="3280"/>
      <c r="E27" s="3280"/>
      <c r="F27" s="3280"/>
      <c r="G27" s="3280"/>
      <c r="H27" s="3280"/>
      <c r="I27" s="3280"/>
      <c r="J27" s="3280"/>
      <c r="K27" s="3280"/>
      <c r="L27" s="3280"/>
      <c r="M27" s="3281">
        <f>SUM(M23:M26)</f>
        <v>40059.229999999996</v>
      </c>
      <c r="N27" s="3280"/>
      <c r="O27" s="3280"/>
      <c r="P27" s="3282"/>
      <c r="Q27" s="3282"/>
      <c r="R27" s="3280"/>
      <c r="S27" s="3280"/>
      <c r="T27" s="3280"/>
      <c r="U27" s="3280"/>
      <c r="V27" s="3280"/>
      <c r="W27" s="3280"/>
      <c r="X27" s="3283">
        <f>SUM(X23:X26)</f>
        <v>0</v>
      </c>
      <c r="Y27" s="3283">
        <f>SUM(Y23:Y26)</f>
        <v>63685.5</v>
      </c>
      <c r="Z27" s="3283">
        <f>SUM(Z23:Z26)</f>
        <v>63685.5</v>
      </c>
      <c r="AA27" s="3280"/>
      <c r="AB27" s="3280"/>
      <c r="AC27" s="3284"/>
      <c r="AD27" s="3285"/>
      <c r="AE27" s="3285"/>
      <c r="AF27" s="3285">
        <f>ROUND([2]投资情况表!C12/('住宅土地明细 (2)'!M28+'[2]工业土地明细 '!J9)*M27,0)</f>
        <v>2144</v>
      </c>
      <c r="AG27" s="3285">
        <f>ROUND(([2]投资情况表!D12-[2]投资情况表!D11)/('住宅土地明细 (2)'!M28+'[2]工业土地明细 '!J9)*M27,0)</f>
        <v>1386</v>
      </c>
      <c r="AH27" s="3286">
        <f>AF27-AG27</f>
        <v>758</v>
      </c>
    </row>
    <row r="28" spans="1:34" s="3287" customFormat="1" ht="39.950000000000003" customHeight="1" thickBot="1">
      <c r="A28" s="3399" t="s">
        <v>3515</v>
      </c>
      <c r="B28" s="3400"/>
      <c r="C28" s="3295"/>
      <c r="D28" s="3295"/>
      <c r="E28" s="3295"/>
      <c r="F28" s="3295"/>
      <c r="G28" s="3295"/>
      <c r="H28" s="3295"/>
      <c r="I28" s="3295"/>
      <c r="J28" s="3295"/>
      <c r="K28" s="3295"/>
      <c r="L28" s="3295"/>
      <c r="M28" s="3296">
        <f>M7+M20+M22+M27</f>
        <v>556482</v>
      </c>
      <c r="N28" s="3295"/>
      <c r="O28" s="3295"/>
      <c r="P28" s="3297"/>
      <c r="Q28" s="3297"/>
      <c r="R28" s="3295"/>
      <c r="S28" s="3295"/>
      <c r="T28" s="3295"/>
      <c r="U28" s="3295"/>
      <c r="V28" s="3295"/>
      <c r="W28" s="3295">
        <f>ROUND(Z28/M28,2)</f>
        <v>1.34</v>
      </c>
      <c r="X28" s="3298">
        <f>X27+X22+X20+X7</f>
        <v>582581.81999999995</v>
      </c>
      <c r="Y28" s="3298">
        <f t="shared" ref="Y28:Z28" si="8">Y27+Y22+Y20+Y7</f>
        <v>165500.58000000002</v>
      </c>
      <c r="Z28" s="3298">
        <f t="shared" si="8"/>
        <v>748082.4</v>
      </c>
      <c r="AA28" s="3295"/>
      <c r="AB28" s="3295"/>
      <c r="AC28" s="3299"/>
      <c r="AD28" s="3300"/>
      <c r="AE28" s="3300"/>
      <c r="AF28" s="3300">
        <f>SUM(AF3:AF27)</f>
        <v>29787</v>
      </c>
      <c r="AG28" s="3300">
        <f>SUM(AG3:AG27)</f>
        <v>19253</v>
      </c>
      <c r="AH28" s="3301">
        <f>SUM(AH3:AH27)</f>
        <v>10534</v>
      </c>
    </row>
    <row r="32" spans="1:34">
      <c r="X32" s="3302" t="s">
        <v>3342</v>
      </c>
      <c r="Y32" s="3302">
        <v>0.99099999999999999</v>
      </c>
    </row>
    <row r="33" spans="24:25">
      <c r="X33" s="3302" t="s">
        <v>3343</v>
      </c>
      <c r="Y33" s="3302">
        <v>0.96399999999999997</v>
      </c>
    </row>
    <row r="35" spans="24:25">
      <c r="Y35" s="3302">
        <f>ROUND((Y32*X28+Y33*Y28)/Z28,3)</f>
        <v>0.98499999999999999</v>
      </c>
    </row>
    <row r="36" spans="24:25">
      <c r="Y36" s="3305">
        <f>ROUND(100/Y35,0)</f>
        <v>102</v>
      </c>
    </row>
  </sheetData>
  <mergeCells count="35">
    <mergeCell ref="A3:A7"/>
    <mergeCell ref="A8:A20"/>
    <mergeCell ref="A21:A22"/>
    <mergeCell ref="A23:A27"/>
    <mergeCell ref="A28:B28"/>
    <mergeCell ref="AH1:AH2"/>
    <mergeCell ref="S1:S2"/>
    <mergeCell ref="T1:T2"/>
    <mergeCell ref="U1:U2"/>
    <mergeCell ref="V1:W1"/>
    <mergeCell ref="X1:Z1"/>
    <mergeCell ref="AA1:AA2"/>
    <mergeCell ref="AB1:AB2"/>
    <mergeCell ref="AC1:AC2"/>
    <mergeCell ref="AD1:AE2"/>
    <mergeCell ref="AF1:AF2"/>
    <mergeCell ref="AG1:AG2"/>
    <mergeCell ref="R1:R2"/>
    <mergeCell ref="G1:G2"/>
    <mergeCell ref="H1:H2"/>
    <mergeCell ref="I1:I2"/>
    <mergeCell ref="J1:J2"/>
    <mergeCell ref="K1:K2"/>
    <mergeCell ref="L1:L2"/>
    <mergeCell ref="M1:M2"/>
    <mergeCell ref="N1:N2"/>
    <mergeCell ref="O1:O2"/>
    <mergeCell ref="P1:P2"/>
    <mergeCell ref="Q1:Q2"/>
    <mergeCell ref="F1:F2"/>
    <mergeCell ref="A1:A2"/>
    <mergeCell ref="B1:B2"/>
    <mergeCell ref="C1:C2"/>
    <mergeCell ref="D1:D2"/>
    <mergeCell ref="E1:E2"/>
  </mergeCells>
  <phoneticPr fontId="233" type="noConversion"/>
  <pageMargins left="0.7" right="0.7" top="0.75" bottom="0.75" header="0.3" footer="0.3"/>
  <pageSetup paperSize="9" scale="32" fitToHeight="0"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6" sqref="G26"/>
    </sheetView>
  </sheetViews>
  <sheetFormatPr defaultColWidth="9.25" defaultRowHeight="14.25"/>
  <cols>
    <col min="1" max="1" width="8.25" style="1985" customWidth="1"/>
    <col min="2" max="2" width="10.25" style="1985" customWidth="1"/>
    <col min="3" max="3" width="13.62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410" t="s">
        <v>203</v>
      </c>
      <c r="B2" s="3410"/>
      <c r="C2" s="3410"/>
      <c r="D2" s="1975" t="s">
        <v>204</v>
      </c>
      <c r="E2" s="106" t="s">
        <v>205</v>
      </c>
      <c r="F2" s="1984"/>
      <c r="G2" s="1198"/>
      <c r="H2" s="1199"/>
      <c r="I2" s="1200" t="s">
        <v>857</v>
      </c>
      <c r="J2" s="1984"/>
      <c r="K2" s="1984"/>
      <c r="L2" s="1984"/>
    </row>
    <row r="3" spans="1:16" ht="15.75" thickBot="1">
      <c r="A3" s="3411" t="s">
        <v>206</v>
      </c>
      <c r="B3" s="3411"/>
      <c r="C3" s="3411"/>
      <c r="D3" s="107">
        <f>'数据-基础表'!AY6</f>
        <v>76242</v>
      </c>
      <c r="E3" s="107">
        <f>'数据-基础表'!AZ5</f>
        <v>114363</v>
      </c>
      <c r="F3" s="1984"/>
      <c r="G3" s="280" t="s">
        <v>858</v>
      </c>
      <c r="H3" s="275" t="s">
        <v>859</v>
      </c>
      <c r="I3" s="1976">
        <f>ROUND('数据-基础表'!B3/'数据-基础表'!A3,2)</f>
        <v>1.5</v>
      </c>
      <c r="J3" s="1984"/>
      <c r="K3" s="1984"/>
      <c r="L3" s="1984"/>
    </row>
    <row r="4" spans="1:16" ht="15">
      <c r="A4" s="3412"/>
      <c r="B4" s="3413"/>
      <c r="C4" s="3414"/>
      <c r="D4" s="108" t="s">
        <v>204</v>
      </c>
      <c r="E4" s="109" t="s">
        <v>205</v>
      </c>
      <c r="F4" s="1984"/>
      <c r="G4" s="1201"/>
      <c r="H4" s="275" t="s">
        <v>860</v>
      </c>
      <c r="I4" s="1976">
        <f>ROUND(SUMIF('数据-基础表'!I9:AS9,"地上",'数据-基础表'!I5:AS5)/'数据-基础表'!A3,2)</f>
        <v>1.5</v>
      </c>
      <c r="J4" s="1984"/>
      <c r="K4" s="1984"/>
      <c r="L4" s="1984"/>
    </row>
    <row r="5" spans="1:16">
      <c r="A5" s="110" t="s">
        <v>207</v>
      </c>
      <c r="B5" s="3415" t="s">
        <v>230</v>
      </c>
      <c r="C5" s="3415"/>
      <c r="D5" s="111">
        <f>ROUND($D$3*E5/$E$3,2)</f>
        <v>60993.599999999999</v>
      </c>
      <c r="E5" s="112">
        <f>SUMIF('数据-基础表'!$11:$11,"住宅",'数据-基础表'!$5:$5)</f>
        <v>91490.4</v>
      </c>
      <c r="F5" s="1984"/>
      <c r="G5" s="280" t="s">
        <v>861</v>
      </c>
      <c r="H5" s="275" t="s">
        <v>859</v>
      </c>
      <c r="I5" s="1976">
        <f>ROUND(E31/D31,2)</f>
        <v>1.5</v>
      </c>
      <c r="J5" s="1984"/>
      <c r="K5" s="1984"/>
      <c r="L5" s="1984"/>
    </row>
    <row r="6" spans="1:16" ht="15" thickBot="1">
      <c r="A6" s="113"/>
      <c r="B6" s="3415" t="s">
        <v>208</v>
      </c>
      <c r="C6" s="3415"/>
      <c r="D6" s="111">
        <f>ROUND($D$3*E6/$E$3,2)</f>
        <v>15248.4</v>
      </c>
      <c r="E6" s="112">
        <f>E3-E5</f>
        <v>22872.600000000006</v>
      </c>
      <c r="F6" s="1984"/>
      <c r="G6" s="1201"/>
      <c r="H6" s="275" t="s">
        <v>860</v>
      </c>
      <c r="I6" s="1976">
        <f>ROUND(F31/D31,2)</f>
        <v>1.5</v>
      </c>
      <c r="J6" s="1984"/>
      <c r="K6" s="1984"/>
      <c r="L6" s="1984"/>
    </row>
    <row r="7" spans="1:16" ht="15">
      <c r="A7" s="3407"/>
      <c r="B7" s="3408"/>
      <c r="C7" s="3409"/>
      <c r="D7" s="108" t="s">
        <v>204</v>
      </c>
      <c r="E7" s="114" t="s">
        <v>231</v>
      </c>
      <c r="F7" s="1984"/>
      <c r="G7" s="1156" t="s">
        <v>1646</v>
      </c>
      <c r="H7" s="1157"/>
      <c r="I7" s="1846"/>
      <c r="J7" s="1984"/>
      <c r="K7" s="1984"/>
      <c r="L7" s="1984"/>
    </row>
    <row r="8" spans="1:16">
      <c r="A8" s="110" t="s">
        <v>209</v>
      </c>
      <c r="B8" s="115" t="s">
        <v>210</v>
      </c>
      <c r="C8" s="111" t="s">
        <v>211</v>
      </c>
      <c r="D8" s="111">
        <f t="shared" ref="D8:D15" si="0">ROUND($D$3*E8/$E$3,2)</f>
        <v>76242</v>
      </c>
      <c r="E8" s="116">
        <f>SUMIF('数据-基础表'!BB10:BK10,"地上",'数据-基础表'!BB5:BK5)</f>
        <v>114363</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2327</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2334</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76242</v>
      </c>
      <c r="E16" s="120">
        <f>SUM(E8:E15)</f>
        <v>114363</v>
      </c>
      <c r="F16" s="1984"/>
      <c r="G16" s="1986"/>
      <c r="H16" s="969" t="s">
        <v>219</v>
      </c>
      <c r="I16" s="970"/>
      <c r="J16" s="1984"/>
      <c r="K16" s="3401" t="s">
        <v>2568</v>
      </c>
      <c r="L16" s="3402"/>
      <c r="M16" s="3402"/>
      <c r="N16" s="3402"/>
      <c r="O16" s="3402"/>
      <c r="P16" s="3403"/>
    </row>
    <row r="17" spans="1:19" ht="15">
      <c r="A17" s="121" t="s">
        <v>216</v>
      </c>
      <c r="B17" s="122" t="s">
        <v>217</v>
      </c>
      <c r="C17" s="2298" t="s">
        <v>2313</v>
      </c>
      <c r="D17" s="108" t="s">
        <v>204</v>
      </c>
      <c r="E17" s="124" t="s">
        <v>205</v>
      </c>
      <c r="F17" s="125"/>
      <c r="G17" s="1365"/>
      <c r="H17" s="971" t="s">
        <v>218</v>
      </c>
      <c r="I17" s="972" t="s">
        <v>2312</v>
      </c>
      <c r="J17" s="1984"/>
      <c r="K17" s="3404" t="s">
        <v>2569</v>
      </c>
      <c r="L17" s="3405"/>
      <c r="M17" s="3406"/>
      <c r="N17" s="3404" t="s">
        <v>2570</v>
      </c>
      <c r="O17" s="3405"/>
      <c r="P17" s="3406"/>
      <c r="R17" s="2299" t="s">
        <v>2311</v>
      </c>
      <c r="S17" s="144"/>
    </row>
    <row r="18" spans="1:19" ht="15">
      <c r="A18" s="117"/>
      <c r="B18" s="128"/>
      <c r="C18" s="129"/>
      <c r="D18" s="2667"/>
      <c r="E18" s="130" t="s">
        <v>220</v>
      </c>
      <c r="F18" s="131" t="s">
        <v>221</v>
      </c>
      <c r="G18" s="1366" t="s">
        <v>222</v>
      </c>
      <c r="H18" s="973" t="s">
        <v>223</v>
      </c>
      <c r="I18" s="974" t="s">
        <v>224</v>
      </c>
      <c r="J18" s="1984"/>
      <c r="K18" s="2629" t="s">
        <v>2571</v>
      </c>
      <c r="L18" s="2630" t="s">
        <v>2572</v>
      </c>
      <c r="M18" s="2631" t="s">
        <v>2573</v>
      </c>
      <c r="N18" s="2629" t="s">
        <v>2571</v>
      </c>
      <c r="O18" s="2630" t="s">
        <v>2572</v>
      </c>
      <c r="P18" s="2631" t="s">
        <v>2573</v>
      </c>
      <c r="R18" s="2300" t="s">
        <v>2309</v>
      </c>
      <c r="S18" s="2300" t="s">
        <v>2310</v>
      </c>
    </row>
    <row r="19" spans="1:19">
      <c r="A19" s="133"/>
      <c r="B19" s="115" t="s">
        <v>225</v>
      </c>
      <c r="C19" s="3051" t="s">
        <v>3149</v>
      </c>
      <c r="D19" s="111">
        <f t="shared" ref="D19:D26" si="1">ROUND($D$3*E19/$E$3,2)</f>
        <v>0</v>
      </c>
      <c r="E19" s="134">
        <f t="shared" ref="E19:E26" si="2">SUM(F19:G19)</f>
        <v>0</v>
      </c>
      <c r="F19" s="135">
        <f>'数据-基础表'!I13</f>
        <v>0</v>
      </c>
      <c r="G19" s="1367"/>
      <c r="H19" s="975">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0</v>
      </c>
      <c r="S19" s="2301">
        <f t="shared" si="5"/>
        <v>0</v>
      </c>
    </row>
    <row r="20" spans="1:19">
      <c r="A20" s="138"/>
      <c r="B20" s="115" t="s">
        <v>226</v>
      </c>
      <c r="C20" s="3051" t="s">
        <v>3279</v>
      </c>
      <c r="D20" s="111">
        <f t="shared" si="1"/>
        <v>60993.599999999999</v>
      </c>
      <c r="E20" s="134">
        <f t="shared" si="2"/>
        <v>91490.4</v>
      </c>
      <c r="F20" s="135">
        <f>'数据-基础表'!K13</f>
        <v>91490.4</v>
      </c>
      <c r="G20" s="1367"/>
      <c r="H20" s="975">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60993.599999999999</v>
      </c>
      <c r="S20" s="2301">
        <f t="shared" si="5"/>
        <v>91490.4</v>
      </c>
    </row>
    <row r="21" spans="1:19">
      <c r="A21" s="138"/>
      <c r="B21" s="115" t="s">
        <v>226</v>
      </c>
      <c r="C21" s="3051" t="s">
        <v>3280</v>
      </c>
      <c r="D21" s="111">
        <f t="shared" si="1"/>
        <v>0</v>
      </c>
      <c r="E21" s="134">
        <f t="shared" si="2"/>
        <v>0</v>
      </c>
      <c r="F21" s="135">
        <f>'数据-基础表'!M13</f>
        <v>0</v>
      </c>
      <c r="G21" s="1367"/>
      <c r="H21" s="975">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c r="A22" s="138"/>
      <c r="B22" s="115" t="s">
        <v>226</v>
      </c>
      <c r="C22" s="3203" t="s">
        <v>3281</v>
      </c>
      <c r="D22" s="111">
        <f t="shared" si="1"/>
        <v>15248.4</v>
      </c>
      <c r="E22" s="134">
        <f t="shared" si="2"/>
        <v>22872.600000000002</v>
      </c>
      <c r="F22" s="140">
        <f>'数据-基础表'!O13</f>
        <v>22872.600000000002</v>
      </c>
      <c r="G22" s="1368"/>
      <c r="H22" s="975">
        <f t="shared" si="6"/>
        <v>0</v>
      </c>
      <c r="I22" s="116">
        <f t="shared" si="7"/>
        <v>0</v>
      </c>
      <c r="J22" s="1984"/>
      <c r="K22" s="2632">
        <f t="shared" si="3"/>
        <v>0</v>
      </c>
      <c r="L22" s="275">
        <f t="shared" si="4"/>
        <v>0</v>
      </c>
      <c r="M22" s="2633">
        <f t="shared" si="8"/>
        <v>0</v>
      </c>
      <c r="N22" s="2634"/>
      <c r="O22" s="2635"/>
      <c r="P22" s="2636">
        <f t="shared" si="9"/>
        <v>0</v>
      </c>
      <c r="R22" s="275">
        <f t="shared" si="5"/>
        <v>15248.4</v>
      </c>
      <c r="S22" s="2301">
        <f t="shared" si="5"/>
        <v>22872.600000000002</v>
      </c>
    </row>
    <row r="23" spans="1:19">
      <c r="A23" s="138"/>
      <c r="B23" s="115" t="s">
        <v>226</v>
      </c>
      <c r="C23" s="139"/>
      <c r="D23" s="111">
        <f>ROUND($D$3*E23/$E$3,2)</f>
        <v>0</v>
      </c>
      <c r="E23" s="134">
        <f>SUM(F23:G23)</f>
        <v>0</v>
      </c>
      <c r="F23" s="140"/>
      <c r="G23" s="1368"/>
      <c r="H23" s="975">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8"/>
      <c r="H24" s="975">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76242</v>
      </c>
      <c r="E27" s="143">
        <f>IF(SUM(E19:E26)='数据-基础表'!BA5,SUM(E19:E26),IF(F27="地上面积有误","面积有误","地下面积有误"))</f>
        <v>114363</v>
      </c>
      <c r="F27" s="134">
        <f>IF(SUM(F19:F26)=E8,SUM(F19:F26),"地上面积有误")</f>
        <v>114363</v>
      </c>
      <c r="G27" s="112">
        <f>SUM(G19:G26)</f>
        <v>0</v>
      </c>
      <c r="H27" s="976">
        <f>SUM(H19:H26)</f>
        <v>0</v>
      </c>
      <c r="I27" s="977">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76242</v>
      </c>
      <c r="S27" s="275">
        <f>IF(SUM(S19:S26)=$E$3,SUM(S19:S26),SUM(S19:S26)&amp;"误差"&amp;ROUND(SUM(S19:S26)-E3,2))</f>
        <v>114363</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2320</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69"/>
      <c r="B31" s="1370" t="s">
        <v>229</v>
      </c>
      <c r="C31" s="2330" t="s">
        <v>2322</v>
      </c>
      <c r="D31" s="1371">
        <f>D27+D30</f>
        <v>76242</v>
      </c>
      <c r="E31" s="1371">
        <f>E27+E30</f>
        <v>114363</v>
      </c>
      <c r="F31" s="1372">
        <f>F27+F30</f>
        <v>114363</v>
      </c>
      <c r="G31" s="1373">
        <f>G27+G30</f>
        <v>0</v>
      </c>
      <c r="H31" s="1984"/>
      <c r="I31" s="1984"/>
      <c r="J31" s="1984"/>
      <c r="K31" s="1984"/>
      <c r="L31" s="1984"/>
    </row>
    <row r="32" spans="1:19">
      <c r="A32" s="1984"/>
      <c r="B32" s="2363" t="s">
        <v>2321</v>
      </c>
      <c r="C32" s="2672"/>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S29" sqref="S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43052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8"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45" t="s">
        <v>2574</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2323</v>
      </c>
      <c r="AI5" s="171" t="s">
        <v>2292</v>
      </c>
      <c r="AJ5" s="171" t="s">
        <v>258</v>
      </c>
      <c r="AK5" s="159" t="s">
        <v>259</v>
      </c>
      <c r="AL5" s="159" t="s">
        <v>260</v>
      </c>
      <c r="AM5" s="172" t="s">
        <v>261</v>
      </c>
      <c r="AN5" s="2415"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联排</v>
      </c>
      <c r="B6" s="2337" t="str">
        <f>IF(A6=0,"","经营性")</f>
        <v>经营性</v>
      </c>
      <c r="C6" s="173" t="s">
        <v>923</v>
      </c>
      <c r="D6" s="2308">
        <f>SUMIF(项目基本情况!D$15:I$15,C6,项目基本情况!D$18:I$18)</f>
        <v>70</v>
      </c>
      <c r="E6" s="2309">
        <f>IF(B6="","",SUMIF(项目基本情况!D$15:I$15,C6,项目基本情况!D$17:I$17))</f>
        <v>67132</v>
      </c>
      <c r="F6" s="174">
        <f>SUMIF(项目基本情况!D$15:I$15,C6,项目基本情况!D$19:I$19)</f>
        <v>65.97</v>
      </c>
      <c r="G6" s="175">
        <f>IF(ISERROR(ROUND(POWER(1+H6,D6-F6)*(POWER(1+H6,F6)-1)/(POWER(1+H6,D6)-1),3)),0,ROUND(POWER(1+H6,D6-F6)*(POWER(1+H6,F6)-1)/(POWER(1+H6,D6)-1),3))</f>
        <v>0.99099999999999999</v>
      </c>
      <c r="H6" s="3052">
        <v>4.4999999999999998E-2</v>
      </c>
      <c r="I6" s="3052">
        <v>0.05</v>
      </c>
      <c r="J6" s="176">
        <v>0.08</v>
      </c>
      <c r="K6" s="179">
        <f>SUMIF('数据-汇总表'!C$19:C$33,'数据-取费表'!A6,'数据-汇总表'!E$19:E$33)</f>
        <v>0</v>
      </c>
      <c r="L6" s="3053">
        <v>3000</v>
      </c>
      <c r="M6" s="177">
        <f t="shared" ref="M6:M14" si="0">ROUND(K6*L6/10000,0)</f>
        <v>0</v>
      </c>
      <c r="N6" s="3054">
        <v>0</v>
      </c>
      <c r="O6" s="177">
        <f>IF($N$5="成新度","——",ROUND(M6*N6,0))</f>
        <v>0</v>
      </c>
      <c r="P6" s="178">
        <f>IF($N$5="成新度","——",M6-O6)</f>
        <v>0</v>
      </c>
      <c r="Q6" s="3055">
        <v>0.35</v>
      </c>
      <c r="R6" s="179">
        <f>SUMIF('数据-汇总表'!C$19:C$33,A6,'数据-汇总表'!R$19:R$33)</f>
        <v>0</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3">
        <f ca="1">IF(AN6="",0,SUMIF(INDIRECT("'"&amp;AN6&amp;"'"&amp;"!E:E"),$AE$5,INDIRECT("'"&amp;AN6&amp;"'"&amp;"!F:F")))</f>
        <v>0</v>
      </c>
      <c r="AF6" s="141"/>
      <c r="AG6" s="1213">
        <f>IF(AF6="",0,AE6-AF6)</f>
        <v>0</v>
      </c>
      <c r="AH6" s="141"/>
      <c r="AI6" s="187"/>
      <c r="AJ6" s="188"/>
      <c r="AK6" s="189"/>
      <c r="AL6" s="190"/>
      <c r="AM6" s="3066"/>
      <c r="AN6" s="2416"/>
      <c r="AO6" s="2000"/>
      <c r="AP6" s="1204">
        <f>ROUND(1-1/(1+H6)^F6,3)</f>
        <v>0.94499999999999995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多层</v>
      </c>
      <c r="B7" s="2337" t="str">
        <f t="shared" ref="B7:B13" si="1">IF(A7=0,"","经营性")</f>
        <v>经营性</v>
      </c>
      <c r="C7" s="173" t="s">
        <v>923</v>
      </c>
      <c r="D7" s="2308">
        <f>SUMIF(项目基本情况!D$15:I$15,C7,项目基本情况!D$18:I$18)</f>
        <v>70</v>
      </c>
      <c r="E7" s="2309">
        <f>IF(B7="","",SUMIF(项目基本情况!D$15:I$15,C7,项目基本情况!D$17:I$17))</f>
        <v>67132</v>
      </c>
      <c r="F7" s="174">
        <f>SUMIF(项目基本情况!D$15:I$15,C7,项目基本情况!D$19:I$19)</f>
        <v>65.97</v>
      </c>
      <c r="G7" s="175">
        <f t="shared" ref="G7:G11" si="2">IF(ISERROR(ROUND(POWER(1+H7,D7-F7)*(POWER(1+H7,F7)-1)/(POWER(1+H7,D7)-1),3)),0,ROUND(POWER(1+H7,D7-F7)*(POWER(1+H7,F7)-1)/(POWER(1+H7,D7)-1),3))</f>
        <v>0.99099999999999999</v>
      </c>
      <c r="H7" s="3052">
        <v>4.4999999999999998E-2</v>
      </c>
      <c r="I7" s="3052">
        <v>0.05</v>
      </c>
      <c r="J7" s="176">
        <v>0.08</v>
      </c>
      <c r="K7" s="179">
        <f>SUMIF('数据-汇总表'!C$19:C$33,'数据-取费表'!A7,'数据-汇总表'!E$19:E$33)</f>
        <v>91490.4</v>
      </c>
      <c r="L7" s="3053">
        <v>2800</v>
      </c>
      <c r="M7" s="177">
        <f t="shared" si="0"/>
        <v>25617</v>
      </c>
      <c r="N7" s="3054">
        <v>0</v>
      </c>
      <c r="O7" s="177">
        <f t="shared" ref="O7:O14" si="3">IF($N$5="成新度","——",ROUND(M7*N7,0))</f>
        <v>0</v>
      </c>
      <c r="P7" s="178">
        <f t="shared" ref="P7:P14" si="4">IF($N$5="成新度","——",M7-O7)</f>
        <v>25617</v>
      </c>
      <c r="Q7" s="3055">
        <v>0.25</v>
      </c>
      <c r="R7" s="179">
        <f>SUMIF('数据-汇总表'!C$19:C$33,A7,'数据-汇总表'!R$19:R$33)</f>
        <v>60993.599999999999</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3">
        <f t="shared" ref="AE7:AE13" ca="1" si="6">IF(AN7="",0,SUMIF(INDIRECT("'"&amp;AN7&amp;"'"&amp;"!E:E"),$AE$5,INDIRECT("'"&amp;AN7&amp;"'"&amp;"!F:F")))</f>
        <v>0</v>
      </c>
      <c r="AF7" s="141"/>
      <c r="AG7" s="1213">
        <f t="shared" ref="AG7:AG13" si="7">IF(AF7="",0,AE7-AF7)</f>
        <v>0</v>
      </c>
      <c r="AH7" s="141"/>
      <c r="AI7" s="187"/>
      <c r="AJ7" s="188"/>
      <c r="AK7" s="189"/>
      <c r="AL7" s="190"/>
      <c r="AM7" s="2414"/>
      <c r="AN7" s="2416"/>
      <c r="AO7" s="2000"/>
      <c r="AP7" s="1204">
        <f t="shared" ref="AP7:AP13" si="8">ROUND(1-1/(1+H7)^F7,3)</f>
        <v>0.94499999999999995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小高层</v>
      </c>
      <c r="B8" s="2337" t="str">
        <f t="shared" si="1"/>
        <v>经营性</v>
      </c>
      <c r="C8" s="173" t="s">
        <v>923</v>
      </c>
      <c r="D8" s="2308">
        <f>SUMIF(项目基本情况!D$15:I$15,C8,项目基本情况!D$18:I$18)</f>
        <v>70</v>
      </c>
      <c r="E8" s="2309">
        <f>IF(B8="","",SUMIF(项目基本情况!D$15:I$15,C8,项目基本情况!D$17:I$17))</f>
        <v>67132</v>
      </c>
      <c r="F8" s="174">
        <f>SUMIF(项目基本情况!D$15:I$15,C8,项目基本情况!D$19:I$19)</f>
        <v>65.97</v>
      </c>
      <c r="G8" s="175">
        <f t="shared" si="2"/>
        <v>0.99099999999999999</v>
      </c>
      <c r="H8" s="3052">
        <v>4.4999999999999998E-2</v>
      </c>
      <c r="I8" s="3052">
        <v>0.05</v>
      </c>
      <c r="J8" s="176">
        <v>0.08</v>
      </c>
      <c r="K8" s="179">
        <f>SUMIF('数据-汇总表'!C$19:C$33,'数据-取费表'!A8,'数据-汇总表'!E$19:E$33)</f>
        <v>0</v>
      </c>
      <c r="L8" s="3053">
        <v>2600</v>
      </c>
      <c r="M8" s="177">
        <f>ROUND(K8*L8/10000,0)</f>
        <v>0</v>
      </c>
      <c r="N8" s="3054">
        <v>0</v>
      </c>
      <c r="O8" s="177">
        <f t="shared" si="3"/>
        <v>0</v>
      </c>
      <c r="P8" s="178">
        <f t="shared" si="4"/>
        <v>0</v>
      </c>
      <c r="Q8" s="3055">
        <v>0.2</v>
      </c>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3">
        <f t="shared" ca="1" si="6"/>
        <v>0</v>
      </c>
      <c r="AF8" s="141"/>
      <c r="AG8" s="1213">
        <f t="shared" si="7"/>
        <v>0</v>
      </c>
      <c r="AH8" s="141"/>
      <c r="AI8" s="187"/>
      <c r="AJ8" s="188"/>
      <c r="AK8" s="189"/>
      <c r="AL8" s="190"/>
      <c r="AM8" s="2414"/>
      <c r="AN8" s="2416"/>
      <c r="AO8" s="2000"/>
      <c r="AP8" s="1204">
        <f t="shared" si="8"/>
        <v>0.94499999999999995</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商业</v>
      </c>
      <c r="B9" s="2337" t="str">
        <f t="shared" si="1"/>
        <v>经营性</v>
      </c>
      <c r="C9" s="173" t="s">
        <v>3019</v>
      </c>
      <c r="D9" s="2308">
        <f>SUMIF(项目基本情况!D$15:I$15,C9,项目基本情况!D$18:I$18)</f>
        <v>40</v>
      </c>
      <c r="E9" s="2309">
        <f>IF(B9="","",SUMIF(项目基本情况!D$15:I$15,C9,项目基本情况!D$17:I$17))</f>
        <v>56175</v>
      </c>
      <c r="F9" s="174">
        <f>SUMIF(项目基本情况!D$15:I$15,C9,项目基本情况!D$19:I$19)</f>
        <v>35.950000000000003</v>
      </c>
      <c r="G9" s="175">
        <f t="shared" si="2"/>
        <v>0.96399999999999997</v>
      </c>
      <c r="H9" s="176">
        <v>0.05</v>
      </c>
      <c r="I9" s="176">
        <v>0.06</v>
      </c>
      <c r="J9" s="176">
        <v>0.08</v>
      </c>
      <c r="K9" s="179">
        <f>SUMIF('数据-汇总表'!C$19:C$33,'数据-取费表'!A9,'数据-汇总表'!E$19:E$33)</f>
        <v>22872.600000000002</v>
      </c>
      <c r="L9" s="193">
        <v>3000</v>
      </c>
      <c r="M9" s="177">
        <f t="shared" si="0"/>
        <v>6862</v>
      </c>
      <c r="N9" s="194">
        <v>0</v>
      </c>
      <c r="O9" s="177">
        <f t="shared" si="3"/>
        <v>0</v>
      </c>
      <c r="P9" s="178">
        <f t="shared" si="4"/>
        <v>6862</v>
      </c>
      <c r="Q9" s="192">
        <v>0.15</v>
      </c>
      <c r="R9" s="179">
        <f>SUMIF('数据-汇总表'!C$19:C$33,A9,'数据-汇总表'!R$19:R$33)</f>
        <v>15248.4</v>
      </c>
      <c r="S9" s="132">
        <f>IF('数据-汇总表'!$I$17="按面积比例",SUMIF('数据-汇总表'!C$19:C$33,A9,'数据-汇总表'!K$19:K$33),SUMIF('数据-汇总表'!C$19:C$33,A9,'数据-汇总表'!N$19:N$33))</f>
        <v>0</v>
      </c>
      <c r="T9" s="2234" t="str">
        <f t="shared" si="5"/>
        <v>0</v>
      </c>
      <c r="U9" s="180">
        <v>2</v>
      </c>
      <c r="V9" s="181">
        <v>2.5000000000000001E-2</v>
      </c>
      <c r="W9" s="181">
        <v>0.1</v>
      </c>
      <c r="X9" s="2321"/>
      <c r="Y9" s="182">
        <v>1</v>
      </c>
      <c r="Z9" s="183"/>
      <c r="AA9" s="176"/>
      <c r="AB9" s="176"/>
      <c r="AC9" s="2324"/>
      <c r="AD9" s="184"/>
      <c r="AE9" s="973">
        <f t="shared" ca="1" si="6"/>
        <v>31.950000000000003</v>
      </c>
      <c r="AF9" s="141"/>
      <c r="AG9" s="1213">
        <f t="shared" si="7"/>
        <v>0</v>
      </c>
      <c r="AH9" s="141"/>
      <c r="AI9" s="187">
        <v>365</v>
      </c>
      <c r="AJ9" s="188"/>
      <c r="AK9" s="189">
        <v>1.4999999999999999E-2</v>
      </c>
      <c r="AL9" s="190">
        <v>1.5E-3</v>
      </c>
      <c r="AM9" s="2414">
        <v>0.01</v>
      </c>
      <c r="AN9" s="2416" t="s">
        <v>3249</v>
      </c>
      <c r="AO9" s="2000"/>
      <c r="AP9" s="1204">
        <f t="shared" si="8"/>
        <v>0.82699999999999996</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3">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3">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3">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3">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2314</v>
      </c>
      <c r="B14" s="2306" t="s">
        <v>1680</v>
      </c>
      <c r="C14" s="2307" t="s">
        <v>2314</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5"/>
      <c r="V14" s="2320"/>
      <c r="W14" s="2320"/>
      <c r="X14" s="2321"/>
      <c r="Y14" s="2322"/>
      <c r="Z14" s="136"/>
      <c r="AA14" s="2323"/>
      <c r="AB14" s="2323"/>
      <c r="AC14" s="2324"/>
      <c r="AD14" s="2321"/>
      <c r="AE14" s="973"/>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2316</v>
      </c>
      <c r="B15" s="2306" t="s">
        <v>1680</v>
      </c>
      <c r="C15" s="2307" t="s">
        <v>2315</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5"/>
      <c r="V15" s="2320"/>
      <c r="W15" s="2320"/>
      <c r="X15" s="2321"/>
      <c r="Y15" s="2322"/>
      <c r="Z15" s="136"/>
      <c r="AA15" s="2323"/>
      <c r="AB15" s="2323"/>
      <c r="AC15" s="2324"/>
      <c r="AD15" s="2321"/>
      <c r="AE15" s="973"/>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0.98599999999999999</v>
      </c>
      <c r="H16" s="203">
        <f>ROUND(SUMPRODUCT(H6:H13,K6:K13)/SUMPRODUCT((H6:H13&gt;0)*(K6:K13)),3)</f>
        <v>4.5999999999999999E-2</v>
      </c>
      <c r="I16" s="204"/>
      <c r="J16" s="204"/>
      <c r="K16" s="205">
        <f>SUM(K6:K15)</f>
        <v>114363</v>
      </c>
      <c r="L16" s="206">
        <f>ROUND(M16*10000/SUM(K6:K14),0)</f>
        <v>2840</v>
      </c>
      <c r="M16" s="206">
        <f>SUM(M6:M14)</f>
        <v>32479</v>
      </c>
      <c r="N16" s="207">
        <f>ROUND(SUMPRODUCT(M6:M14,N6:N14)/M16,3)</f>
        <v>0</v>
      </c>
      <c r="O16" s="206">
        <f>SUM(O6:O14)</f>
        <v>0</v>
      </c>
      <c r="P16" s="206">
        <f>SUM(P6:P14)</f>
        <v>32479</v>
      </c>
      <c r="Q16" s="208">
        <f>ROUND(SUMPRODUCT(Q6:Q13,K6:K13)/SUMPRODUCT((Q6:Q13&gt;0)*(K6:K13)),2)</f>
        <v>0.23</v>
      </c>
      <c r="R16" s="2311">
        <f>SUM(R6:R13)</f>
        <v>76242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0.92100000000000004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2336</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4</v>
      </c>
      <c r="C20" s="2364"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4</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4</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v>15</v>
      </c>
      <c r="C27" s="3101" t="s">
        <v>3308</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20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v>0</v>
      </c>
      <c r="C29" s="1552"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9">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0.05</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0.1</v>
      </c>
      <c r="C34" s="2365" t="s">
        <v>2897</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400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1.4999999999999999E-2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0.03</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2457</v>
      </c>
      <c r="B39" s="802">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2458</v>
      </c>
      <c r="B40" s="2505">
        <f ca="1">存贷款利率!E2</f>
        <v>4.7500000000000001E-2</v>
      </c>
      <c r="C40" s="2365"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80" t="s">
        <v>283</v>
      </c>
      <c r="B42" s="240">
        <v>0.05</v>
      </c>
      <c r="C42" s="312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80"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101"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102"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2"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24</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103" t="s">
        <v>2907</v>
      </c>
      <c r="D53" s="3104"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6" t="s">
        <v>2909</v>
      </c>
      <c r="B54" s="186">
        <v>24</v>
      </c>
      <c r="C54" s="1994">
        <v>30</v>
      </c>
      <c r="D54" s="3105"/>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6" t="s">
        <v>2910</v>
      </c>
      <c r="B55" s="186"/>
      <c r="C55" s="1994">
        <v>24</v>
      </c>
      <c r="D55" s="3105"/>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6" t="s">
        <v>2911</v>
      </c>
      <c r="B56" s="186"/>
      <c r="C56" s="1994">
        <v>18</v>
      </c>
      <c r="D56" s="3105"/>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6" t="s">
        <v>2912</v>
      </c>
      <c r="B57" s="186"/>
      <c r="C57" s="1994">
        <v>12</v>
      </c>
      <c r="D57" s="3105"/>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6" t="s">
        <v>2913</v>
      </c>
      <c r="B58" s="186"/>
      <c r="C58" s="1994">
        <v>3</v>
      </c>
      <c r="D58" s="3105"/>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6" t="s">
        <v>2914</v>
      </c>
      <c r="B59" s="186"/>
      <c r="C59" s="1994">
        <v>1.5</v>
      </c>
      <c r="D59" s="3105"/>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6"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6"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6"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7"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2" sqref="G12"/>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416" t="s">
        <v>1664</v>
      </c>
      <c r="B1" s="3417"/>
      <c r="C1" s="3417"/>
      <c r="D1" s="3417"/>
      <c r="E1" s="3417"/>
      <c r="F1" s="3417"/>
      <c r="G1" s="3417"/>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40.5">
      <c r="A3" s="1227" t="s">
        <v>1667</v>
      </c>
      <c r="B3" s="1228" t="s">
        <v>1654</v>
      </c>
      <c r="C3" s="3225" t="s">
        <v>3293</v>
      </c>
      <c r="D3" s="2009"/>
      <c r="E3" s="1229" t="s">
        <v>1667</v>
      </c>
      <c r="F3" s="1230" t="s">
        <v>1655</v>
      </c>
      <c r="G3" s="3111"/>
      <c r="H3" s="2008"/>
      <c r="I3" s="2008"/>
      <c r="J3" s="2008"/>
      <c r="K3" s="2008"/>
      <c r="L3" s="2008"/>
      <c r="M3" s="2008"/>
      <c r="N3" s="2008"/>
      <c r="O3" s="2008"/>
      <c r="P3" s="2008"/>
      <c r="Q3" s="2008"/>
      <c r="R3" s="2008"/>
    </row>
    <row r="4" spans="1:18" ht="27.75">
      <c r="A4" s="1229"/>
      <c r="B4" s="1231" t="s">
        <v>1668</v>
      </c>
      <c r="C4" s="3108" t="s">
        <v>3292</v>
      </c>
      <c r="D4" s="2009"/>
      <c r="E4" s="1232"/>
      <c r="F4" s="1233" t="s">
        <v>1669</v>
      </c>
      <c r="G4" s="3109"/>
      <c r="H4" s="2008"/>
      <c r="I4" s="2008"/>
      <c r="J4" s="2008"/>
      <c r="K4" s="2008"/>
      <c r="L4" s="2008"/>
      <c r="M4" s="2008"/>
      <c r="N4" s="2008"/>
      <c r="O4" s="2008"/>
      <c r="P4" s="2008"/>
      <c r="Q4" s="2008"/>
      <c r="R4" s="2008"/>
    </row>
    <row r="5" spans="1:18" ht="14.25">
      <c r="A5" s="1229"/>
      <c r="B5" s="1231" t="s">
        <v>1670</v>
      </c>
      <c r="C5" s="3108"/>
      <c r="D5" s="2009"/>
      <c r="E5" s="1232"/>
      <c r="F5" s="1231" t="s">
        <v>2548</v>
      </c>
      <c r="G5" s="3109"/>
      <c r="H5" s="2008"/>
      <c r="I5" s="2008"/>
      <c r="J5" s="2008"/>
      <c r="K5" s="2008"/>
      <c r="L5" s="2008"/>
      <c r="M5" s="2008"/>
      <c r="N5" s="2008"/>
      <c r="O5" s="2008"/>
      <c r="P5" s="2008"/>
      <c r="Q5" s="2008"/>
      <c r="R5" s="2008"/>
    </row>
    <row r="6" spans="1:18" ht="40.5">
      <c r="A6" s="1229"/>
      <c r="B6" s="1231" t="s">
        <v>1656</v>
      </c>
      <c r="C6" s="3223" t="s">
        <v>3290</v>
      </c>
      <c r="D6" s="2009"/>
      <c r="E6" s="1232"/>
      <c r="F6" s="1231" t="s">
        <v>2549</v>
      </c>
      <c r="G6" s="3109"/>
      <c r="H6" s="2008"/>
      <c r="I6" s="2008"/>
      <c r="J6" s="2008"/>
      <c r="K6" s="2008"/>
      <c r="L6" s="2008"/>
      <c r="M6" s="2008"/>
      <c r="N6" s="2008"/>
      <c r="O6" s="2008"/>
      <c r="P6" s="2008"/>
      <c r="Q6" s="2008"/>
      <c r="R6" s="2008"/>
    </row>
    <row r="7" spans="1:18" ht="27.75" thickBot="1">
      <c r="A7" s="1229"/>
      <c r="B7" s="1231" t="s">
        <v>2548</v>
      </c>
      <c r="C7" s="3226" t="s">
        <v>3305</v>
      </c>
      <c r="D7" s="2010"/>
      <c r="E7" s="1234"/>
      <c r="F7" s="1235" t="s">
        <v>1671</v>
      </c>
      <c r="G7" s="3112"/>
      <c r="H7" s="2008"/>
      <c r="I7" s="2008"/>
      <c r="J7" s="2008"/>
      <c r="K7" s="2008"/>
      <c r="L7" s="2008"/>
      <c r="M7" s="2008"/>
      <c r="N7" s="2008"/>
      <c r="O7" s="2008"/>
      <c r="P7" s="2008"/>
      <c r="Q7" s="2008"/>
      <c r="R7" s="2008"/>
    </row>
    <row r="8" spans="1:18" ht="14.25">
      <c r="A8" s="1229"/>
      <c r="B8" s="1231" t="s">
        <v>2549</v>
      </c>
      <c r="C8" s="3109"/>
      <c r="D8" s="2010"/>
      <c r="E8" s="2010"/>
      <c r="F8" s="1553"/>
      <c r="G8" s="1553"/>
      <c r="H8" s="2008"/>
      <c r="I8" s="2008"/>
      <c r="J8" s="2008"/>
      <c r="K8" s="2008"/>
      <c r="L8" s="2008"/>
      <c r="M8" s="2008"/>
      <c r="N8" s="2008"/>
      <c r="O8" s="2008"/>
      <c r="P8" s="2008"/>
      <c r="Q8" s="2008"/>
      <c r="R8" s="2008"/>
    </row>
    <row r="9" spans="1:18">
      <c r="A9" s="1229"/>
      <c r="B9" s="1231" t="s">
        <v>1657</v>
      </c>
      <c r="C9" s="3224" t="s">
        <v>3291</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110"/>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1673</v>
      </c>
      <c r="B13" s="2602"/>
      <c r="C13" s="2602"/>
      <c r="D13" s="1224"/>
      <c r="E13" s="2602"/>
      <c r="F13" s="2602"/>
      <c r="G13" s="2602"/>
    </row>
    <row r="14" spans="1:18" ht="14.25" thickBot="1">
      <c r="A14" s="1238"/>
      <c r="B14" s="1239"/>
      <c r="C14" s="1240" t="s">
        <v>1665</v>
      </c>
      <c r="D14" s="2009"/>
      <c r="E14" s="1241"/>
      <c r="F14" s="1241"/>
      <c r="G14" s="1223" t="s">
        <v>1666</v>
      </c>
    </row>
    <row r="15" spans="1:18" ht="40.5">
      <c r="A15" s="2612" t="s">
        <v>1658</v>
      </c>
      <c r="B15" s="1242" t="s">
        <v>1654</v>
      </c>
      <c r="C15" s="1243" t="str">
        <f>C3</f>
        <v>周边居住用地比例、居住小区规模和社区发展完善程度</v>
      </c>
      <c r="D15" s="2009"/>
      <c r="E15" s="2609" t="s">
        <v>1659</v>
      </c>
      <c r="F15" s="1242" t="s">
        <v>1674</v>
      </c>
      <c r="G15" s="1244">
        <f>G3</f>
        <v>0</v>
      </c>
    </row>
    <row r="16" spans="1:18" ht="27">
      <c r="A16" s="2613"/>
      <c r="B16" s="1245" t="s">
        <v>1668</v>
      </c>
      <c r="C16" s="1246" t="str">
        <f>C4</f>
        <v>XX商圈，周边商业氛围，人流量</v>
      </c>
      <c r="D16" s="2009"/>
      <c r="E16" s="2610"/>
      <c r="F16" s="1247" t="s">
        <v>1669</v>
      </c>
      <c r="G16" s="1006">
        <f>G4</f>
        <v>0</v>
      </c>
    </row>
    <row r="17" spans="1:7" ht="14.25">
      <c r="A17" s="2613"/>
      <c r="B17" s="1245" t="s">
        <v>1670</v>
      </c>
      <c r="C17" s="1246">
        <f>C5</f>
        <v>0</v>
      </c>
      <c r="D17" s="2010"/>
      <c r="E17" s="2610"/>
      <c r="F17" s="1247" t="s">
        <v>1675</v>
      </c>
      <c r="G17" s="2820"/>
    </row>
    <row r="18" spans="1:7" ht="40.5">
      <c r="A18" s="2613"/>
      <c r="B18" s="1247" t="s">
        <v>1656</v>
      </c>
      <c r="C18" s="1006" t="str">
        <f>C6</f>
        <v>周边道路状况、公共交通通达情况、停车便捷程度（大理荒草坝机场</v>
      </c>
      <c r="D18" s="2010"/>
      <c r="E18" s="2610"/>
      <c r="F18" s="1247" t="s">
        <v>1671</v>
      </c>
      <c r="G18" s="1006">
        <f>G7</f>
        <v>0</v>
      </c>
    </row>
    <row r="19" spans="1:7" ht="14.25">
      <c r="A19" s="2613"/>
      <c r="B19" s="1247" t="s">
        <v>1660</v>
      </c>
      <c r="C19" s="2820"/>
      <c r="D19" s="2009"/>
      <c r="E19" s="2610"/>
      <c r="F19" s="1231" t="s">
        <v>2548</v>
      </c>
      <c r="G19" s="1006">
        <f>G5</f>
        <v>0</v>
      </c>
    </row>
    <row r="20" spans="1:7">
      <c r="A20" s="2613"/>
      <c r="B20" s="1247" t="s">
        <v>1661</v>
      </c>
      <c r="C20" s="1246" t="str">
        <f>C9</f>
        <v>洱海</v>
      </c>
      <c r="D20" s="2010"/>
      <c r="E20" s="2610"/>
      <c r="F20" s="1231" t="s">
        <v>2549</v>
      </c>
      <c r="G20" s="1006">
        <f>G6</f>
        <v>0</v>
      </c>
    </row>
    <row r="21" spans="1:7" ht="27">
      <c r="A21" s="2613"/>
      <c r="B21" s="1231" t="s">
        <v>2548</v>
      </c>
      <c r="C21" s="1006" t="str">
        <f>C7</f>
        <v>大理技师学院 与较成熟区域距离5-6公里</v>
      </c>
      <c r="D21" s="2009"/>
      <c r="E21" s="2610"/>
      <c r="F21" s="1247" t="s">
        <v>1662</v>
      </c>
      <c r="G21" s="3113"/>
    </row>
    <row r="22" spans="1:7" ht="14.25">
      <c r="A22" s="2613"/>
      <c r="B22" s="1231" t="s">
        <v>2549</v>
      </c>
      <c r="C22" s="1006">
        <f>C8</f>
        <v>0</v>
      </c>
      <c r="D22" s="2009"/>
      <c r="E22" s="2610"/>
      <c r="F22" s="1247" t="s">
        <v>1672</v>
      </c>
      <c r="G22" s="2820"/>
    </row>
    <row r="23" spans="1:7" ht="15" thickBot="1">
      <c r="A23" s="2613"/>
      <c r="B23" s="1247" t="s">
        <v>1662</v>
      </c>
      <c r="C23" s="3113"/>
      <c r="E23" s="2611"/>
      <c r="F23" s="1248" t="s">
        <v>1676</v>
      </c>
      <c r="G23" s="3114"/>
    </row>
    <row r="24" spans="1:7" ht="14.25" thickBot="1">
      <c r="A24" s="2614"/>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2"/>
  <sheetViews>
    <sheetView zoomScaleNormal="100" workbookViewId="0">
      <selection activeCell="D22" sqref="D22"/>
    </sheetView>
  </sheetViews>
  <sheetFormatPr defaultRowHeight="13.5"/>
  <cols>
    <col min="1" max="1" width="9" style="2"/>
    <col min="2" max="2" width="23" style="2" customWidth="1"/>
    <col min="3" max="3" width="24.125" style="2" customWidth="1"/>
    <col min="4" max="4" width="18.5" style="2" customWidth="1"/>
    <col min="5" max="5" width="10.125" style="2" customWidth="1"/>
    <col min="6" max="6" width="16.375" style="2" customWidth="1"/>
    <col min="7" max="7" width="11.75" style="2" customWidth="1"/>
    <col min="8" max="8" width="12.75" style="2" bestFit="1" customWidth="1"/>
    <col min="9" max="12" width="9" style="2"/>
    <col min="13" max="13" width="15.5" style="2" customWidth="1"/>
    <col min="14" max="16384" width="9" style="2"/>
  </cols>
  <sheetData>
    <row r="1" spans="2:13" ht="23.25" customHeight="1" thickBot="1">
      <c r="B1" s="3165" t="s">
        <v>2967</v>
      </c>
      <c r="C1" s="3165" t="s">
        <v>2968</v>
      </c>
      <c r="D1" s="3165" t="s">
        <v>2969</v>
      </c>
      <c r="E1" s="3165" t="s">
        <v>2970</v>
      </c>
      <c r="F1" s="3165" t="s">
        <v>2971</v>
      </c>
      <c r="G1" s="3165" t="s">
        <v>2950</v>
      </c>
      <c r="J1" s="3172" t="s">
        <v>3130</v>
      </c>
      <c r="K1" s="3172" t="s">
        <v>3131</v>
      </c>
      <c r="M1" s="3172" t="s">
        <v>3134</v>
      </c>
    </row>
    <row r="2" spans="2:13" ht="19.5" customHeight="1" thickBot="1">
      <c r="B2" s="3166" t="s">
        <v>3005</v>
      </c>
      <c r="C2" s="3166" t="s">
        <v>2973</v>
      </c>
      <c r="D2" s="3166" t="s">
        <v>2974</v>
      </c>
      <c r="E2" s="3166" t="s">
        <v>3006</v>
      </c>
      <c r="F2" s="3167">
        <v>59889</v>
      </c>
      <c r="G2" s="3168">
        <v>12133.75</v>
      </c>
      <c r="J2" s="3170" t="s">
        <v>3030</v>
      </c>
      <c r="K2" s="3170" t="s">
        <v>3097</v>
      </c>
      <c r="L2" s="2">
        <v>1.2</v>
      </c>
      <c r="M2" s="2">
        <v>14560.8</v>
      </c>
    </row>
    <row r="3" spans="2:13" ht="19.5" customHeight="1" thickBot="1">
      <c r="B3" s="3166" t="s">
        <v>3007</v>
      </c>
      <c r="C3" s="3166" t="s">
        <v>2973</v>
      </c>
      <c r="D3" s="3166" t="s">
        <v>2974</v>
      </c>
      <c r="E3" s="3166" t="s">
        <v>3006</v>
      </c>
      <c r="F3" s="3167">
        <v>59889</v>
      </c>
      <c r="G3" s="3168">
        <v>53422.94</v>
      </c>
      <c r="J3" s="3170" t="s">
        <v>3026</v>
      </c>
      <c r="K3" s="3170" t="s">
        <v>3097</v>
      </c>
      <c r="L3" s="2">
        <v>1.2</v>
      </c>
      <c r="M3" s="2">
        <v>64107.6</v>
      </c>
    </row>
    <row r="4" spans="2:13" ht="19.5" customHeight="1" thickBot="1">
      <c r="B4" s="3166" t="s">
        <v>3008</v>
      </c>
      <c r="C4" s="3166" t="s">
        <v>2973</v>
      </c>
      <c r="D4" s="3166" t="s">
        <v>2974</v>
      </c>
      <c r="E4" s="3166" t="s">
        <v>3006</v>
      </c>
      <c r="F4" s="3167">
        <v>59889</v>
      </c>
      <c r="G4" s="3168">
        <v>30862</v>
      </c>
      <c r="J4" s="3170" t="s">
        <v>3032</v>
      </c>
      <c r="K4" s="3170" t="s">
        <v>3100</v>
      </c>
      <c r="L4" s="2">
        <v>2</v>
      </c>
      <c r="M4" s="2">
        <v>61724</v>
      </c>
    </row>
    <row r="5" spans="2:13" ht="19.5" customHeight="1" thickBot="1">
      <c r="B5" s="3166" t="s">
        <v>3009</v>
      </c>
      <c r="C5" s="3166" t="s">
        <v>2973</v>
      </c>
      <c r="D5" s="3166" t="s">
        <v>2974</v>
      </c>
      <c r="E5" s="3166" t="s">
        <v>3006</v>
      </c>
      <c r="F5" s="3167">
        <v>59889</v>
      </c>
      <c r="G5" s="3174">
        <v>69413</v>
      </c>
      <c r="J5" s="3170" t="s">
        <v>3031</v>
      </c>
      <c r="K5" s="3170" t="s">
        <v>3100</v>
      </c>
      <c r="L5" s="2">
        <v>2</v>
      </c>
      <c r="M5" s="2">
        <v>138826</v>
      </c>
    </row>
    <row r="6" spans="2:13" ht="19.5" customHeight="1" thickBot="1">
      <c r="B6" s="3166" t="s">
        <v>3011</v>
      </c>
      <c r="C6" s="3166" t="s">
        <v>2973</v>
      </c>
      <c r="D6" s="3166" t="s">
        <v>2974</v>
      </c>
      <c r="E6" s="3166" t="s">
        <v>3006</v>
      </c>
      <c r="F6" s="3167">
        <v>59889</v>
      </c>
      <c r="G6" s="3168">
        <v>16934</v>
      </c>
      <c r="J6" s="3170" t="s">
        <v>3033</v>
      </c>
      <c r="K6" s="3170" t="s">
        <v>3034</v>
      </c>
      <c r="L6" s="2">
        <v>2</v>
      </c>
      <c r="M6" s="2">
        <v>33868</v>
      </c>
    </row>
    <row r="7" spans="2:13" ht="19.5" customHeight="1" thickBot="1">
      <c r="B7" s="3166" t="s">
        <v>3010</v>
      </c>
      <c r="C7" s="3166" t="s">
        <v>2973</v>
      </c>
      <c r="D7" s="3166" t="s">
        <v>2974</v>
      </c>
      <c r="E7" s="3166" t="s">
        <v>3006</v>
      </c>
      <c r="F7" s="3167">
        <v>59889</v>
      </c>
      <c r="G7" s="3168">
        <v>5904</v>
      </c>
      <c r="J7" s="3170" t="s">
        <v>3037</v>
      </c>
      <c r="K7" s="3170" t="s">
        <v>3034</v>
      </c>
      <c r="L7" s="2">
        <v>2</v>
      </c>
      <c r="M7" s="2">
        <v>11808</v>
      </c>
    </row>
    <row r="8" spans="2:13" ht="27" customHeight="1">
      <c r="B8" s="3418" t="s">
        <v>2999</v>
      </c>
      <c r="C8" s="3419"/>
      <c r="D8" s="3419"/>
      <c r="E8" s="3419"/>
      <c r="F8" s="3420"/>
      <c r="G8" s="3169">
        <f>SUM(G2:G7)</f>
        <v>188669.69</v>
      </c>
      <c r="H8" s="2">
        <f>G8/667</f>
        <v>282.86310344827587</v>
      </c>
    </row>
    <row r="12" spans="2:13">
      <c r="H12" s="2" t="e">
        <f>H8+住宅土地明细!#REF!</f>
        <v>#REF!</v>
      </c>
    </row>
  </sheetData>
  <mergeCells count="1">
    <mergeCell ref="B8:F8"/>
  </mergeCells>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
  <sheetViews>
    <sheetView topLeftCell="E13" zoomScaleNormal="100" workbookViewId="0">
      <selection activeCell="D22" sqref="D22"/>
    </sheetView>
  </sheetViews>
  <sheetFormatPr defaultRowHeight="17.25"/>
  <cols>
    <col min="1" max="1" width="9" style="3190"/>
    <col min="2" max="2" width="26.75" style="3190" customWidth="1"/>
    <col min="3" max="3" width="27" style="3190" customWidth="1"/>
    <col min="4" max="4" width="23.125" style="3190" customWidth="1"/>
    <col min="5" max="5" width="20.25" style="3190" customWidth="1"/>
    <col min="6" max="6" width="16.375" style="3190" customWidth="1"/>
    <col min="7" max="7" width="11.75" style="3190" customWidth="1"/>
    <col min="8" max="8" width="12" style="3190" customWidth="1"/>
    <col min="9" max="9" width="11.875" style="3190" customWidth="1"/>
    <col min="10" max="10" width="9" style="3190"/>
    <col min="11" max="11" width="13.25" style="3190" customWidth="1"/>
    <col min="12" max="12" width="12.125" style="3190" customWidth="1"/>
    <col min="13" max="13" width="12.25" style="3190" customWidth="1"/>
    <col min="14" max="14" width="9" style="3190"/>
    <col min="15" max="15" width="15.125" style="3191" customWidth="1"/>
    <col min="16" max="16" width="3.375" style="2" customWidth="1"/>
    <col min="17" max="16384" width="9" style="2"/>
  </cols>
  <sheetData>
    <row r="1" spans="1:17" ht="23.25" customHeight="1">
      <c r="A1" s="3421" t="s">
        <v>3141</v>
      </c>
      <c r="B1" s="3421" t="s">
        <v>2967</v>
      </c>
      <c r="C1" s="3421" t="s">
        <v>2968</v>
      </c>
      <c r="D1" s="3421" t="s">
        <v>2969</v>
      </c>
      <c r="E1" s="3421" t="s">
        <v>2970</v>
      </c>
      <c r="F1" s="3421" t="s">
        <v>2971</v>
      </c>
      <c r="G1" s="3421" t="s">
        <v>2950</v>
      </c>
      <c r="H1" s="3421" t="s">
        <v>3130</v>
      </c>
      <c r="I1" s="3421" t="s">
        <v>3131</v>
      </c>
      <c r="J1" s="3421"/>
      <c r="K1" s="3421" t="s">
        <v>3133</v>
      </c>
      <c r="L1" s="3421"/>
      <c r="M1" s="3421"/>
      <c r="N1" s="3421" t="s">
        <v>3138</v>
      </c>
      <c r="O1" s="3421" t="s">
        <v>3144</v>
      </c>
    </row>
    <row r="2" spans="1:17" ht="23.25" customHeight="1">
      <c r="A2" s="3421"/>
      <c r="B2" s="3421"/>
      <c r="C2" s="3421"/>
      <c r="D2" s="3421"/>
      <c r="E2" s="3421"/>
      <c r="F2" s="3421"/>
      <c r="G2" s="3421"/>
      <c r="H2" s="3423"/>
      <c r="I2" s="3181" t="s">
        <v>3139</v>
      </c>
      <c r="J2" s="3181" t="s">
        <v>3140</v>
      </c>
      <c r="K2" s="3181" t="s">
        <v>3135</v>
      </c>
      <c r="L2" s="3181" t="s">
        <v>3136</v>
      </c>
      <c r="M2" s="3181" t="s">
        <v>3137</v>
      </c>
      <c r="N2" s="3421"/>
      <c r="O2" s="3421"/>
    </row>
    <row r="3" spans="1:17" ht="19.5" customHeight="1">
      <c r="A3" s="3182">
        <v>1</v>
      </c>
      <c r="B3" s="3183" t="s">
        <v>2972</v>
      </c>
      <c r="C3" s="3183" t="s">
        <v>2973</v>
      </c>
      <c r="D3" s="3183" t="s">
        <v>2974</v>
      </c>
      <c r="E3" s="3183" t="s">
        <v>3142</v>
      </c>
      <c r="F3" s="3184">
        <v>67132</v>
      </c>
      <c r="G3" s="3185">
        <v>27176.04</v>
      </c>
      <c r="H3" s="3186" t="s">
        <v>3047</v>
      </c>
      <c r="I3" s="3186" t="s">
        <v>3044</v>
      </c>
      <c r="J3" s="3187">
        <v>2</v>
      </c>
      <c r="K3" s="3187">
        <v>54352</v>
      </c>
      <c r="L3" s="3187">
        <v>0</v>
      </c>
      <c r="M3" s="3187">
        <f>K3+L3</f>
        <v>54352</v>
      </c>
      <c r="N3" s="3188">
        <v>0.22</v>
      </c>
      <c r="O3" s="3188">
        <v>0.4</v>
      </c>
      <c r="P3" s="3192">
        <f>J3/N3</f>
        <v>9.0909090909090917</v>
      </c>
      <c r="Q3" s="3172" t="s">
        <v>3147</v>
      </c>
    </row>
    <row r="4" spans="1:17" ht="19.5" customHeight="1">
      <c r="A4" s="3182">
        <v>2</v>
      </c>
      <c r="B4" s="3183" t="s">
        <v>2977</v>
      </c>
      <c r="C4" s="3183" t="s">
        <v>2973</v>
      </c>
      <c r="D4" s="3183" t="s">
        <v>2974</v>
      </c>
      <c r="E4" s="3183" t="s">
        <v>2975</v>
      </c>
      <c r="F4" s="3184">
        <v>67132</v>
      </c>
      <c r="G4" s="3185">
        <v>13604.81</v>
      </c>
      <c r="H4" s="3186" t="s">
        <v>3070</v>
      </c>
      <c r="I4" s="3186" t="s">
        <v>3055</v>
      </c>
      <c r="J4" s="3187">
        <v>1.1000000000000001</v>
      </c>
      <c r="K4" s="3187">
        <v>14965.5</v>
      </c>
      <c r="L4" s="3187">
        <v>0</v>
      </c>
      <c r="M4" s="3187">
        <f t="shared" ref="M4:M9" si="0">K4+L4</f>
        <v>14965.5</v>
      </c>
      <c r="N4" s="3188">
        <v>0.35</v>
      </c>
      <c r="O4" s="3188">
        <v>0.4</v>
      </c>
      <c r="P4" s="3193">
        <f t="shared" ref="P4:P23" si="1">J4/N4</f>
        <v>3.1428571428571432</v>
      </c>
      <c r="Q4" s="3172" t="s">
        <v>3146</v>
      </c>
    </row>
    <row r="5" spans="1:17" ht="19.5" customHeight="1">
      <c r="A5" s="3182">
        <v>3</v>
      </c>
      <c r="B5" s="3183" t="s">
        <v>2976</v>
      </c>
      <c r="C5" s="3183" t="s">
        <v>2973</v>
      </c>
      <c r="D5" s="3183" t="s">
        <v>2974</v>
      </c>
      <c r="E5" s="3183" t="s">
        <v>2975</v>
      </c>
      <c r="F5" s="3184">
        <v>67132</v>
      </c>
      <c r="G5" s="3185">
        <v>39550.92</v>
      </c>
      <c r="H5" s="3186" t="s">
        <v>3051</v>
      </c>
      <c r="I5" s="3186" t="s">
        <v>3044</v>
      </c>
      <c r="J5" s="3187">
        <v>2</v>
      </c>
      <c r="K5" s="3187">
        <v>79102</v>
      </c>
      <c r="L5" s="3187">
        <v>0</v>
      </c>
      <c r="M5" s="3187">
        <f t="shared" si="0"/>
        <v>79102</v>
      </c>
      <c r="N5" s="3188">
        <v>0.22</v>
      </c>
      <c r="O5" s="3188">
        <v>0.4</v>
      </c>
      <c r="P5" s="3192">
        <f t="shared" si="1"/>
        <v>9.0909090909090917</v>
      </c>
    </row>
    <row r="6" spans="1:17" ht="19.5" customHeight="1">
      <c r="A6" s="3182">
        <v>4</v>
      </c>
      <c r="B6" s="3183" t="s">
        <v>2978</v>
      </c>
      <c r="C6" s="3183" t="s">
        <v>2973</v>
      </c>
      <c r="D6" s="3183" t="s">
        <v>2974</v>
      </c>
      <c r="E6" s="3183" t="s">
        <v>2979</v>
      </c>
      <c r="F6" s="3184">
        <v>56175</v>
      </c>
      <c r="G6" s="3185">
        <v>7194.23</v>
      </c>
      <c r="H6" s="3186" t="s">
        <v>3075</v>
      </c>
      <c r="I6" s="3186" t="s">
        <v>3034</v>
      </c>
      <c r="J6" s="3187">
        <v>2</v>
      </c>
      <c r="K6" s="3187">
        <v>0</v>
      </c>
      <c r="L6" s="3187">
        <v>14388</v>
      </c>
      <c r="M6" s="3187">
        <f t="shared" si="0"/>
        <v>14388</v>
      </c>
      <c r="N6" s="3188">
        <v>0.3</v>
      </c>
      <c r="O6" s="3188" t="s">
        <v>3143</v>
      </c>
      <c r="P6" s="2">
        <f t="shared" si="1"/>
        <v>6.666666666666667</v>
      </c>
      <c r="Q6" s="3172"/>
    </row>
    <row r="7" spans="1:17" ht="19.5" customHeight="1">
      <c r="A7" s="3182">
        <v>5</v>
      </c>
      <c r="B7" s="3183" t="s">
        <v>2980</v>
      </c>
      <c r="C7" s="3183" t="s">
        <v>2973</v>
      </c>
      <c r="D7" s="3183" t="s">
        <v>2974</v>
      </c>
      <c r="E7" s="3183" t="s">
        <v>2975</v>
      </c>
      <c r="F7" s="3184">
        <v>67163</v>
      </c>
      <c r="G7" s="3185">
        <v>13451</v>
      </c>
      <c r="H7" s="3186" t="s">
        <v>3042</v>
      </c>
      <c r="I7" s="3186" t="s">
        <v>3044</v>
      </c>
      <c r="J7" s="3187">
        <v>2</v>
      </c>
      <c r="K7" s="3187">
        <v>26902</v>
      </c>
      <c r="L7" s="3187">
        <v>0</v>
      </c>
      <c r="M7" s="3187">
        <f t="shared" si="0"/>
        <v>26902</v>
      </c>
      <c r="N7" s="3188">
        <v>0.22</v>
      </c>
      <c r="O7" s="3188">
        <v>0.4</v>
      </c>
      <c r="P7" s="3192">
        <f t="shared" si="1"/>
        <v>9.0909090909090917</v>
      </c>
    </row>
    <row r="8" spans="1:17" ht="19.5" customHeight="1">
      <c r="A8" s="3182">
        <v>6</v>
      </c>
      <c r="B8" s="3183" t="s">
        <v>2981</v>
      </c>
      <c r="C8" s="3183" t="s">
        <v>2973</v>
      </c>
      <c r="D8" s="3183" t="s">
        <v>2974</v>
      </c>
      <c r="E8" s="3183" t="s">
        <v>2979</v>
      </c>
      <c r="F8" s="3184">
        <v>56206</v>
      </c>
      <c r="G8" s="3185">
        <v>11555</v>
      </c>
      <c r="H8" s="3186" t="s">
        <v>3078</v>
      </c>
      <c r="I8" s="3186" t="s">
        <v>3074</v>
      </c>
      <c r="J8" s="3187">
        <v>1.5</v>
      </c>
      <c r="K8" s="3187">
        <v>0</v>
      </c>
      <c r="L8" s="3187">
        <v>17332.5</v>
      </c>
      <c r="M8" s="3187">
        <f t="shared" si="0"/>
        <v>17332.5</v>
      </c>
      <c r="N8" s="3188">
        <v>0.3</v>
      </c>
      <c r="O8" s="3188" t="s">
        <v>3143</v>
      </c>
      <c r="P8" s="2">
        <f t="shared" si="1"/>
        <v>5</v>
      </c>
    </row>
    <row r="9" spans="1:17" ht="19.5" customHeight="1">
      <c r="A9" s="3182">
        <v>7</v>
      </c>
      <c r="B9" s="3183" t="s">
        <v>2982</v>
      </c>
      <c r="C9" s="3183" t="s">
        <v>2973</v>
      </c>
      <c r="D9" s="3183" t="s">
        <v>2974</v>
      </c>
      <c r="E9" s="3183" t="s">
        <v>2979</v>
      </c>
      <c r="F9" s="3184">
        <v>56206</v>
      </c>
      <c r="G9" s="3185">
        <v>8707</v>
      </c>
      <c r="H9" s="3186" t="s">
        <v>3077</v>
      </c>
      <c r="I9" s="3186" t="s">
        <v>3074</v>
      </c>
      <c r="J9" s="3187">
        <v>1.5</v>
      </c>
      <c r="K9" s="3187">
        <v>0</v>
      </c>
      <c r="L9" s="3187">
        <v>13060.5</v>
      </c>
      <c r="M9" s="3187">
        <f t="shared" si="0"/>
        <v>13060.5</v>
      </c>
      <c r="N9" s="3188">
        <v>0.3</v>
      </c>
      <c r="O9" s="3188" t="s">
        <v>3143</v>
      </c>
      <c r="P9" s="2">
        <f t="shared" si="1"/>
        <v>5</v>
      </c>
    </row>
    <row r="10" spans="1:17" ht="33" customHeight="1">
      <c r="A10" s="3182">
        <v>8</v>
      </c>
      <c r="B10" s="3183" t="s">
        <v>2983</v>
      </c>
      <c r="C10" s="3183" t="s">
        <v>2973</v>
      </c>
      <c r="D10" s="3183" t="s">
        <v>3245</v>
      </c>
      <c r="E10" s="3183" t="s">
        <v>2984</v>
      </c>
      <c r="F10" s="3184" t="s">
        <v>3000</v>
      </c>
      <c r="G10" s="3185">
        <v>15194</v>
      </c>
      <c r="H10" s="3186" t="s">
        <v>3079</v>
      </c>
      <c r="I10" s="3186" t="s">
        <v>3044</v>
      </c>
      <c r="J10" s="3187">
        <v>2</v>
      </c>
      <c r="K10" s="3187">
        <f>M10-L10</f>
        <v>24310.400000000001</v>
      </c>
      <c r="L10" s="3187">
        <f>M10*0.2</f>
        <v>6077.6</v>
      </c>
      <c r="M10" s="3187">
        <v>30388</v>
      </c>
      <c r="N10" s="3188">
        <v>0.22</v>
      </c>
      <c r="O10" s="3188" t="s">
        <v>3143</v>
      </c>
      <c r="P10" s="3192">
        <f t="shared" si="1"/>
        <v>9.0909090909090917</v>
      </c>
    </row>
    <row r="11" spans="1:17" ht="28.5" customHeight="1">
      <c r="A11" s="3182">
        <v>9</v>
      </c>
      <c r="B11" s="3183" t="s">
        <v>2985</v>
      </c>
      <c r="C11" s="3183" t="s">
        <v>2973</v>
      </c>
      <c r="D11" s="3183" t="s">
        <v>2974</v>
      </c>
      <c r="E11" s="3183" t="s">
        <v>2984</v>
      </c>
      <c r="F11" s="3184" t="s">
        <v>3000</v>
      </c>
      <c r="G11" s="3185">
        <v>31761</v>
      </c>
      <c r="H11" s="3186" t="s">
        <v>3085</v>
      </c>
      <c r="I11" s="3186" t="s">
        <v>3055</v>
      </c>
      <c r="J11" s="3187">
        <v>1.1000000000000001</v>
      </c>
      <c r="K11" s="3187">
        <f t="shared" ref="K11:K13" si="2">M11-L11</f>
        <v>27949.68</v>
      </c>
      <c r="L11" s="3187">
        <f t="shared" ref="L11:L13" si="3">M11*0.2</f>
        <v>6987.42</v>
      </c>
      <c r="M11" s="3187">
        <v>34937.1</v>
      </c>
      <c r="N11" s="3188">
        <v>0.35</v>
      </c>
      <c r="O11" s="3188" t="s">
        <v>3143</v>
      </c>
      <c r="P11" s="3193">
        <f t="shared" si="1"/>
        <v>3.1428571428571432</v>
      </c>
    </row>
    <row r="12" spans="1:17" ht="29.25" customHeight="1">
      <c r="A12" s="3182">
        <v>10</v>
      </c>
      <c r="B12" s="3183" t="s">
        <v>2986</v>
      </c>
      <c r="C12" s="3183" t="s">
        <v>2973</v>
      </c>
      <c r="D12" s="3183" t="s">
        <v>2974</v>
      </c>
      <c r="E12" s="3183" t="s">
        <v>2984</v>
      </c>
      <c r="F12" s="3184" t="s">
        <v>3000</v>
      </c>
      <c r="G12" s="3185">
        <v>33875</v>
      </c>
      <c r="H12" s="3186" t="s">
        <v>3087</v>
      </c>
      <c r="I12" s="3186" t="s">
        <v>3055</v>
      </c>
      <c r="J12" s="3187">
        <v>1.1000000000000001</v>
      </c>
      <c r="K12" s="3187">
        <f t="shared" si="2"/>
        <v>29810</v>
      </c>
      <c r="L12" s="3187">
        <f t="shared" si="3"/>
        <v>7452.5</v>
      </c>
      <c r="M12" s="3187">
        <v>37262.5</v>
      </c>
      <c r="N12" s="3188">
        <v>0.35</v>
      </c>
      <c r="O12" s="3188" t="s">
        <v>3143</v>
      </c>
      <c r="P12" s="3193">
        <f t="shared" si="1"/>
        <v>3.1428571428571432</v>
      </c>
    </row>
    <row r="13" spans="1:17" ht="31.5" customHeight="1">
      <c r="A13" s="3182">
        <v>11</v>
      </c>
      <c r="B13" s="3183" t="s">
        <v>2987</v>
      </c>
      <c r="C13" s="3183" t="s">
        <v>2973</v>
      </c>
      <c r="D13" s="3183" t="s">
        <v>2974</v>
      </c>
      <c r="E13" s="3183" t="s">
        <v>2984</v>
      </c>
      <c r="F13" s="3184" t="s">
        <v>3000</v>
      </c>
      <c r="G13" s="3185">
        <v>23418</v>
      </c>
      <c r="H13" s="3186" t="s">
        <v>3091</v>
      </c>
      <c r="I13" s="3186" t="s">
        <v>3055</v>
      </c>
      <c r="J13" s="3187">
        <v>1.1000000000000001</v>
      </c>
      <c r="K13" s="3187">
        <f t="shared" si="2"/>
        <v>20607.84</v>
      </c>
      <c r="L13" s="3187">
        <f t="shared" si="3"/>
        <v>5151.96</v>
      </c>
      <c r="M13" s="3187">
        <v>25759.8</v>
      </c>
      <c r="N13" s="3188">
        <v>0.35</v>
      </c>
      <c r="O13" s="3188" t="s">
        <v>3143</v>
      </c>
      <c r="P13" s="3193">
        <f t="shared" si="1"/>
        <v>3.1428571428571432</v>
      </c>
    </row>
    <row r="14" spans="1:17" ht="31.5" customHeight="1">
      <c r="A14" s="3182">
        <v>12</v>
      </c>
      <c r="B14" s="3183" t="s">
        <v>2988</v>
      </c>
      <c r="C14" s="3183" t="s">
        <v>2973</v>
      </c>
      <c r="D14" s="3183" t="s">
        <v>2974</v>
      </c>
      <c r="E14" s="3183" t="s">
        <v>2984</v>
      </c>
      <c r="F14" s="3184" t="s">
        <v>3000</v>
      </c>
      <c r="G14" s="3185">
        <v>29579</v>
      </c>
      <c r="H14" s="3186" t="s">
        <v>3083</v>
      </c>
      <c r="I14" s="3186" t="s">
        <v>3055</v>
      </c>
      <c r="J14" s="3187">
        <v>1.1000000000000001</v>
      </c>
      <c r="K14" s="3187">
        <f>M14-L14</f>
        <v>26029.52</v>
      </c>
      <c r="L14" s="3187">
        <f>M14*0.2</f>
        <v>6507.380000000001</v>
      </c>
      <c r="M14" s="3187">
        <v>32536.9</v>
      </c>
      <c r="N14" s="3188">
        <v>0.35</v>
      </c>
      <c r="O14" s="3188" t="s">
        <v>3143</v>
      </c>
      <c r="P14" s="3193">
        <f t="shared" si="1"/>
        <v>3.1428571428571432</v>
      </c>
    </row>
    <row r="15" spans="1:17" ht="31.5" customHeight="1">
      <c r="A15" s="3182">
        <v>13</v>
      </c>
      <c r="B15" s="3183" t="s">
        <v>2989</v>
      </c>
      <c r="C15" s="3183" t="s">
        <v>2973</v>
      </c>
      <c r="D15" s="3183" t="s">
        <v>2974</v>
      </c>
      <c r="E15" s="3183" t="s">
        <v>2984</v>
      </c>
      <c r="F15" s="3184" t="s">
        <v>3000</v>
      </c>
      <c r="G15" s="3185">
        <v>29227</v>
      </c>
      <c r="H15" s="3186" t="s">
        <v>3089</v>
      </c>
      <c r="I15" s="3186" t="s">
        <v>3055</v>
      </c>
      <c r="J15" s="3187">
        <v>1.1000000000000001</v>
      </c>
      <c r="K15" s="3187">
        <f>M15-L15</f>
        <v>25719.760000000002</v>
      </c>
      <c r="L15" s="3187">
        <f>M15*0.2</f>
        <v>6429.9400000000005</v>
      </c>
      <c r="M15" s="3187">
        <v>32149.7</v>
      </c>
      <c r="N15" s="3188">
        <v>0.35</v>
      </c>
      <c r="O15" s="3188" t="s">
        <v>3143</v>
      </c>
      <c r="P15" s="3193">
        <f t="shared" si="1"/>
        <v>3.1428571428571432</v>
      </c>
    </row>
    <row r="16" spans="1:17" ht="31.5" customHeight="1">
      <c r="A16" s="3182">
        <v>14</v>
      </c>
      <c r="B16" s="3183" t="s">
        <v>2990</v>
      </c>
      <c r="C16" s="3183" t="s">
        <v>2973</v>
      </c>
      <c r="D16" s="3183" t="s">
        <v>2974</v>
      </c>
      <c r="E16" s="3183" t="s">
        <v>2984</v>
      </c>
      <c r="F16" s="3184" t="s">
        <v>3001</v>
      </c>
      <c r="G16" s="3185">
        <v>47561</v>
      </c>
      <c r="H16" s="3186" t="s">
        <v>3053</v>
      </c>
      <c r="I16" s="3186" t="s">
        <v>3055</v>
      </c>
      <c r="J16" s="3187">
        <v>1.1000000000000001</v>
      </c>
      <c r="K16" s="3187">
        <f>M16-L16</f>
        <v>41853.68</v>
      </c>
      <c r="L16" s="3187">
        <f>M16*0.2</f>
        <v>10463.42</v>
      </c>
      <c r="M16" s="3187">
        <v>52317.1</v>
      </c>
      <c r="N16" s="3188">
        <v>0.35</v>
      </c>
      <c r="O16" s="3188">
        <v>0.4</v>
      </c>
      <c r="P16" s="3193">
        <f t="shared" si="1"/>
        <v>3.1428571428571432</v>
      </c>
    </row>
    <row r="17" spans="1:17" ht="31.5" customHeight="1">
      <c r="A17" s="3182">
        <v>15</v>
      </c>
      <c r="B17" s="3183" t="s">
        <v>2991</v>
      </c>
      <c r="C17" s="3183" t="s">
        <v>2973</v>
      </c>
      <c r="D17" s="3183" t="s">
        <v>2974</v>
      </c>
      <c r="E17" s="3183" t="s">
        <v>2984</v>
      </c>
      <c r="F17" s="3184" t="s">
        <v>3002</v>
      </c>
      <c r="G17" s="3185">
        <v>16782</v>
      </c>
      <c r="H17" s="3186" t="s">
        <v>3132</v>
      </c>
      <c r="I17" s="3186" t="s">
        <v>3055</v>
      </c>
      <c r="J17" s="3187">
        <v>1.1000000000000001</v>
      </c>
      <c r="K17" s="3187">
        <f>M17-L17</f>
        <v>14768.16</v>
      </c>
      <c r="L17" s="3187">
        <f>M17*0.2</f>
        <v>3692.0400000000004</v>
      </c>
      <c r="M17" s="3187">
        <v>18460.2</v>
      </c>
      <c r="N17" s="3188">
        <v>0.35</v>
      </c>
      <c r="O17" s="3188">
        <v>0.4</v>
      </c>
      <c r="P17" s="3193">
        <f t="shared" si="1"/>
        <v>3.1428571428571432</v>
      </c>
    </row>
    <row r="18" spans="1:17" ht="31.5" customHeight="1">
      <c r="A18" s="3182">
        <v>16</v>
      </c>
      <c r="B18" s="3183" t="s">
        <v>2992</v>
      </c>
      <c r="C18" s="3183" t="s">
        <v>2973</v>
      </c>
      <c r="D18" s="3183" t="s">
        <v>2974</v>
      </c>
      <c r="E18" s="3183" t="s">
        <v>2994</v>
      </c>
      <c r="F18" s="3184">
        <v>56466</v>
      </c>
      <c r="G18" s="3185">
        <v>12603</v>
      </c>
      <c r="H18" s="3186" t="s">
        <v>3072</v>
      </c>
      <c r="I18" s="3186" t="s">
        <v>3074</v>
      </c>
      <c r="J18" s="3187">
        <v>1.5</v>
      </c>
      <c r="K18" s="3187">
        <v>0</v>
      </c>
      <c r="L18" s="3187">
        <v>18904.5</v>
      </c>
      <c r="M18" s="3187">
        <f>K18+L18</f>
        <v>18904.5</v>
      </c>
      <c r="N18" s="3188">
        <v>0.3</v>
      </c>
      <c r="O18" s="3188" t="s">
        <v>3143</v>
      </c>
      <c r="P18" s="2">
        <f t="shared" si="1"/>
        <v>5</v>
      </c>
    </row>
    <row r="19" spans="1:17" ht="31.5" customHeight="1">
      <c r="A19" s="3182">
        <v>17</v>
      </c>
      <c r="B19" s="3183" t="s">
        <v>2993</v>
      </c>
      <c r="C19" s="3183" t="s">
        <v>2973</v>
      </c>
      <c r="D19" s="3183" t="s">
        <v>2974</v>
      </c>
      <c r="E19" s="3183" t="s">
        <v>2984</v>
      </c>
      <c r="F19" s="3184" t="s">
        <v>3002</v>
      </c>
      <c r="G19" s="3185">
        <v>76242</v>
      </c>
      <c r="H19" s="3186" t="s">
        <v>3060</v>
      </c>
      <c r="I19" s="3186" t="s">
        <v>3062</v>
      </c>
      <c r="J19" s="3187">
        <v>1.5</v>
      </c>
      <c r="K19" s="3187">
        <f t="shared" ref="K19:K23" si="4">M19-L19</f>
        <v>91490.4</v>
      </c>
      <c r="L19" s="3187">
        <f>M19*0.2</f>
        <v>22872.600000000002</v>
      </c>
      <c r="M19" s="3187">
        <v>114363</v>
      </c>
      <c r="N19" s="3188">
        <v>0.22</v>
      </c>
      <c r="O19" s="3188">
        <v>0.4</v>
      </c>
      <c r="P19" s="3194">
        <f t="shared" si="1"/>
        <v>6.8181818181818183</v>
      </c>
      <c r="Q19" s="3172" t="s">
        <v>3148</v>
      </c>
    </row>
    <row r="20" spans="1:17" ht="31.5" customHeight="1">
      <c r="A20" s="3182">
        <v>18</v>
      </c>
      <c r="B20" s="3183" t="s">
        <v>2998</v>
      </c>
      <c r="C20" s="3183" t="s">
        <v>2973</v>
      </c>
      <c r="D20" s="3183" t="s">
        <v>2974</v>
      </c>
      <c r="E20" s="3183" t="s">
        <v>2984</v>
      </c>
      <c r="F20" s="3184" t="s">
        <v>3003</v>
      </c>
      <c r="G20" s="3185">
        <v>15407</v>
      </c>
      <c r="H20" s="3186" t="s">
        <v>3063</v>
      </c>
      <c r="I20" s="3186" t="s">
        <v>3055</v>
      </c>
      <c r="J20" s="3187">
        <v>1.1000000000000001</v>
      </c>
      <c r="K20" s="3187">
        <f t="shared" si="4"/>
        <v>13558.16</v>
      </c>
      <c r="L20" s="3187">
        <f>M20*0.2</f>
        <v>3389.5400000000004</v>
      </c>
      <c r="M20" s="3187">
        <v>16947.7</v>
      </c>
      <c r="N20" s="3188">
        <v>0.35</v>
      </c>
      <c r="O20" s="3188">
        <v>0.4</v>
      </c>
      <c r="P20" s="3193">
        <f t="shared" si="1"/>
        <v>3.1428571428571432</v>
      </c>
    </row>
    <row r="21" spans="1:17" ht="31.5" customHeight="1">
      <c r="A21" s="3182">
        <v>19</v>
      </c>
      <c r="B21" s="3183" t="s">
        <v>2995</v>
      </c>
      <c r="C21" s="3183" t="s">
        <v>2973</v>
      </c>
      <c r="D21" s="3183" t="s">
        <v>2974</v>
      </c>
      <c r="E21" s="3183" t="s">
        <v>2984</v>
      </c>
      <c r="F21" s="3184" t="s">
        <v>3003</v>
      </c>
      <c r="G21" s="3185">
        <v>18263</v>
      </c>
      <c r="H21" s="3186" t="s">
        <v>3093</v>
      </c>
      <c r="I21" s="3186" t="s">
        <v>3055</v>
      </c>
      <c r="J21" s="3187">
        <v>1.1000000000000001</v>
      </c>
      <c r="K21" s="3187">
        <f t="shared" si="4"/>
        <v>16071.439999999999</v>
      </c>
      <c r="L21" s="3187">
        <f>M21*0.2</f>
        <v>4017.86</v>
      </c>
      <c r="M21" s="3187">
        <v>20089.3</v>
      </c>
      <c r="N21" s="3188">
        <v>0.35</v>
      </c>
      <c r="O21" s="3188">
        <v>0.4</v>
      </c>
      <c r="P21" s="3193">
        <f t="shared" si="1"/>
        <v>3.1428571428571432</v>
      </c>
    </row>
    <row r="22" spans="1:17" ht="31.5" customHeight="1">
      <c r="A22" s="3182">
        <v>20</v>
      </c>
      <c r="B22" s="3183" t="s">
        <v>2996</v>
      </c>
      <c r="C22" s="3183" t="s">
        <v>2973</v>
      </c>
      <c r="D22" s="3183" t="s">
        <v>2974</v>
      </c>
      <c r="E22" s="3183" t="s">
        <v>2984</v>
      </c>
      <c r="F22" s="3184" t="s">
        <v>3004</v>
      </c>
      <c r="G22" s="3185">
        <v>36933</v>
      </c>
      <c r="H22" s="3186" t="s">
        <v>3094</v>
      </c>
      <c r="I22" s="3186" t="s">
        <v>3055</v>
      </c>
      <c r="J22" s="3187">
        <v>1.1000000000000001</v>
      </c>
      <c r="K22" s="3187">
        <f t="shared" si="4"/>
        <v>32501.040000000001</v>
      </c>
      <c r="L22" s="3187">
        <f>M22*0.2</f>
        <v>8125.2600000000011</v>
      </c>
      <c r="M22" s="3187">
        <v>40626.300000000003</v>
      </c>
      <c r="N22" s="3188">
        <v>0.35</v>
      </c>
      <c r="O22" s="3188" t="s">
        <v>3143</v>
      </c>
      <c r="P22" s="3193">
        <f t="shared" si="1"/>
        <v>3.1428571428571432</v>
      </c>
    </row>
    <row r="23" spans="1:17" ht="31.5" customHeight="1">
      <c r="A23" s="3182">
        <v>21</v>
      </c>
      <c r="B23" s="3183" t="s">
        <v>2997</v>
      </c>
      <c r="C23" s="3183" t="s">
        <v>2973</v>
      </c>
      <c r="D23" s="3183" t="s">
        <v>2974</v>
      </c>
      <c r="E23" s="3183" t="s">
        <v>2984</v>
      </c>
      <c r="F23" s="3184" t="s">
        <v>3004</v>
      </c>
      <c r="G23" s="3185">
        <v>48398</v>
      </c>
      <c r="H23" s="3186" t="s">
        <v>3066</v>
      </c>
      <c r="I23" s="3186" t="s">
        <v>3055</v>
      </c>
      <c r="J23" s="3187">
        <v>1.1000000000000001</v>
      </c>
      <c r="K23" s="3187">
        <f t="shared" si="4"/>
        <v>42590.240000000005</v>
      </c>
      <c r="L23" s="3187">
        <f>M23*0.2</f>
        <v>10647.560000000001</v>
      </c>
      <c r="M23" s="3187">
        <v>53237.8</v>
      </c>
      <c r="N23" s="3188">
        <v>0.35</v>
      </c>
      <c r="O23" s="3188" t="s">
        <v>3143</v>
      </c>
      <c r="P23" s="3193">
        <f t="shared" si="1"/>
        <v>3.1428571428571432</v>
      </c>
    </row>
    <row r="24" spans="1:17" ht="27" customHeight="1">
      <c r="A24" s="3182"/>
      <c r="B24" s="3422" t="s">
        <v>2999</v>
      </c>
      <c r="C24" s="3422"/>
      <c r="D24" s="3422"/>
      <c r="E24" s="3422"/>
      <c r="F24" s="3422"/>
      <c r="G24" s="3189">
        <f>SUM(G3:G23)</f>
        <v>556482</v>
      </c>
      <c r="H24" s="3182"/>
      <c r="I24" s="3182"/>
      <c r="J24" s="3182"/>
      <c r="K24" s="3182">
        <f t="shared" ref="K24:L24" si="5">SUM(K3:K23)</f>
        <v>582581.81999999995</v>
      </c>
      <c r="L24" s="3182">
        <f t="shared" si="5"/>
        <v>165500.57999999999</v>
      </c>
      <c r="M24" s="3182">
        <f>SUM(M3:M23)</f>
        <v>748082.40000000014</v>
      </c>
      <c r="N24" s="3182"/>
      <c r="O24" s="3188"/>
    </row>
  </sheetData>
  <mergeCells count="13">
    <mergeCell ref="A1:A2"/>
    <mergeCell ref="O1:O2"/>
    <mergeCell ref="B24:F24"/>
    <mergeCell ref="K1:M1"/>
    <mergeCell ref="N1:N2"/>
    <mergeCell ref="I1:J1"/>
    <mergeCell ref="H1:H2"/>
    <mergeCell ref="G1:G2"/>
    <mergeCell ref="F1:F2"/>
    <mergeCell ref="E1:E2"/>
    <mergeCell ref="B1:B2"/>
    <mergeCell ref="C1:C2"/>
    <mergeCell ref="D1:D2"/>
  </mergeCells>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48" sqref="A48"/>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307" t="str">
        <f>项目基本情况!B1</f>
        <v>出让国有建设用地使用权抵押价格预评估</v>
      </c>
      <c r="C37" s="3307"/>
      <c r="D37" s="3307"/>
      <c r="E37" s="3307"/>
      <c r="F37" s="3307"/>
      <c r="G37" s="3307"/>
      <c r="H37" s="3307"/>
      <c r="I37" s="3307"/>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王鹏、郑燚、郑燚、王鹏</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6" sqref="G6"/>
    </sheetView>
  </sheetViews>
  <sheetFormatPr defaultColWidth="14.625" defaultRowHeight="13.5"/>
  <cols>
    <col min="1" max="1" width="24.375" customWidth="1"/>
  </cols>
  <sheetData>
    <row r="1" spans="1:9" ht="16.5">
      <c r="A1" s="3072" t="s">
        <v>2847</v>
      </c>
      <c r="B1" s="3072">
        <f>SUM(B14:B23)</f>
        <v>733694.39999999991</v>
      </c>
      <c r="C1" s="3073"/>
      <c r="D1" s="3073"/>
      <c r="E1" s="3073"/>
      <c r="F1" s="3073"/>
    </row>
    <row r="2" spans="1:9" ht="16.5">
      <c r="A2" s="3072" t="s">
        <v>2848</v>
      </c>
      <c r="B2" s="3072">
        <f>SUM(C14:C23)</f>
        <v>549287.77</v>
      </c>
      <c r="C2" s="3073"/>
      <c r="D2" s="3073"/>
      <c r="E2" s="3073"/>
      <c r="F2" s="3073"/>
    </row>
    <row r="3" spans="1:9" ht="16.5">
      <c r="A3" s="3072" t="s">
        <v>2849</v>
      </c>
      <c r="B3" s="3074">
        <f>项目基本情况!D3</f>
        <v>43052</v>
      </c>
      <c r="C3" s="3073"/>
      <c r="D3" s="3073"/>
      <c r="E3" s="3073"/>
      <c r="F3" s="3073"/>
    </row>
    <row r="4" spans="1:9" ht="33">
      <c r="A4" s="3072" t="s">
        <v>2850</v>
      </c>
      <c r="B4" s="3072" t="s">
        <v>2851</v>
      </c>
      <c r="C4" s="3072" t="s">
        <v>2852</v>
      </c>
      <c r="D4" s="3072" t="s">
        <v>2853</v>
      </c>
      <c r="E4" s="3073"/>
      <c r="F4" s="3073"/>
    </row>
    <row r="5" spans="1:9" ht="16.5">
      <c r="A5" s="3072" t="s">
        <v>2854</v>
      </c>
      <c r="B5" s="3072">
        <f ca="1">SUM(D14:D23)</f>
        <v>158670</v>
      </c>
      <c r="C5" s="3072">
        <f ca="1">ROUND(B5*10000/$B$1,0)</f>
        <v>2163</v>
      </c>
      <c r="D5" s="3072">
        <f ca="1">ROUND(B5*10000/$B$2,0)</f>
        <v>2889</v>
      </c>
      <c r="E5" s="3073"/>
      <c r="F5" s="3073"/>
    </row>
    <row r="6" spans="1:9" ht="16.5">
      <c r="A6" s="3072" t="s">
        <v>2855</v>
      </c>
      <c r="B6" s="3072">
        <f ca="1">SUM(G14:G23)</f>
        <v>158670</v>
      </c>
      <c r="C6" s="3072">
        <f t="shared" ref="C6:C8" ca="1" si="0">ROUND(B6*10000/$B$1,0)</f>
        <v>2163</v>
      </c>
      <c r="D6" s="3072">
        <f t="shared" ref="D6:D8" ca="1" si="1">ROUND(B6*10000/$B$2,0)</f>
        <v>2889</v>
      </c>
      <c r="E6" s="3073"/>
      <c r="F6" s="3073"/>
    </row>
    <row r="7" spans="1:9" ht="16.5">
      <c r="A7" s="3072" t="s">
        <v>2856</v>
      </c>
      <c r="B7" s="3072">
        <f>SUM(H14:H23)</f>
        <v>0</v>
      </c>
      <c r="C7" s="3072">
        <f t="shared" si="0"/>
        <v>0</v>
      </c>
      <c r="D7" s="3072">
        <f t="shared" si="1"/>
        <v>0</v>
      </c>
      <c r="E7" s="3073"/>
      <c r="F7" s="3073"/>
    </row>
    <row r="8" spans="1:9" ht="16.5">
      <c r="A8" s="3072" t="s">
        <v>2857</v>
      </c>
      <c r="B8" s="3072">
        <f>SUM(I14:I23)</f>
        <v>0</v>
      </c>
      <c r="C8" s="3072">
        <f t="shared" si="0"/>
        <v>0</v>
      </c>
      <c r="D8" s="3072">
        <f t="shared" si="1"/>
        <v>0</v>
      </c>
      <c r="E8" s="3073"/>
      <c r="F8" s="3073"/>
    </row>
    <row r="9" spans="1:9" ht="16.5">
      <c r="A9" s="3072" t="s">
        <v>2858</v>
      </c>
      <c r="B9" s="3075"/>
      <c r="C9" s="3073"/>
      <c r="D9" s="3073"/>
      <c r="E9" s="3073"/>
      <c r="F9" s="3073"/>
    </row>
    <row r="10" spans="1:9" ht="16.5">
      <c r="A10" s="3072" t="s">
        <v>2859</v>
      </c>
      <c r="B10" s="3075"/>
      <c r="C10" s="3073"/>
      <c r="D10" s="3073"/>
      <c r="E10" s="3073"/>
      <c r="F10" s="3073"/>
    </row>
    <row r="11" spans="1:9" ht="16.5">
      <c r="A11" s="3072" t="s">
        <v>2876</v>
      </c>
      <c r="B11" s="3075"/>
      <c r="C11" s="3073"/>
      <c r="D11" s="3073"/>
      <c r="E11" s="3073"/>
      <c r="F11" s="3073"/>
    </row>
    <row r="12" spans="1:9" ht="16.5">
      <c r="A12" s="3073"/>
      <c r="B12" s="3073"/>
      <c r="C12" s="3073"/>
      <c r="D12" s="3073"/>
      <c r="E12" s="3073"/>
      <c r="F12" s="3073"/>
    </row>
    <row r="13" spans="1:9" ht="33">
      <c r="A13" s="3078" t="s">
        <v>2875</v>
      </c>
      <c r="B13" s="3076" t="s">
        <v>2847</v>
      </c>
      <c r="C13" s="3076" t="s">
        <v>2848</v>
      </c>
      <c r="D13" s="3076" t="s">
        <v>2860</v>
      </c>
      <c r="E13" s="3072" t="s">
        <v>2874</v>
      </c>
      <c r="F13" s="3072" t="s">
        <v>2853</v>
      </c>
      <c r="G13" s="3076" t="s">
        <v>2861</v>
      </c>
      <c r="H13" s="3076" t="s">
        <v>2862</v>
      </c>
      <c r="I13" s="3076" t="s">
        <v>2863</v>
      </c>
    </row>
    <row r="14" spans="1:9" ht="16.5">
      <c r="A14" s="3079" t="s">
        <v>2873</v>
      </c>
      <c r="B14" s="3076">
        <f>'数据-汇总表'!E3</f>
        <v>114363</v>
      </c>
      <c r="C14" s="3076">
        <f>'数据-汇总表'!D3</f>
        <v>76242</v>
      </c>
      <c r="D14" s="3306">
        <f ca="1">G14</f>
        <v>21230</v>
      </c>
      <c r="E14" s="3076">
        <f ca="1">ROUND(D14*10000/B14,0)</f>
        <v>1856</v>
      </c>
      <c r="F14" s="3076">
        <f ca="1">ROUND(D14*10000/C14,0)</f>
        <v>2785</v>
      </c>
      <c r="G14" s="3306">
        <f ca="1">结果表!M17</f>
        <v>21230</v>
      </c>
      <c r="H14" s="3076" t="str">
        <f>结果表!C45</f>
        <v>——</v>
      </c>
      <c r="I14" s="3076" t="str">
        <f>结果表!C46</f>
        <v>——</v>
      </c>
    </row>
    <row r="15" spans="1:9" ht="16.5">
      <c r="A15" s="3079" t="s">
        <v>2864</v>
      </c>
      <c r="B15" s="3080">
        <v>379289.89999999997</v>
      </c>
      <c r="C15" s="3080">
        <v>344808.81</v>
      </c>
      <c r="D15" s="3080">
        <f>G15</f>
        <v>97687</v>
      </c>
      <c r="E15" s="3076">
        <f t="shared" ref="E15:E23" si="2">ROUND(D15*10000/B15,0)</f>
        <v>2576</v>
      </c>
      <c r="F15" s="3076">
        <f t="shared" ref="F15:F23" si="3">ROUND(D15*10000/C15,0)</f>
        <v>2833</v>
      </c>
      <c r="G15" s="3077">
        <f>[3]结果表!$M$17</f>
        <v>97687</v>
      </c>
      <c r="H15" s="3077"/>
      <c r="I15" s="3080"/>
    </row>
    <row r="16" spans="1:9" ht="16.5">
      <c r="A16" s="3079" t="s">
        <v>2865</v>
      </c>
      <c r="B16" s="3080">
        <v>190744</v>
      </c>
      <c r="C16" s="3080">
        <v>95371.96</v>
      </c>
      <c r="D16" s="3080">
        <f>G16</f>
        <v>32801</v>
      </c>
      <c r="E16" s="3076">
        <f t="shared" si="2"/>
        <v>1720</v>
      </c>
      <c r="F16" s="3076">
        <f t="shared" si="3"/>
        <v>3439</v>
      </c>
      <c r="G16" s="3077">
        <f>[4]结果表!$M$17</f>
        <v>32801</v>
      </c>
      <c r="H16" s="3077"/>
      <c r="I16" s="3080"/>
    </row>
    <row r="17" spans="1:9" ht="16.5">
      <c r="A17" s="3079" t="s">
        <v>2866</v>
      </c>
      <c r="B17" s="3080">
        <v>49297.5</v>
      </c>
      <c r="C17" s="3080">
        <v>32865</v>
      </c>
      <c r="D17" s="3080">
        <f t="shared" ref="D17:D18" si="4">G17</f>
        <v>6952</v>
      </c>
      <c r="E17" s="3076">
        <f t="shared" si="2"/>
        <v>1410</v>
      </c>
      <c r="F17" s="3076">
        <f t="shared" si="3"/>
        <v>2115</v>
      </c>
      <c r="G17" s="3077">
        <f>[1]结果表!$M$17</f>
        <v>6952</v>
      </c>
      <c r="H17" s="3077"/>
      <c r="I17" s="3080"/>
    </row>
    <row r="18" spans="1:9" ht="16.5">
      <c r="A18" s="3079" t="s">
        <v>2867</v>
      </c>
      <c r="B18" s="3080"/>
      <c r="C18" s="3080"/>
      <c r="D18" s="3080"/>
      <c r="E18" s="3076" t="e">
        <f t="shared" si="2"/>
        <v>#DIV/0!</v>
      </c>
      <c r="F18" s="3076" t="e">
        <f t="shared" si="3"/>
        <v>#DIV/0!</v>
      </c>
      <c r="G18" s="3080"/>
      <c r="H18" s="3080"/>
      <c r="I18" s="3080"/>
    </row>
    <row r="19" spans="1:9" ht="16.5">
      <c r="A19" s="3079" t="s">
        <v>2868</v>
      </c>
      <c r="B19" s="3080"/>
      <c r="C19" s="3080"/>
      <c r="D19" s="3080"/>
      <c r="E19" s="3076" t="e">
        <f t="shared" si="2"/>
        <v>#DIV/0!</v>
      </c>
      <c r="F19" s="3076" t="e">
        <f t="shared" si="3"/>
        <v>#DIV/0!</v>
      </c>
      <c r="G19" s="3080"/>
      <c r="H19" s="3080"/>
      <c r="I19" s="3080"/>
    </row>
    <row r="20" spans="1:9" ht="16.5">
      <c r="A20" s="3079" t="s">
        <v>2869</v>
      </c>
      <c r="B20" s="3080"/>
      <c r="C20" s="3080"/>
      <c r="D20" s="3080"/>
      <c r="E20" s="3076" t="e">
        <f t="shared" si="2"/>
        <v>#DIV/0!</v>
      </c>
      <c r="F20" s="3076" t="e">
        <f t="shared" si="3"/>
        <v>#DIV/0!</v>
      </c>
      <c r="G20" s="3080"/>
      <c r="H20" s="3080"/>
      <c r="I20" s="3080"/>
    </row>
    <row r="21" spans="1:9" ht="16.5">
      <c r="A21" s="3079" t="s">
        <v>2870</v>
      </c>
      <c r="B21" s="3080"/>
      <c r="C21" s="3080"/>
      <c r="D21" s="3080"/>
      <c r="E21" s="3076" t="e">
        <f t="shared" si="2"/>
        <v>#DIV/0!</v>
      </c>
      <c r="F21" s="3076" t="e">
        <f t="shared" si="3"/>
        <v>#DIV/0!</v>
      </c>
      <c r="G21" s="3080"/>
      <c r="H21" s="3080"/>
      <c r="I21" s="3080"/>
    </row>
    <row r="22" spans="1:9" ht="16.5">
      <c r="A22" s="3079" t="s">
        <v>2871</v>
      </c>
      <c r="B22" s="3080"/>
      <c r="C22" s="3080"/>
      <c r="D22" s="3080"/>
      <c r="E22" s="3076" t="e">
        <f t="shared" si="2"/>
        <v>#DIV/0!</v>
      </c>
      <c r="F22" s="3076" t="e">
        <f t="shared" si="3"/>
        <v>#DIV/0!</v>
      </c>
      <c r="G22" s="3080"/>
      <c r="H22" s="3080"/>
      <c r="I22" s="3080"/>
    </row>
    <row r="23" spans="1:9" ht="16.5">
      <c r="A23" s="3079" t="s">
        <v>2872</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 zoomScaleNormal="100" zoomScaleSheetLayoutView="100" zoomScalePageLayoutView="80" workbookViewId="0">
      <selection activeCell="E33" sqref="E33:E3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2058</v>
      </c>
      <c r="B1" s="1777"/>
      <c r="C1" s="1805" t="s">
        <v>2059</v>
      </c>
      <c r="D1" s="1806" t="s">
        <v>3282</v>
      </c>
      <c r="E1" s="1805" t="s">
        <v>2060</v>
      </c>
      <c r="F1" s="1807" t="s">
        <v>3283</v>
      </c>
      <c r="G1" s="314"/>
      <c r="H1" s="314"/>
      <c r="I1" s="314"/>
      <c r="J1" s="2029"/>
      <c r="K1" s="2029"/>
      <c r="L1" s="2029"/>
      <c r="M1" s="2029"/>
      <c r="N1" s="2029"/>
      <c r="O1" s="2029"/>
      <c r="P1" s="2029"/>
      <c r="Q1" s="2029"/>
      <c r="R1" s="2029"/>
      <c r="S1" s="2029"/>
      <c r="T1" s="2029"/>
      <c r="U1" s="2029"/>
      <c r="V1" s="2029"/>
    </row>
    <row r="2" spans="1:22" ht="21.75" customHeight="1" thickBot="1">
      <c r="A2" s="3469" t="str">
        <f>项目基本情况!K2</f>
        <v>出让国有建设用地使用权</v>
      </c>
      <c r="B2" s="3470"/>
      <c r="C2" s="3471"/>
      <c r="D2" s="3471"/>
      <c r="E2" s="3471"/>
      <c r="F2" s="3471"/>
      <c r="G2" s="3470"/>
      <c r="H2" s="3470"/>
      <c r="I2" s="3472"/>
      <c r="J2" s="2030"/>
      <c r="K2" s="2029"/>
      <c r="L2" s="2029"/>
      <c r="M2" s="2029"/>
      <c r="N2" s="2029"/>
      <c r="O2" s="2029"/>
      <c r="P2" s="2029"/>
      <c r="Q2" s="2029"/>
      <c r="R2" s="2029"/>
      <c r="S2" s="2029"/>
      <c r="T2" s="2029"/>
      <c r="U2" s="2029"/>
      <c r="V2" s="2029"/>
    </row>
    <row r="3" spans="1:22" ht="15" thickBot="1">
      <c r="A3" s="3480" t="s">
        <v>298</v>
      </c>
      <c r="B3" s="3481"/>
      <c r="C3" s="3481"/>
      <c r="D3" s="3481"/>
      <c r="E3" s="3481"/>
      <c r="F3" s="3481"/>
      <c r="G3" s="3481"/>
      <c r="H3" s="3481"/>
      <c r="I3" s="3481"/>
      <c r="J3" s="2030"/>
      <c r="K3" s="2029"/>
      <c r="L3" s="2029"/>
      <c r="M3" s="2029"/>
      <c r="N3" s="2029"/>
      <c r="O3" s="2029"/>
      <c r="P3" s="2029"/>
      <c r="Q3" s="2029"/>
      <c r="R3" s="2029"/>
      <c r="S3" s="2029"/>
      <c r="T3" s="2029"/>
      <c r="U3" s="2029"/>
      <c r="V3" s="2029"/>
    </row>
    <row r="4" spans="1:22" ht="14.25">
      <c r="A4" s="258" t="s">
        <v>299</v>
      </c>
      <c r="B4" s="259" t="s">
        <v>300</v>
      </c>
      <c r="C4" s="260" t="s">
        <v>3024</v>
      </c>
      <c r="D4" s="260" t="s">
        <v>3025</v>
      </c>
      <c r="E4" s="3444" t="s">
        <v>301</v>
      </c>
      <c r="F4" s="3486"/>
      <c r="G4" s="3486"/>
      <c r="H4" s="3486"/>
      <c r="I4" s="3445"/>
      <c r="J4" s="2030"/>
      <c r="K4" s="3207"/>
      <c r="L4" s="3208" t="str">
        <f>IF(ISNUMBER(FIND("比较法",C4)),"比较法",IF(ISNUMBER(FIND("成本法",C4)),"成本法",IF(ISNUMBER(FIND("剩余法",C4)),"剩余法",IF(ISNUMBER(FIND("收益法",C4)),"收益法","基准地价系数修正法"))))</f>
        <v>比较法</v>
      </c>
      <c r="M4" s="3209" t="str">
        <f>IF(ISNUMBER(FIND("比较法",D4)),"比较法",IF(ISNUMBER(FIND("成本法",D4)),"成本法",IF(ISNUMBER(FIND("剩余法",D4)),"剩余法",IF(ISNUMBER(FIND("收益法",D4)),"收益法","基准地价系数修正法"))))</f>
        <v>剩余法</v>
      </c>
      <c r="N4" s="1991"/>
      <c r="O4" s="2029"/>
      <c r="P4" s="2029"/>
      <c r="Q4" s="2029"/>
      <c r="R4" s="2029"/>
      <c r="S4" s="2029"/>
      <c r="T4" s="2029"/>
      <c r="U4" s="2029"/>
      <c r="V4" s="2029"/>
    </row>
    <row r="5" spans="1:22" ht="14.25">
      <c r="A5" s="3473" t="s">
        <v>302</v>
      </c>
      <c r="B5" s="3474">
        <v>25</v>
      </c>
      <c r="C5" s="3482"/>
      <c r="D5" s="3485"/>
      <c r="E5" s="261" t="s">
        <v>303</v>
      </c>
      <c r="F5" s="262"/>
      <c r="G5" s="262"/>
      <c r="H5" s="262"/>
      <c r="I5" s="263"/>
      <c r="J5" s="2030"/>
      <c r="K5" s="3210"/>
      <c r="L5" s="3211">
        <f ca="1">ROUND(C19+[5]本次评估对象!$AF$22,0)</f>
        <v>10790</v>
      </c>
      <c r="M5" s="3212">
        <f ca="1">D19</f>
        <v>40492</v>
      </c>
      <c r="N5" s="1991"/>
      <c r="O5" s="2029"/>
      <c r="P5" s="2029"/>
      <c r="Q5" s="2029"/>
      <c r="R5" s="2029"/>
      <c r="S5" s="2029"/>
      <c r="T5" s="2029"/>
      <c r="U5" s="2029"/>
      <c r="V5" s="2029"/>
    </row>
    <row r="6" spans="1:22" ht="14.25">
      <c r="A6" s="3473"/>
      <c r="B6" s="3474"/>
      <c r="C6" s="3483"/>
      <c r="D6" s="3485"/>
      <c r="E6" s="261" t="s">
        <v>304</v>
      </c>
      <c r="F6" s="262"/>
      <c r="G6" s="262"/>
      <c r="H6" s="262"/>
      <c r="I6" s="263"/>
      <c r="J6" s="2030"/>
      <c r="K6" s="3210"/>
      <c r="L6" s="3211">
        <f ca="1">ROUND(L5*10000/'数据-汇总表'!E3,0)</f>
        <v>943</v>
      </c>
      <c r="M6" s="3212">
        <f t="shared" ref="M6:M7" ca="1" si="0">D20</f>
        <v>3541</v>
      </c>
      <c r="N6" s="1991"/>
      <c r="O6" s="2029"/>
      <c r="P6" s="2029"/>
      <c r="Q6" s="2029"/>
      <c r="R6" s="2029"/>
      <c r="S6" s="2029"/>
      <c r="T6" s="2029"/>
      <c r="U6" s="2029"/>
      <c r="V6" s="2029"/>
    </row>
    <row r="7" spans="1:22" ht="15" thickBot="1">
      <c r="A7" s="3473"/>
      <c r="B7" s="3474"/>
      <c r="C7" s="3484"/>
      <c r="D7" s="3485"/>
      <c r="E7" s="261" t="s">
        <v>305</v>
      </c>
      <c r="F7" s="262"/>
      <c r="G7" s="262"/>
      <c r="H7" s="262"/>
      <c r="I7" s="263"/>
      <c r="J7" s="2030"/>
      <c r="K7" s="3213"/>
      <c r="L7" s="3204">
        <f ca="1">ROUND(L5*10000/'数据-汇总表'!D3,0)</f>
        <v>1415</v>
      </c>
      <c r="M7" s="3214">
        <f t="shared" ca="1" si="0"/>
        <v>5311</v>
      </c>
      <c r="N7" s="1991"/>
      <c r="O7" s="2029"/>
      <c r="P7" s="2029"/>
      <c r="Q7" s="2029"/>
      <c r="R7" s="2029"/>
      <c r="S7" s="2029"/>
      <c r="T7" s="2029"/>
      <c r="U7" s="2029"/>
      <c r="V7" s="2029"/>
    </row>
    <row r="8" spans="1:22" ht="15" thickBot="1">
      <c r="A8" s="3473" t="s">
        <v>306</v>
      </c>
      <c r="B8" s="3474">
        <v>15</v>
      </c>
      <c r="C8" s="3482"/>
      <c r="D8" s="3485"/>
      <c r="E8" s="261" t="s">
        <v>307</v>
      </c>
      <c r="F8" s="262"/>
      <c r="G8" s="262"/>
      <c r="H8" s="262"/>
      <c r="I8" s="263"/>
      <c r="J8" s="2030"/>
      <c r="K8" s="3215" t="s">
        <v>3288</v>
      </c>
      <c r="L8" s="3216">
        <f>C18</f>
        <v>0.6</v>
      </c>
      <c r="M8" s="3217">
        <f>D18</f>
        <v>0.4</v>
      </c>
      <c r="N8" s="3206">
        <f ca="1">IF(L5&lt;M5,M5/L5-1,L5/M5-1)</f>
        <v>2.7527340129749769</v>
      </c>
      <c r="O8" s="2029"/>
      <c r="P8" s="2029"/>
      <c r="Q8" s="2029"/>
      <c r="R8" s="2029"/>
      <c r="S8" s="2029"/>
      <c r="T8" s="2029"/>
      <c r="U8" s="2029"/>
      <c r="V8" s="2029"/>
    </row>
    <row r="9" spans="1:22" ht="14.25">
      <c r="A9" s="3473"/>
      <c r="B9" s="3474"/>
      <c r="C9" s="3484"/>
      <c r="D9" s="3485"/>
      <c r="E9" s="261" t="s">
        <v>308</v>
      </c>
      <c r="F9" s="262"/>
      <c r="G9" s="262"/>
      <c r="H9" s="262"/>
      <c r="I9" s="263"/>
      <c r="J9" s="2030"/>
      <c r="K9" s="3207" t="str">
        <f>E19</f>
        <v>权重结果</v>
      </c>
      <c r="L9" s="3218" t="str">
        <f>F19</f>
        <v>总价</v>
      </c>
      <c r="M9" s="3219">
        <f ca="1">ROUND(L5*L8+M5*M8,0)</f>
        <v>22671</v>
      </c>
      <c r="N9" s="1991"/>
      <c r="O9" s="2029"/>
      <c r="P9" s="2029"/>
      <c r="Q9" s="2029"/>
      <c r="R9" s="2029"/>
      <c r="S9" s="2029"/>
      <c r="T9" s="2029"/>
      <c r="U9" s="2029"/>
      <c r="V9" s="2029"/>
    </row>
    <row r="10" spans="1:22" ht="14.25">
      <c r="A10" s="3473" t="s">
        <v>309</v>
      </c>
      <c r="B10" s="3474">
        <v>15</v>
      </c>
      <c r="C10" s="3482"/>
      <c r="D10" s="3485"/>
      <c r="E10" s="261" t="s">
        <v>310</v>
      </c>
      <c r="F10" s="262"/>
      <c r="G10" s="262"/>
      <c r="H10" s="262"/>
      <c r="I10" s="263"/>
      <c r="J10" s="2030"/>
      <c r="K10" s="3210"/>
      <c r="L10" s="3211" t="str">
        <f t="shared" ref="L10:L11" si="1">F20</f>
        <v>楼面地价</v>
      </c>
      <c r="M10" s="3212">
        <f ca="1">ROUND(M9*10000/'数据-汇总表'!E3,0)</f>
        <v>1982</v>
      </c>
      <c r="N10" s="1991"/>
      <c r="O10" s="2029"/>
      <c r="P10" s="2029"/>
      <c r="Q10" s="2029"/>
      <c r="R10" s="2029"/>
      <c r="S10" s="2029"/>
      <c r="T10" s="2029"/>
      <c r="U10" s="2029"/>
      <c r="V10" s="2029"/>
    </row>
    <row r="11" spans="1:22" ht="14.25">
      <c r="A11" s="3473"/>
      <c r="B11" s="3474"/>
      <c r="C11" s="3484"/>
      <c r="D11" s="3485"/>
      <c r="E11" s="261" t="s">
        <v>311</v>
      </c>
      <c r="F11" s="262"/>
      <c r="G11" s="262"/>
      <c r="H11" s="262"/>
      <c r="I11" s="263"/>
      <c r="J11" s="2030"/>
      <c r="K11" s="3210"/>
      <c r="L11" s="3211" t="str">
        <f t="shared" si="1"/>
        <v>单位面积地价</v>
      </c>
      <c r="M11" s="3212">
        <f ca="1">ROUND(M9*10000/'数据-汇总表'!D3,0)</f>
        <v>2974</v>
      </c>
      <c r="N11" s="1991"/>
      <c r="O11" s="2029"/>
      <c r="P11" s="2029"/>
      <c r="Q11" s="2029"/>
      <c r="R11" s="2029"/>
      <c r="S11" s="2029"/>
      <c r="T11" s="2029"/>
      <c r="U11" s="2029"/>
      <c r="V11" s="2029"/>
    </row>
    <row r="12" spans="1:22" ht="15" thickBot="1">
      <c r="A12" s="3473" t="s">
        <v>312</v>
      </c>
      <c r="B12" s="3474">
        <v>15</v>
      </c>
      <c r="C12" s="3482"/>
      <c r="D12" s="3485"/>
      <c r="E12" s="261" t="s">
        <v>313</v>
      </c>
      <c r="F12" s="262"/>
      <c r="G12" s="262"/>
      <c r="H12" s="262"/>
      <c r="I12" s="263"/>
      <c r="J12" s="2030"/>
      <c r="K12" s="3220"/>
      <c r="L12" s="3221"/>
      <c r="M12" s="3214">
        <f ca="1">ROUND(M11*666.67/10000,0)</f>
        <v>198</v>
      </c>
      <c r="N12" s="2029" t="str">
        <f>H22</f>
        <v>万元/亩</v>
      </c>
      <c r="O12" s="2029"/>
      <c r="P12" s="2029"/>
      <c r="Q12" s="2029"/>
      <c r="R12" s="2029"/>
      <c r="S12" s="2029"/>
      <c r="T12" s="2029"/>
      <c r="U12" s="2029"/>
      <c r="V12" s="2029"/>
    </row>
    <row r="13" spans="1:22" ht="14.25">
      <c r="A13" s="3473"/>
      <c r="B13" s="3474"/>
      <c r="C13" s="3484"/>
      <c r="D13" s="3485"/>
      <c r="E13" s="261" t="s">
        <v>314</v>
      </c>
      <c r="F13" s="262"/>
      <c r="G13" s="262"/>
      <c r="H13" s="262"/>
      <c r="I13" s="263"/>
      <c r="J13" s="2030"/>
      <c r="K13" s="2029"/>
      <c r="L13" s="2029"/>
      <c r="M13" s="2029"/>
      <c r="N13" s="2029"/>
      <c r="O13" s="2029"/>
      <c r="P13" s="2029"/>
      <c r="Q13" s="2029"/>
      <c r="R13" s="2029"/>
      <c r="S13" s="2029"/>
      <c r="T13" s="2029"/>
      <c r="U13" s="2029"/>
      <c r="V13" s="2029"/>
    </row>
    <row r="14" spans="1:22" ht="15" thickBot="1">
      <c r="A14" s="3473" t="s">
        <v>315</v>
      </c>
      <c r="B14" s="3474">
        <v>30</v>
      </c>
      <c r="C14" s="3482">
        <v>6</v>
      </c>
      <c r="D14" s="3485">
        <v>4</v>
      </c>
      <c r="E14" s="261" t="s">
        <v>316</v>
      </c>
      <c r="F14" s="262"/>
      <c r="G14" s="262"/>
      <c r="H14" s="262"/>
      <c r="I14" s="263"/>
      <c r="J14" s="2030"/>
      <c r="K14" s="2029"/>
      <c r="L14" s="2029"/>
      <c r="M14" s="2029"/>
      <c r="N14" s="2029"/>
      <c r="O14" s="2029"/>
      <c r="P14" s="2029"/>
      <c r="Q14" s="2029"/>
      <c r="R14" s="2029"/>
      <c r="S14" s="2029"/>
      <c r="T14" s="2029"/>
      <c r="U14" s="2029"/>
      <c r="V14" s="2029"/>
    </row>
    <row r="15" spans="1:22" ht="15" thickBot="1">
      <c r="A15" s="3473"/>
      <c r="B15" s="3474"/>
      <c r="C15" s="3483"/>
      <c r="D15" s="3485"/>
      <c r="E15" s="261" t="s">
        <v>317</v>
      </c>
      <c r="F15" s="262"/>
      <c r="G15" s="262"/>
      <c r="H15" s="262"/>
      <c r="I15" s="263"/>
      <c r="J15" s="2030"/>
      <c r="K15" s="2029"/>
      <c r="L15" s="3215" t="s">
        <v>3289</v>
      </c>
      <c r="M15" s="3222">
        <f>[5]本次评估对象!$AH$22</f>
        <v>1441</v>
      </c>
      <c r="N15" s="2029"/>
      <c r="O15" s="2029"/>
      <c r="P15" s="2029"/>
      <c r="Q15" s="2029"/>
      <c r="R15" s="2029"/>
      <c r="S15" s="2029"/>
      <c r="T15" s="2029"/>
      <c r="U15" s="2029"/>
      <c r="V15" s="2029"/>
    </row>
    <row r="16" spans="1:22" ht="15" thickBot="1">
      <c r="A16" s="3473"/>
      <c r="B16" s="3474"/>
      <c r="C16" s="3484"/>
      <c r="D16" s="3485"/>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4"/>
      <c r="F17" s="314"/>
      <c r="G17" s="314"/>
      <c r="H17" s="314"/>
      <c r="I17" s="314"/>
      <c r="J17" s="2030"/>
      <c r="K17" s="2029"/>
      <c r="L17" s="3207" t="str">
        <f>L9</f>
        <v>总价</v>
      </c>
      <c r="M17" s="3219">
        <f ca="1">M9-M15</f>
        <v>21230</v>
      </c>
      <c r="N17" s="2029"/>
      <c r="O17" s="2029"/>
      <c r="P17" s="2029"/>
      <c r="Q17" s="2029"/>
      <c r="R17" s="2029"/>
      <c r="S17" s="2029"/>
      <c r="T17" s="2029"/>
      <c r="U17" s="2029"/>
      <c r="V17" s="2029"/>
    </row>
    <row r="18" spans="1:26" ht="15.75" thickBot="1">
      <c r="A18" s="266" t="s">
        <v>320</v>
      </c>
      <c r="B18" s="105"/>
      <c r="C18" s="267">
        <f>ROUND(C17/SUM(C17:D17),2)</f>
        <v>0.6</v>
      </c>
      <c r="D18" s="267">
        <f>1-C18</f>
        <v>0.4</v>
      </c>
      <c r="E18" s="314"/>
      <c r="F18" s="314"/>
      <c r="G18" s="314"/>
      <c r="H18" s="314"/>
      <c r="I18" s="314"/>
      <c r="J18" s="2029"/>
      <c r="K18" s="2029"/>
      <c r="L18" s="3210" t="str">
        <f t="shared" ref="L18:L19" si="2">L10</f>
        <v>楼面地价</v>
      </c>
      <c r="M18" s="3212">
        <f ca="1">ROUND(M17*10000/'数据-汇总表'!E3,0)</f>
        <v>1856</v>
      </c>
      <c r="N18" s="2029"/>
      <c r="O18" s="2029"/>
      <c r="P18" s="2029"/>
      <c r="Q18" s="2029"/>
      <c r="R18" s="2029"/>
      <c r="S18" s="2029"/>
      <c r="T18" s="2029"/>
      <c r="U18" s="2029"/>
      <c r="V18" s="2029"/>
    </row>
    <row r="19" spans="1:26" ht="15.75" thickBot="1">
      <c r="A19" s="268" t="s">
        <v>321</v>
      </c>
      <c r="B19" s="269" t="s">
        <v>322</v>
      </c>
      <c r="C19" s="270">
        <f ca="1">SUMIF(INDIRECT("'"&amp;C4&amp;"'"&amp;"!A:A"),结果表!B19,INDIRECT("'"&amp;C4&amp;"'"&amp;"!B:B"))</f>
        <v>6717</v>
      </c>
      <c r="D19" s="271">
        <f ca="1">SUMIF(INDIRECT("'"&amp;D4&amp;"'"&amp;"!A:A"),结果表!B19,INDIRECT("'"&amp;D4&amp;"'"&amp;"!B:B"))</f>
        <v>40492</v>
      </c>
      <c r="E19" s="268" t="s">
        <v>323</v>
      </c>
      <c r="F19" s="269" t="s">
        <v>322</v>
      </c>
      <c r="G19" s="272">
        <f ca="1">ROUND(C19*$C$18+D19*$D$18,0)</f>
        <v>20227</v>
      </c>
      <c r="H19" s="273" t="s">
        <v>324</v>
      </c>
      <c r="I19" s="314"/>
      <c r="J19" s="2029"/>
      <c r="K19" s="2029"/>
      <c r="L19" s="3213" t="str">
        <f t="shared" si="2"/>
        <v>单位面积地价</v>
      </c>
      <c r="M19" s="3214">
        <f ca="1">ROUND(M17*10000/'数据-汇总表'!D3,0)</f>
        <v>2785</v>
      </c>
      <c r="N19" s="2029"/>
      <c r="O19" s="2029"/>
      <c r="P19" s="2029"/>
      <c r="Q19" s="2029"/>
      <c r="R19" s="2029"/>
      <c r="S19" s="2029"/>
      <c r="T19" s="2029"/>
      <c r="U19" s="2029"/>
      <c r="V19" s="2029"/>
    </row>
    <row r="20" spans="1:26" ht="15">
      <c r="A20" s="274"/>
      <c r="B20" s="275" t="s">
        <v>325</v>
      </c>
      <c r="C20" s="276">
        <f ca="1">SUMIF(INDIRECT("'"&amp;C4&amp;"'"&amp;"!A:A"),结果表!B20,INDIRECT("'"&amp;C4&amp;"'"&amp;"!B:B"))</f>
        <v>587</v>
      </c>
      <c r="D20" s="277">
        <f ca="1">SUMIF(INDIRECT("'"&amp;D4&amp;"'"&amp;"!A:A"),结果表!B20,INDIRECT("'"&amp;D4&amp;"'"&amp;"!B:B"))</f>
        <v>3541</v>
      </c>
      <c r="E20" s="274"/>
      <c r="F20" s="275" t="s">
        <v>325</v>
      </c>
      <c r="G20" s="278">
        <f ca="1">ROUND(C20*$C$18+D20*$D$18,0)</f>
        <v>1769</v>
      </c>
      <c r="H20" s="279" t="s">
        <v>326</v>
      </c>
      <c r="I20" s="314"/>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881</v>
      </c>
      <c r="D21" s="151">
        <f ca="1">SUMIF(INDIRECT("'"&amp;D4&amp;"'"&amp;"!A:A"),结果表!B21,INDIRECT("'"&amp;D4&amp;"'"&amp;"!B:B"))</f>
        <v>5311</v>
      </c>
      <c r="E21" s="274"/>
      <c r="F21" s="280" t="s">
        <v>327</v>
      </c>
      <c r="G21" s="282">
        <f ca="1">ROUND(C21*$C$18+D21*$D$18,0)</f>
        <v>2653</v>
      </c>
      <c r="H21" s="1251" t="s">
        <v>326</v>
      </c>
      <c r="I21" s="314"/>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5.0282864373976475</v>
      </c>
      <c r="E22" s="284"/>
      <c r="F22" s="285"/>
      <c r="G22" s="286">
        <f ca="1">ROUND(G19/('数据-汇总表'!D3/666.67),0)</f>
        <v>177</v>
      </c>
      <c r="H22" s="287" t="s">
        <v>329</v>
      </c>
      <c r="I22" s="314"/>
      <c r="J22" s="2029"/>
      <c r="K22" s="2029"/>
      <c r="L22" s="2029"/>
      <c r="M22" s="2029"/>
      <c r="N22" s="2029"/>
      <c r="O22" s="2029"/>
      <c r="P22" s="2029"/>
      <c r="Q22" s="2029"/>
      <c r="R22" s="2029"/>
      <c r="S22" s="2029"/>
      <c r="T22" s="2029"/>
      <c r="U22" s="2029"/>
      <c r="V22" s="2029"/>
    </row>
    <row r="23" spans="1:26" ht="13.5" thickBot="1">
      <c r="A23" s="314"/>
      <c r="B23" s="314"/>
      <c r="C23" s="314"/>
      <c r="D23" s="314"/>
      <c r="E23" s="314"/>
      <c r="F23" s="314"/>
      <c r="G23" s="314"/>
      <c r="H23" s="314"/>
      <c r="I23" s="314"/>
      <c r="J23" s="2029"/>
      <c r="K23" s="2029"/>
      <c r="L23" s="2029"/>
      <c r="M23" s="2029"/>
      <c r="N23" s="2029"/>
      <c r="O23" s="2029"/>
      <c r="P23" s="2029"/>
      <c r="Q23" s="2029"/>
      <c r="R23" s="2029"/>
      <c r="S23" s="2029"/>
      <c r="T23" s="2029"/>
      <c r="U23" s="2029"/>
      <c r="V23" s="2029"/>
    </row>
    <row r="24" spans="1:26" ht="15" thickBot="1">
      <c r="A24" s="3446" t="s">
        <v>330</v>
      </c>
      <c r="B24" s="269" t="s">
        <v>322</v>
      </c>
      <c r="C24" s="288">
        <f>IF(B30=0,0,D30)</f>
        <v>0</v>
      </c>
      <c r="D24" s="289"/>
      <c r="E24" s="314"/>
      <c r="F24" s="314"/>
      <c r="G24" s="314"/>
      <c r="H24" s="314"/>
      <c r="I24" s="314"/>
      <c r="J24" s="2029"/>
      <c r="K24" s="2029"/>
      <c r="L24" s="2029"/>
      <c r="M24" s="2029"/>
      <c r="N24" s="2029"/>
      <c r="O24" s="2029"/>
      <c r="P24" s="2029"/>
      <c r="Q24" s="2029"/>
      <c r="R24" s="2029"/>
      <c r="S24" s="2029"/>
      <c r="T24" s="2029"/>
      <c r="U24" s="2029"/>
      <c r="V24" s="2029"/>
    </row>
    <row r="25" spans="1:26" ht="18">
      <c r="A25" s="3488"/>
      <c r="B25" s="1321" t="s">
        <v>331</v>
      </c>
      <c r="C25" s="290">
        <f>IF(B30=0,0,C30)</f>
        <v>0</v>
      </c>
      <c r="D25" s="291"/>
      <c r="E25" s="314"/>
      <c r="F25" s="314"/>
      <c r="G25" s="314"/>
      <c r="H25" s="314"/>
      <c r="I25" s="314"/>
      <c r="J25" s="2029"/>
      <c r="K25" s="1255" t="str">
        <f ca="1">项目基本情况!B16&amp;"国有建设用地使用权价格："&amp;O38&amp;"万元"</f>
        <v>出让国有建设用地使用权价格：20227万元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4"/>
      <c r="F26" s="314"/>
      <c r="G26" s="314"/>
      <c r="H26" s="314"/>
      <c r="I26" s="314"/>
      <c r="J26" s="2029"/>
      <c r="K26" s="1258" t="str">
        <f ca="1">"大写金额：人民币"&amp;NUMBERSTRING(INT(O38*10000),2)&amp;"元整"</f>
        <v>大写金额：人民币贰亿零贰佰贰拾柒万元整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4"/>
      <c r="F27" s="314"/>
      <c r="G27" s="314"/>
      <c r="H27" s="314"/>
      <c r="I27" s="314"/>
      <c r="J27" s="2029"/>
      <c r="K27" s="1258" t="str">
        <f ca="1">"单位面积地价："&amp;M38&amp;"元/平方米"</f>
        <v>单位面积地价：2653元/平方米</v>
      </c>
      <c r="L27" s="1252"/>
      <c r="M27" s="1252"/>
      <c r="N27" s="1252"/>
      <c r="O27" s="1251"/>
      <c r="P27" s="2029"/>
      <c r="Q27" s="2029"/>
      <c r="R27" s="2029"/>
      <c r="S27" s="2029"/>
      <c r="T27" s="2029"/>
      <c r="U27" s="2029"/>
      <c r="V27" s="2029"/>
    </row>
    <row r="28" spans="1:26" ht="18.75" customHeight="1">
      <c r="A28" s="293"/>
      <c r="B28" s="294"/>
      <c r="C28" s="294"/>
      <c r="D28" s="295"/>
      <c r="E28" s="314"/>
      <c r="F28" s="314"/>
      <c r="G28" s="314"/>
      <c r="H28" s="314"/>
      <c r="I28" s="314"/>
      <c r="J28" s="2029"/>
      <c r="K28" s="1258" t="str">
        <f ca="1">"楼面地价："&amp;N38&amp;"元/平方米"</f>
        <v>楼面地价：1769元/平方米</v>
      </c>
      <c r="L28" s="1252"/>
      <c r="M28" s="1252"/>
      <c r="N28" s="1252"/>
      <c r="O28" s="1251"/>
      <c r="P28" s="2029"/>
      <c r="V28" s="2029"/>
    </row>
    <row r="29" spans="1:26" ht="18">
      <c r="A29" s="293"/>
      <c r="B29" s="294"/>
      <c r="C29" s="294"/>
      <c r="D29" s="295"/>
      <c r="E29" s="314"/>
      <c r="F29" s="314"/>
      <c r="G29" s="314"/>
      <c r="H29" s="314"/>
      <c r="I29" s="314"/>
      <c r="J29" s="2029"/>
      <c r="K29" s="1258" t="str">
        <f ca="1">IF(OR(项目基本情况!E8="抵押价格",项目基本情况!E8="已注销及未注销"),"抵押价格："&amp;O39&amp;"万元","——")</f>
        <v>抵押价格：20227万元</v>
      </c>
      <c r="L29" s="1252"/>
      <c r="M29" s="1252"/>
      <c r="N29" s="1252"/>
      <c r="O29" s="1251"/>
      <c r="P29" s="2029"/>
      <c r="V29" s="2029"/>
    </row>
    <row r="30" spans="1:26" ht="18.75" thickBot="1">
      <c r="A30" s="296" t="s">
        <v>336</v>
      </c>
      <c r="B30" s="297">
        <f>SUM(B27:B29)</f>
        <v>0</v>
      </c>
      <c r="C30" s="297" t="e">
        <f>ROUND(D30*10000/B30,0)</f>
        <v>#DIV/0!</v>
      </c>
      <c r="D30" s="298">
        <f>SUM(D27:D29)</f>
        <v>0</v>
      </c>
      <c r="E30" s="314"/>
      <c r="F30" s="314"/>
      <c r="G30" s="314"/>
      <c r="H30" s="314"/>
      <c r="I30" s="314"/>
      <c r="J30" s="2029"/>
      <c r="K30" s="1258" t="str">
        <f ca="1">IF(K29="——","——","大写金额：人民币"&amp;NUMBERSTRING(INT(O39*10000),2)&amp;"元整")</f>
        <v>大写金额：人民币贰亿零贰佰贰拾柒万元整</v>
      </c>
      <c r="L30" s="1252"/>
      <c r="M30" s="1252"/>
      <c r="N30" s="1252"/>
      <c r="O30" s="1251"/>
      <c r="P30" s="2029"/>
      <c r="V30" s="2029"/>
    </row>
    <row r="31" spans="1:26" ht="24" customHeight="1" thickBot="1">
      <c r="A31" s="314"/>
      <c r="B31" s="314"/>
      <c r="C31" s="314"/>
      <c r="D31" s="314"/>
      <c r="E31" s="314"/>
      <c r="F31" s="314"/>
      <c r="G31" s="314"/>
      <c r="H31" s="314"/>
      <c r="I31" s="314"/>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1" t="s">
        <v>1689</v>
      </c>
      <c r="C32" s="1382">
        <f ca="1">G19-C24</f>
        <v>20227</v>
      </c>
      <c r="D32" s="1383" t="s">
        <v>1690</v>
      </c>
      <c r="E32" s="314"/>
      <c r="F32" s="314"/>
      <c r="G32" s="314"/>
      <c r="H32" s="314"/>
      <c r="I32" s="314"/>
      <c r="J32" s="2029"/>
      <c r="K32" s="2488" t="str">
        <f>IF(K31="——","——","大写金额：人民币"&amp;NUMBERSTRING(INT(O40*10000),2)&amp;"元整")</f>
        <v>——</v>
      </c>
      <c r="L32" s="2491"/>
      <c r="M32" s="2491"/>
      <c r="N32" s="2491"/>
      <c r="O32" s="2492"/>
      <c r="P32" s="2029"/>
      <c r="V32" s="2029"/>
    </row>
    <row r="33" spans="1:26" ht="18.75" thickBot="1">
      <c r="A33" s="301" t="s">
        <v>340</v>
      </c>
      <c r="B33" s="1384" t="s">
        <v>1691</v>
      </c>
      <c r="C33" s="264">
        <f ca="1">ROUND(C32*10000/'数据-汇总表'!E3,0)</f>
        <v>1769</v>
      </c>
      <c r="D33" s="1385" t="s">
        <v>1692</v>
      </c>
      <c r="E33" s="3446" t="s">
        <v>338</v>
      </c>
      <c r="F33" s="299" t="s">
        <v>339</v>
      </c>
      <c r="G33" s="300"/>
      <c r="H33" s="981"/>
      <c r="I33" s="1259"/>
      <c r="J33" s="2029"/>
      <c r="K33" s="1258" t="str">
        <f>IF(项目基本情况!E9="——","——","抵押净值："&amp;C46&amp;"万元")</f>
        <v>——</v>
      </c>
      <c r="L33" s="1252"/>
      <c r="M33" s="1252"/>
      <c r="N33" s="1252"/>
      <c r="O33" s="1251"/>
      <c r="P33" s="2029"/>
      <c r="V33" s="2029"/>
    </row>
    <row r="34" spans="1:26" s="1254" customFormat="1" ht="18.75" thickBot="1">
      <c r="A34" s="303"/>
      <c r="B34" s="1386" t="s">
        <v>1693</v>
      </c>
      <c r="C34" s="264">
        <f ca="1">ROUND(C32*10000/'数据-汇总表'!D3,0)</f>
        <v>2653</v>
      </c>
      <c r="D34" s="1387" t="s">
        <v>1692</v>
      </c>
      <c r="E34" s="3447"/>
      <c r="F34" s="127" t="s">
        <v>341</v>
      </c>
      <c r="G34" s="302"/>
      <c r="H34" s="105"/>
      <c r="I34" s="314"/>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177</v>
      </c>
      <c r="D35" s="1390" t="s">
        <v>1694</v>
      </c>
      <c r="E35" s="3448"/>
      <c r="F35" s="304" t="s">
        <v>342</v>
      </c>
      <c r="G35" s="983"/>
      <c r="H35" s="982" t="s">
        <v>343</v>
      </c>
      <c r="I35" s="314"/>
      <c r="J35" s="2029"/>
      <c r="K35" s="3452" t="s">
        <v>350</v>
      </c>
      <c r="L35" s="3452" t="s">
        <v>351</v>
      </c>
      <c r="M35" s="1264" t="s">
        <v>352</v>
      </c>
      <c r="N35" s="3452" t="s">
        <v>353</v>
      </c>
      <c r="O35" s="3452" t="s">
        <v>354</v>
      </c>
      <c r="P35" s="2029"/>
      <c r="V35" s="2029"/>
    </row>
    <row r="36" spans="1:26" ht="16.5" customHeight="1">
      <c r="A36" s="306" t="s">
        <v>344</v>
      </c>
      <c r="B36" s="307" t="s">
        <v>333</v>
      </c>
      <c r="C36" s="308" t="s">
        <v>345</v>
      </c>
      <c r="D36" s="308" t="s">
        <v>346</v>
      </c>
      <c r="E36" s="309" t="s">
        <v>347</v>
      </c>
      <c r="F36" s="314"/>
      <c r="G36" s="314"/>
      <c r="H36" s="314"/>
      <c r="I36" s="314"/>
      <c r="J36" s="2031"/>
      <c r="K36" s="3453"/>
      <c r="L36" s="3453"/>
      <c r="M36" s="1266" t="s">
        <v>355</v>
      </c>
      <c r="N36" s="3453"/>
      <c r="O36" s="3453"/>
      <c r="P36" s="2029"/>
      <c r="V36" s="2029"/>
    </row>
    <row r="37" spans="1:26" ht="16.5" customHeight="1" thickBot="1">
      <c r="A37" s="1260" t="s">
        <v>348</v>
      </c>
      <c r="B37" s="310"/>
      <c r="C37" s="294"/>
      <c r="D37" s="294"/>
      <c r="E37" s="295"/>
      <c r="F37" s="314"/>
      <c r="G37" s="314"/>
      <c r="H37" s="314"/>
      <c r="I37" s="314"/>
      <c r="J37" s="2031"/>
      <c r="K37" s="3454"/>
      <c r="L37" s="3454"/>
      <c r="M37" s="1267"/>
      <c r="N37" s="3454"/>
      <c r="O37" s="3454"/>
      <c r="P37" s="2029"/>
      <c r="V37" s="2029"/>
    </row>
    <row r="38" spans="1:26" ht="16.5" customHeight="1" thickBot="1">
      <c r="A38" s="1260" t="s">
        <v>349</v>
      </c>
      <c r="B38" s="310"/>
      <c r="C38" s="294"/>
      <c r="D38" s="294"/>
      <c r="E38" s="295"/>
      <c r="F38" s="314"/>
      <c r="G38" s="314"/>
      <c r="H38" s="314"/>
      <c r="I38" s="314"/>
      <c r="J38" s="2031"/>
      <c r="K38" s="1268">
        <f>'数据-汇总表'!D3</f>
        <v>76242</v>
      </c>
      <c r="L38" s="1269">
        <f>'数据-汇总表'!E3</f>
        <v>114363</v>
      </c>
      <c r="M38" s="1269">
        <f ca="1">C34</f>
        <v>2653</v>
      </c>
      <c r="N38" s="1269">
        <f ca="1">C33</f>
        <v>1769</v>
      </c>
      <c r="O38" s="1270">
        <f ca="1">C32</f>
        <v>20227</v>
      </c>
      <c r="P38" s="2029"/>
      <c r="V38" s="2029"/>
    </row>
    <row r="39" spans="1:26" ht="16.5" customHeight="1" thickBot="1">
      <c r="A39" s="1265"/>
      <c r="B39" s="311"/>
      <c r="C39" s="312"/>
      <c r="D39" s="312"/>
      <c r="E39" s="313"/>
      <c r="F39" s="314"/>
      <c r="G39" s="314"/>
      <c r="H39" s="314"/>
      <c r="I39" s="314"/>
      <c r="J39" s="2031"/>
      <c r="K39" s="3429" t="str">
        <f>MID(A44,3,LEN(A44)-2)</f>
        <v>抵押价格</v>
      </c>
      <c r="L39" s="3430"/>
      <c r="M39" s="3430"/>
      <c r="N39" s="3431"/>
      <c r="O39" s="1392">
        <f ca="1">C44</f>
        <v>20227</v>
      </c>
      <c r="P39" s="2029"/>
      <c r="V39" s="2029"/>
    </row>
    <row r="40" spans="1:26" ht="19.5" thickBot="1">
      <c r="A40" s="104" t="s">
        <v>873</v>
      </c>
      <c r="B40" s="314"/>
      <c r="C40" s="314"/>
      <c r="D40" s="314"/>
      <c r="E40" s="314"/>
      <c r="F40" s="314"/>
      <c r="G40" s="314"/>
      <c r="H40" s="314"/>
      <c r="I40" s="314"/>
      <c r="J40" s="2031"/>
      <c r="K40" s="3429" t="str">
        <f t="shared" ref="K40:K41" si="3">MID(A45,3,LEN(A45)-2)</f>
        <v/>
      </c>
      <c r="L40" s="3430"/>
      <c r="M40" s="3430"/>
      <c r="N40" s="3431"/>
      <c r="O40" s="1392" t="str">
        <f>C45</f>
        <v>——</v>
      </c>
      <c r="P40" s="2029"/>
      <c r="V40" s="2029"/>
    </row>
    <row r="41" spans="1:26" ht="16.5" thickBot="1">
      <c r="A41" s="315" t="s">
        <v>356</v>
      </c>
      <c r="B41" s="316"/>
      <c r="C41" s="317" t="s">
        <v>357</v>
      </c>
      <c r="D41" s="318" t="s">
        <v>358</v>
      </c>
      <c r="E41" s="318" t="s">
        <v>359</v>
      </c>
      <c r="F41" s="319" t="s">
        <v>360</v>
      </c>
      <c r="G41" s="314"/>
      <c r="H41" s="314"/>
      <c r="I41" s="314"/>
      <c r="J41" s="2031"/>
      <c r="K41" s="3429" t="str">
        <f t="shared" si="3"/>
        <v/>
      </c>
      <c r="L41" s="3430"/>
      <c r="M41" s="3430"/>
      <c r="N41" s="3431"/>
      <c r="O41" s="1392" t="str">
        <f>C46</f>
        <v>——</v>
      </c>
      <c r="P41" s="2029"/>
      <c r="V41" s="2029"/>
    </row>
    <row r="42" spans="1:26" ht="29.25">
      <c r="A42" s="3489" t="s">
        <v>2070</v>
      </c>
      <c r="B42" s="3490"/>
      <c r="C42" s="264">
        <f ca="1">C32</f>
        <v>20227</v>
      </c>
      <c r="D42" s="320">
        <f ca="1">C33</f>
        <v>1769</v>
      </c>
      <c r="E42" s="320">
        <f ca="1">C34</f>
        <v>2653</v>
      </c>
      <c r="F42" s="321">
        <f ca="1">C35</f>
        <v>177</v>
      </c>
      <c r="G42" s="314"/>
      <c r="H42" s="314"/>
      <c r="I42" s="322"/>
      <c r="J42" s="2031"/>
      <c r="K42" s="1271" t="s">
        <v>361</v>
      </c>
      <c r="L42" s="2048" t="s">
        <v>362</v>
      </c>
      <c r="M42" s="1272" t="s">
        <v>363</v>
      </c>
      <c r="N42" s="2049" t="s">
        <v>364</v>
      </c>
      <c r="O42" s="2050" t="s">
        <v>365</v>
      </c>
      <c r="P42" s="2029"/>
      <c r="V42" s="2029"/>
    </row>
    <row r="43" spans="1:26" ht="30">
      <c r="A43" s="3499" t="s">
        <v>2733</v>
      </c>
      <c r="B43" s="3500"/>
      <c r="C43" s="264">
        <f>IF(H33="正常操作",G33+G34+G35,G34+G35)</f>
        <v>0</v>
      </c>
      <c r="D43" s="320" t="s">
        <v>43</v>
      </c>
      <c r="E43" s="320" t="s">
        <v>44</v>
      </c>
      <c r="F43" s="321" t="s">
        <v>44</v>
      </c>
      <c r="G43" s="2893" t="s">
        <v>952</v>
      </c>
      <c r="H43" s="314"/>
      <c r="I43" s="322"/>
      <c r="J43" s="2031"/>
      <c r="K43" s="1273" t="str">
        <f>C4</f>
        <v>比较法-住宅、综合</v>
      </c>
      <c r="L43" s="1274">
        <f ca="1">IF(L42="估价结果/万元",C19,C20)</f>
        <v>6717</v>
      </c>
      <c r="M43" s="1275">
        <f>C18</f>
        <v>0.6</v>
      </c>
      <c r="N43" s="1276">
        <f ca="1">IF(N42="测算结果/万元",G19,G20)</f>
        <v>20227</v>
      </c>
      <c r="O43" s="1277">
        <f ca="1">IF(O42="最终结果/万元",C32,C33)</f>
        <v>20227</v>
      </c>
      <c r="P43" s="2029"/>
      <c r="V43" s="2029"/>
    </row>
    <row r="44" spans="1:26" ht="30.75" thickBot="1">
      <c r="A44" s="3489" t="str">
        <f>IF(OR(项目基本情况!E8="抵押价格",项目基本情况!E8="已注销及未注销"),"3.抵押价格","——")</f>
        <v>3.抵押价格</v>
      </c>
      <c r="B44" s="3490"/>
      <c r="C44" s="264">
        <f ca="1">IF(A44="——","——",C42-C43)</f>
        <v>20227</v>
      </c>
      <c r="D44" s="320">
        <f ca="1">ROUND(C44*10000/'数据-汇总表'!E3,0)</f>
        <v>1769</v>
      </c>
      <c r="E44" s="320">
        <f ca="1">ROUND(C44*10000/'数据-汇总表'!D3,0)</f>
        <v>2653</v>
      </c>
      <c r="F44" s="321">
        <f ca="1">ROUND(C44/('数据-汇总表'!D3/666.67),0)</f>
        <v>177</v>
      </c>
      <c r="G44" s="314"/>
      <c r="H44" s="314"/>
      <c r="I44" s="322"/>
      <c r="J44" s="2031"/>
      <c r="K44" s="1278" t="str">
        <f>D4</f>
        <v>剩余法-待开发</v>
      </c>
      <c r="L44" s="1279">
        <f ca="1">IF(L42="估价结果/万元",D19,D20)</f>
        <v>40492</v>
      </c>
      <c r="M44" s="1280">
        <f>D18</f>
        <v>0.4</v>
      </c>
      <c r="N44" s="1281"/>
      <c r="O44" s="1282"/>
      <c r="P44" s="2029"/>
      <c r="V44" s="2029"/>
    </row>
    <row r="45" spans="1:26" ht="15">
      <c r="A45" s="3494" t="str">
        <f>IF(项目基本情况!E8="已注销及未注销","4.抵押担保权已注销时的抵押价格",IF(项目基本情况!E8="已注销","3.抵押担保权已注销时的抵押价格","——"))</f>
        <v>——</v>
      </c>
      <c r="B45" s="3495"/>
      <c r="C45" s="1804"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1"/>
      <c r="K45" s="2029"/>
      <c r="L45" s="2029"/>
      <c r="M45" s="2029"/>
      <c r="N45" s="2029"/>
      <c r="O45" s="2029"/>
      <c r="P45" s="2029"/>
      <c r="V45" s="2029"/>
    </row>
    <row r="46" spans="1:26" ht="15.75" thickBot="1">
      <c r="A46" s="3491" t="str">
        <f>IF(项目基本情况!E9="抵押净值",IF(A45="——","4.抵押净值","5.抵押净值"),"——")</f>
        <v>——</v>
      </c>
      <c r="B46" s="3492"/>
      <c r="C46" s="323" t="str">
        <f>IF(A46="——","——",O79)</f>
        <v>——</v>
      </c>
      <c r="D46" s="320" t="e">
        <f>ROUND(C46*10000/'数据-汇总表'!E3,0)</f>
        <v>#VALUE!</v>
      </c>
      <c r="E46" s="320" t="e">
        <f>ROUND(C46*10000/'数据-汇总表'!D3,0)</f>
        <v>#VALUE!</v>
      </c>
      <c r="F46" s="321" t="e">
        <f>ROUND(C46/('数据-汇总表'!D3/666.67),0)</f>
        <v>#VALUE!</v>
      </c>
      <c r="G46" s="314"/>
      <c r="H46" s="314"/>
      <c r="I46" s="322"/>
      <c r="J46" s="2031"/>
      <c r="K46" s="2029"/>
      <c r="L46" s="2029"/>
      <c r="M46" s="2029"/>
      <c r="N46" s="2029"/>
      <c r="O46" s="2029"/>
      <c r="P46" s="2029"/>
      <c r="Q46" s="2029"/>
      <c r="R46" s="2029"/>
      <c r="S46" s="2029"/>
      <c r="T46" s="2029"/>
      <c r="U46" s="2029"/>
      <c r="V46" s="2029"/>
    </row>
    <row r="47" spans="1:26" ht="15.75">
      <c r="A47" s="324" t="s">
        <v>366</v>
      </c>
      <c r="B47" s="1283"/>
      <c r="C47" s="325" t="s">
        <v>367</v>
      </c>
      <c r="D47" s="326"/>
      <c r="E47" s="326"/>
      <c r="F47" s="326"/>
      <c r="G47" s="327"/>
      <c r="H47" s="328"/>
      <c r="I47" s="329"/>
      <c r="J47" s="2031"/>
      <c r="K47" s="314"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30">
        <v>1</v>
      </c>
      <c r="B48" s="331"/>
      <c r="C48" s="331"/>
      <c r="D48" s="326"/>
      <c r="E48" s="326"/>
      <c r="F48" s="326"/>
      <c r="G48" s="326"/>
      <c r="H48" s="332"/>
      <c r="I48" s="333"/>
      <c r="J48" s="2031"/>
      <c r="K48" s="2029"/>
      <c r="L48" s="2029"/>
      <c r="M48" s="2029"/>
      <c r="N48" s="2029"/>
      <c r="O48" s="2029"/>
      <c r="P48" s="2029"/>
      <c r="Q48" s="2029"/>
      <c r="R48" s="2029"/>
      <c r="S48" s="2029"/>
      <c r="T48" s="2029"/>
      <c r="U48" s="2029"/>
      <c r="V48" s="2029"/>
    </row>
    <row r="49" spans="1:22" ht="12.75">
      <c r="A49" s="330">
        <v>2</v>
      </c>
      <c r="B49" s="331"/>
      <c r="C49" s="331"/>
      <c r="D49" s="326"/>
      <c r="E49" s="326"/>
      <c r="F49" s="326"/>
      <c r="G49" s="326"/>
      <c r="H49" s="332"/>
      <c r="I49" s="333"/>
      <c r="J49" s="2032"/>
      <c r="K49" s="2029"/>
      <c r="L49" s="2029"/>
      <c r="M49" s="2029"/>
      <c r="N49" s="2029"/>
      <c r="O49" s="2029"/>
      <c r="P49" s="2029"/>
      <c r="Q49" s="2029"/>
      <c r="R49" s="2029"/>
      <c r="S49" s="2029"/>
      <c r="T49" s="2029"/>
      <c r="U49" s="2029"/>
      <c r="V49" s="2029"/>
    </row>
    <row r="50" spans="1:22" ht="12.75">
      <c r="A50" s="330">
        <v>3</v>
      </c>
      <c r="B50" s="331"/>
      <c r="C50" s="331"/>
      <c r="D50" s="326"/>
      <c r="E50" s="326"/>
      <c r="F50" s="326"/>
      <c r="G50" s="326"/>
      <c r="H50" s="332"/>
      <c r="I50" s="333"/>
      <c r="J50" s="2032"/>
      <c r="K50" s="2029"/>
      <c r="L50" s="2029"/>
      <c r="M50" s="2029"/>
      <c r="N50" s="2029"/>
      <c r="O50" s="2029"/>
      <c r="P50" s="2029"/>
      <c r="Q50" s="2029"/>
      <c r="R50" s="2029"/>
      <c r="S50" s="2029"/>
      <c r="T50" s="2029"/>
      <c r="U50" s="2029"/>
      <c r="V50" s="2029"/>
    </row>
    <row r="51" spans="1:22" ht="12.75">
      <c r="A51" s="334"/>
      <c r="B51" s="335"/>
      <c r="C51" s="335"/>
      <c r="D51" s="336"/>
      <c r="E51" s="336"/>
      <c r="F51" s="336"/>
      <c r="G51" s="336"/>
      <c r="H51" s="337"/>
      <c r="I51" s="338"/>
      <c r="J51" s="2032"/>
      <c r="K51" s="2029"/>
      <c r="L51" s="2029"/>
      <c r="M51" s="2029"/>
      <c r="N51" s="2029"/>
      <c r="O51" s="2029"/>
      <c r="P51" s="2029"/>
      <c r="Q51" s="2029"/>
      <c r="R51" s="2029"/>
      <c r="S51" s="2029"/>
      <c r="T51" s="2029"/>
      <c r="U51" s="2029"/>
      <c r="V51" s="2029"/>
    </row>
    <row r="52" spans="1:22" ht="12.75">
      <c r="A52" s="331"/>
      <c r="B52" s="331"/>
      <c r="C52" s="331"/>
      <c r="D52" s="326"/>
      <c r="E52" s="326"/>
      <c r="F52" s="326"/>
      <c r="G52" s="326"/>
      <c r="H52" s="332"/>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9" t="s">
        <v>368</v>
      </c>
      <c r="G53" s="340"/>
      <c r="H53" s="340"/>
      <c r="I53" s="341" t="s">
        <v>369</v>
      </c>
      <c r="J53" s="2032"/>
      <c r="K53" s="2029"/>
      <c r="L53" s="2029"/>
      <c r="M53" s="2029"/>
      <c r="N53" s="2029"/>
      <c r="O53" s="2029"/>
      <c r="P53" s="2029"/>
      <c r="Q53" s="2029"/>
      <c r="R53" s="2029"/>
      <c r="S53" s="2029"/>
      <c r="T53" s="2029"/>
      <c r="U53" s="2029"/>
      <c r="V53" s="2029"/>
    </row>
    <row r="54" spans="1:22" ht="12.75">
      <c r="A54" s="257"/>
      <c r="B54" s="342"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40"/>
      <c r="C56" s="340"/>
      <c r="D56" s="340"/>
      <c r="E56" s="340"/>
      <c r="F56" s="340"/>
      <c r="G56" s="340"/>
      <c r="H56" s="340"/>
      <c r="I56" s="341" t="s">
        <v>371</v>
      </c>
      <c r="J56" s="2032"/>
      <c r="K56" s="2029"/>
      <c r="L56" s="2029"/>
      <c r="M56" s="2029"/>
      <c r="N56" s="2029"/>
      <c r="O56" s="2029"/>
      <c r="P56" s="2029"/>
      <c r="Q56" s="2029"/>
      <c r="R56" s="2029"/>
      <c r="S56" s="2029"/>
      <c r="T56" s="2029"/>
      <c r="U56" s="2029"/>
      <c r="V56" s="2029"/>
    </row>
    <row r="57" spans="1:22" ht="12.75">
      <c r="A57" s="257"/>
      <c r="B57" s="342"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42"/>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40"/>
      <c r="C59" s="340"/>
      <c r="D59" s="340"/>
      <c r="E59" s="340"/>
      <c r="F59" s="340"/>
      <c r="G59" s="340"/>
      <c r="H59" s="340"/>
      <c r="I59" s="341"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42"/>
      <c r="C61" s="343"/>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457" t="s">
        <v>374</v>
      </c>
      <c r="B63" s="3458"/>
      <c r="C63" s="3459"/>
      <c r="D63" s="344">
        <f ca="1">ROUND(C42*F63,0)</f>
        <v>12136</v>
      </c>
      <c r="E63" s="305" t="s">
        <v>375</v>
      </c>
      <c r="F63" s="345">
        <v>0.6</v>
      </c>
      <c r="G63" s="346" t="s">
        <v>376</v>
      </c>
      <c r="H63" s="314"/>
      <c r="I63" s="314"/>
      <c r="J63" s="2029"/>
      <c r="K63" s="2029"/>
      <c r="L63" s="2029"/>
      <c r="M63" s="2029"/>
      <c r="N63" s="2029"/>
      <c r="O63" s="2029"/>
      <c r="P63" s="314"/>
      <c r="Q63" s="2029"/>
      <c r="R63" s="2029"/>
      <c r="S63" s="2029"/>
      <c r="T63" s="2029"/>
      <c r="U63" s="2029"/>
      <c r="V63" s="2029"/>
    </row>
    <row r="64" spans="1:22" ht="14.25" customHeight="1">
      <c r="A64" s="3496" t="s">
        <v>378</v>
      </c>
      <c r="B64" s="3497"/>
      <c r="C64" s="3497"/>
      <c r="D64" s="3497"/>
      <c r="E64" s="3497"/>
      <c r="F64" s="3497"/>
      <c r="G64" s="3498"/>
      <c r="H64" s="1288"/>
      <c r="I64" s="949"/>
      <c r="J64" s="1991"/>
      <c r="K64" s="1561" t="s">
        <v>377</v>
      </c>
      <c r="L64" s="11"/>
      <c r="M64" s="11"/>
      <c r="N64" s="11"/>
      <c r="O64" s="11"/>
      <c r="P64" s="314"/>
      <c r="Q64" s="2029"/>
      <c r="R64" s="2029"/>
      <c r="S64" s="2029"/>
      <c r="T64" s="2029"/>
      <c r="U64" s="2029"/>
      <c r="V64" s="2029"/>
    </row>
    <row r="65" spans="1:22" ht="12" customHeight="1">
      <c r="A65" s="347" t="s">
        <v>380</v>
      </c>
      <c r="B65" s="348"/>
      <c r="C65" s="349"/>
      <c r="D65" s="350" t="s">
        <v>381</v>
      </c>
      <c r="E65" s="53" t="s">
        <v>382</v>
      </c>
      <c r="F65" s="351" t="s">
        <v>383</v>
      </c>
      <c r="G65" s="352" t="s">
        <v>384</v>
      </c>
      <c r="H65" s="1288"/>
      <c r="I65" s="949"/>
      <c r="J65" s="1991"/>
      <c r="K65" s="1289"/>
      <c r="L65" s="1290"/>
      <c r="M65" s="1290"/>
      <c r="N65" s="1322" t="s">
        <v>379</v>
      </c>
      <c r="O65" s="1323"/>
      <c r="P65" s="1324"/>
      <c r="Q65" s="2029"/>
      <c r="R65" s="2029"/>
      <c r="S65" s="2029"/>
      <c r="T65" s="2029"/>
      <c r="U65" s="2029"/>
      <c r="V65" s="2029"/>
    </row>
    <row r="66" spans="1:22" ht="25.5">
      <c r="A66" s="3493" t="s">
        <v>386</v>
      </c>
      <c r="B66" s="3464"/>
      <c r="C66" s="3464"/>
      <c r="D66" s="261">
        <f ca="1">IF(H66="情况1",0,IF(H66="情况2",D70,IF(H66="情况3",D71,IF(H66="情况4",D72))))</f>
        <v>647</v>
      </c>
      <c r="E66" s="994" t="str">
        <f>IF(H66="情况4","(销售额-原购置价)×税（费）率","销售额×税（费）率")</f>
        <v>销售额×税（费）率</v>
      </c>
      <c r="F66" s="353">
        <f>IF(H66="情况1","免征",'数据-取费表'!B41)</f>
        <v>5.6000000000000001E-2</v>
      </c>
      <c r="G66" s="354" t="s">
        <v>387</v>
      </c>
      <c r="H66" s="191" t="s">
        <v>388</v>
      </c>
      <c r="I66" s="1288"/>
      <c r="J66" s="2035"/>
      <c r="K66" s="1291">
        <v>1</v>
      </c>
      <c r="L66" s="3433" t="s">
        <v>385</v>
      </c>
      <c r="M66" s="3434"/>
      <c r="N66" s="2483"/>
      <c r="O66" s="2484"/>
      <c r="P66" s="2485"/>
      <c r="Q66" s="2029"/>
      <c r="R66" s="2029"/>
      <c r="S66" s="2029"/>
      <c r="T66" s="2029"/>
      <c r="U66" s="2029"/>
      <c r="V66" s="2029"/>
    </row>
    <row r="67" spans="1:22" ht="25.5" customHeight="1">
      <c r="A67" s="355" t="s">
        <v>390</v>
      </c>
      <c r="B67" s="3476" t="s">
        <v>391</v>
      </c>
      <c r="C67" s="3476"/>
      <c r="D67" s="356">
        <v>0</v>
      </c>
      <c r="E67" s="41" t="s">
        <v>392</v>
      </c>
      <c r="F67" s="62" t="s">
        <v>21</v>
      </c>
      <c r="G67" s="3460"/>
      <c r="H67" s="314"/>
      <c r="I67" s="1292"/>
      <c r="J67" s="2036"/>
      <c r="K67" s="1977">
        <v>2</v>
      </c>
      <c r="L67" s="3432" t="s">
        <v>389</v>
      </c>
      <c r="M67" s="3432"/>
      <c r="N67" s="1325">
        <f>'数据-取费表'!B2</f>
        <v>43052</v>
      </c>
      <c r="O67" s="1325"/>
      <c r="P67" s="1325"/>
      <c r="Q67" s="2029"/>
      <c r="R67" s="2029"/>
      <c r="S67" s="2029"/>
      <c r="T67" s="2029"/>
      <c r="U67" s="2029"/>
      <c r="V67" s="2029"/>
    </row>
    <row r="68" spans="1:22" ht="25.5" customHeight="1">
      <c r="A68" s="357"/>
      <c r="B68" s="3476" t="s">
        <v>394</v>
      </c>
      <c r="C68" s="3476"/>
      <c r="D68" s="358"/>
      <c r="E68" s="77"/>
      <c r="F68" s="359"/>
      <c r="G68" s="3461"/>
      <c r="H68" s="314"/>
      <c r="I68" s="1292"/>
      <c r="J68" s="2036"/>
      <c r="K68" s="1977">
        <v>3</v>
      </c>
      <c r="L68" s="3432" t="s">
        <v>393</v>
      </c>
      <c r="M68" s="3432"/>
      <c r="N68" s="1293">
        <f ca="1">C42</f>
        <v>20227</v>
      </c>
      <c r="O68" s="1293"/>
      <c r="P68" s="1293"/>
      <c r="Q68" s="2029"/>
      <c r="R68" s="2029"/>
      <c r="S68" s="2029"/>
      <c r="T68" s="2029"/>
      <c r="U68" s="2029"/>
      <c r="V68" s="2029"/>
    </row>
    <row r="69" spans="1:22" ht="12" customHeight="1">
      <c r="A69" s="360"/>
      <c r="B69" s="3476" t="s">
        <v>395</v>
      </c>
      <c r="C69" s="3476"/>
      <c r="D69" s="361"/>
      <c r="E69" s="73"/>
      <c r="F69" s="359"/>
      <c r="G69" s="3462"/>
      <c r="H69" s="314"/>
      <c r="I69" s="1292"/>
      <c r="J69" s="2036"/>
      <c r="K69" s="1294">
        <v>4</v>
      </c>
      <c r="L69" s="3438" t="s">
        <v>2886</v>
      </c>
      <c r="M69" s="3439"/>
      <c r="N69" s="1295">
        <f ca="1">C44</f>
        <v>20227</v>
      </c>
      <c r="O69" s="1295"/>
      <c r="P69" s="1295"/>
      <c r="Q69" s="2029"/>
      <c r="R69" s="2029"/>
      <c r="S69" s="2029"/>
      <c r="T69" s="2029"/>
      <c r="U69" s="2029"/>
      <c r="V69" s="2029"/>
    </row>
    <row r="70" spans="1:22" ht="24" customHeight="1">
      <c r="A70" s="362" t="s">
        <v>396</v>
      </c>
      <c r="B70" s="3476" t="s">
        <v>397</v>
      </c>
      <c r="C70" s="3476"/>
      <c r="D70" s="361">
        <f ca="1">ROUND(D63*'数据-取费表'!B41/(1+'数据-取费表'!C42),0)</f>
        <v>647</v>
      </c>
      <c r="E70" s="17" t="s">
        <v>398</v>
      </c>
      <c r="F70" s="363">
        <f>'数据-取费表'!B41</f>
        <v>5.6000000000000001E-2</v>
      </c>
      <c r="G70" s="364"/>
      <c r="H70" s="314"/>
      <c r="I70" s="1292"/>
      <c r="J70" s="2036"/>
      <c r="K70" s="3089"/>
      <c r="L70" s="3090"/>
      <c r="M70" s="3090"/>
      <c r="N70" s="3091" t="s">
        <v>2891</v>
      </c>
      <c r="O70" s="3090"/>
      <c r="P70" s="3092"/>
      <c r="Q70" s="2029"/>
      <c r="R70" s="2029"/>
      <c r="S70" s="2029"/>
      <c r="T70" s="2029"/>
      <c r="U70" s="2029"/>
      <c r="V70" s="2029"/>
    </row>
    <row r="71" spans="1:22" ht="12" customHeight="1">
      <c r="A71" s="362" t="s">
        <v>404</v>
      </c>
      <c r="B71" s="3475" t="s">
        <v>405</v>
      </c>
      <c r="C71" s="3487"/>
      <c r="D71" s="361">
        <f ca="1">ROUND(D63*'数据-取费表'!B41/(1+'数据-取费表'!C42),0)</f>
        <v>647</v>
      </c>
      <c r="E71" s="17" t="s">
        <v>398</v>
      </c>
      <c r="F71" s="363">
        <f>'数据-取费表'!B41</f>
        <v>5.6000000000000001E-2</v>
      </c>
      <c r="G71" s="364"/>
      <c r="H71" s="314"/>
      <c r="I71" s="1292"/>
      <c r="J71" s="2036"/>
      <c r="K71" s="3088" t="s">
        <v>399</v>
      </c>
      <c r="L71" s="3440" t="s">
        <v>400</v>
      </c>
      <c r="M71" s="3440"/>
      <c r="N71" s="3088" t="s">
        <v>401</v>
      </c>
      <c r="O71" s="3088" t="s">
        <v>402</v>
      </c>
      <c r="P71" s="3088" t="s">
        <v>403</v>
      </c>
      <c r="Q71" s="2029"/>
      <c r="R71" s="2029"/>
      <c r="S71" s="2029"/>
      <c r="T71" s="2029"/>
      <c r="U71" s="2029"/>
      <c r="V71" s="2029"/>
    </row>
    <row r="72" spans="1:22" ht="12" customHeight="1">
      <c r="A72" s="362" t="s">
        <v>407</v>
      </c>
      <c r="B72" s="3475" t="s">
        <v>408</v>
      </c>
      <c r="C72" s="3487"/>
      <c r="D72" s="361">
        <f ca="1">C86</f>
        <v>535</v>
      </c>
      <c r="E72" s="73" t="s">
        <v>409</v>
      </c>
      <c r="F72" s="363">
        <f>'数据-取费表'!B41</f>
        <v>5.6000000000000001E-2</v>
      </c>
      <c r="G72" s="364"/>
      <c r="H72" s="1298"/>
      <c r="I72" s="1292"/>
      <c r="J72" s="2036"/>
      <c r="K72" s="1977">
        <v>1</v>
      </c>
      <c r="L72" s="3437" t="s">
        <v>406</v>
      </c>
      <c r="M72" s="3437"/>
      <c r="N72" s="1296">
        <f ca="1">D66</f>
        <v>647</v>
      </c>
      <c r="O72" s="1860" t="str">
        <f>E66</f>
        <v>销售额×税（费）率</v>
      </c>
      <c r="P72" s="1297">
        <f>F66</f>
        <v>5.6000000000000001E-2</v>
      </c>
      <c r="Q72" s="2029"/>
      <c r="R72" s="2029"/>
      <c r="S72" s="2029"/>
      <c r="T72" s="2029"/>
      <c r="U72" s="2029"/>
      <c r="V72" s="2029"/>
    </row>
    <row r="73" spans="1:22" ht="24" customHeight="1">
      <c r="A73" s="3463" t="s">
        <v>411</v>
      </c>
      <c r="B73" s="3464"/>
      <c r="C73" s="3464"/>
      <c r="D73" s="365">
        <f>IF(H73="个人住宅",0,ROUND(D63*I73,0))</f>
        <v>0</v>
      </c>
      <c r="E73" s="17" t="s">
        <v>412</v>
      </c>
      <c r="F73" s="363" t="str">
        <f>IF(H73="正常",I73,"免征")</f>
        <v>免征</v>
      </c>
      <c r="G73" s="364"/>
      <c r="H73" s="191" t="s">
        <v>2456</v>
      </c>
      <c r="I73" s="363">
        <f>'数据-取费表'!B49</f>
        <v>5.0000000000000001E-4</v>
      </c>
      <c r="J73" s="2036"/>
      <c r="K73" s="1977">
        <v>2</v>
      </c>
      <c r="L73" s="3437" t="s">
        <v>410</v>
      </c>
      <c r="M73" s="3437"/>
      <c r="N73" s="1296">
        <f t="shared" ref="N73:P74" si="4">D73</f>
        <v>0</v>
      </c>
      <c r="O73" s="1860" t="str">
        <f t="shared" si="4"/>
        <v>销售额×税（费）率</v>
      </c>
      <c r="P73" s="1297" t="str">
        <f t="shared" si="4"/>
        <v>免征</v>
      </c>
      <c r="Q73" s="2029"/>
      <c r="R73" s="2029"/>
      <c r="S73" s="2029"/>
      <c r="T73" s="2029"/>
      <c r="U73" s="2029"/>
      <c r="V73" s="2029"/>
    </row>
    <row r="74" spans="1:22" ht="24.75">
      <c r="A74" s="3463" t="s">
        <v>415</v>
      </c>
      <c r="B74" s="3464"/>
      <c r="C74" s="3464"/>
      <c r="D74" s="365">
        <f ca="1">IF(H74="个人住宅",D75,D76)</f>
        <v>6209</v>
      </c>
      <c r="E74" s="17" t="s">
        <v>416</v>
      </c>
      <c r="F74" s="363" t="str">
        <f>IF(H74="正常",F76,"免征")</f>
        <v>——</v>
      </c>
      <c r="G74" s="984" t="s">
        <v>417</v>
      </c>
      <c r="H74" s="366" t="s">
        <v>413</v>
      </c>
      <c r="I74" s="42"/>
      <c r="J74" s="2036"/>
      <c r="K74" s="1977">
        <v>3</v>
      </c>
      <c r="L74" s="3437" t="s">
        <v>414</v>
      </c>
      <c r="M74" s="3437"/>
      <c r="N74" s="1296">
        <f t="shared" ca="1" si="4"/>
        <v>6209</v>
      </c>
      <c r="O74" s="1860" t="str">
        <f t="shared" si="4"/>
        <v>增值额×税（费）率</v>
      </c>
      <c r="P74" s="1299" t="str">
        <f t="shared" si="4"/>
        <v>——</v>
      </c>
      <c r="Q74" s="2029"/>
      <c r="R74" s="2029"/>
      <c r="S74" s="2029"/>
      <c r="T74" s="2029"/>
      <c r="U74" s="2029"/>
      <c r="V74" s="2029"/>
    </row>
    <row r="75" spans="1:22" ht="24">
      <c r="A75" s="362" t="s">
        <v>418</v>
      </c>
      <c r="B75" s="3444" t="s">
        <v>419</v>
      </c>
      <c r="C75" s="3445"/>
      <c r="D75" s="367">
        <v>0</v>
      </c>
      <c r="E75" s="41" t="s">
        <v>420</v>
      </c>
      <c r="F75" s="368"/>
      <c r="G75" s="364"/>
      <c r="H75" s="42"/>
      <c r="I75" s="42"/>
      <c r="J75" s="2036"/>
      <c r="K75" s="3081">
        <f>IF(H77="非个人房产","",4)</f>
        <v>4</v>
      </c>
      <c r="L75" s="3437" t="str">
        <f>IF(H77="非个人房产","——","个人所得税")</f>
        <v>个人所得税</v>
      </c>
      <c r="M75" s="3437"/>
      <c r="N75" s="1300">
        <f ca="1">D77</f>
        <v>121</v>
      </c>
      <c r="O75" s="1873" t="str">
        <f>E77</f>
        <v>销售额×税（费）率</v>
      </c>
      <c r="P75" s="1301">
        <f>F77</f>
        <v>0.01</v>
      </c>
      <c r="Q75" s="2029"/>
      <c r="R75" s="2029"/>
      <c r="S75" s="2029"/>
      <c r="T75" s="2029"/>
      <c r="U75" s="2029"/>
      <c r="V75" s="2029"/>
    </row>
    <row r="76" spans="1:22" ht="24.75">
      <c r="A76" s="362" t="s">
        <v>396</v>
      </c>
      <c r="B76" s="3444" t="s">
        <v>422</v>
      </c>
      <c r="C76" s="3486"/>
      <c r="D76" s="365">
        <f ca="1">IF(H76="转让取得",C99,C115)</f>
        <v>6209</v>
      </c>
      <c r="E76" s="17" t="s">
        <v>423</v>
      </c>
      <c r="F76" s="53" t="s">
        <v>21</v>
      </c>
      <c r="G76" s="364"/>
      <c r="H76" s="366" t="s">
        <v>424</v>
      </c>
      <c r="I76" s="42"/>
      <c r="J76" s="2036"/>
      <c r="K76" s="3081" t="str">
        <f>IF(项目基本情况!K6="上海银行",IF(K75="",4,K75+1),"")</f>
        <v/>
      </c>
      <c r="L76" s="3425" t="str">
        <f>IF(项目基本情况!K6="上海银行","其他处置费用","")</f>
        <v/>
      </c>
      <c r="M76" s="3426"/>
      <c r="N76" s="1296" t="str">
        <f>IF(项目基本情况!K6="上海银行",N89,"")</f>
        <v/>
      </c>
      <c r="O76" s="3427" t="str">
        <f>IF(项目基本情况!K6="上海银行","包含处置中涉及的律师、诉讼、拍卖、评估等费用","")</f>
        <v/>
      </c>
      <c r="P76" s="3428"/>
      <c r="Q76" s="2029"/>
      <c r="R76" s="2029"/>
      <c r="S76" s="2029"/>
      <c r="T76" s="2029"/>
      <c r="U76" s="2029"/>
      <c r="V76" s="2029"/>
    </row>
    <row r="77" spans="1:22" ht="26.25" thickBot="1">
      <c r="A77" s="3455" t="s">
        <v>426</v>
      </c>
      <c r="B77" s="3456"/>
      <c r="C77" s="3456"/>
      <c r="D77" s="369">
        <f ca="1">IF(H77="非个人房产","——",IF(H77="个人住宅",0,ROUND(D63*I77,0)))</f>
        <v>121</v>
      </c>
      <c r="E77" s="370" t="str">
        <f>IF(H77="非个人房产","——","销售额×税（费）率")</f>
        <v>销售额×税（费）率</v>
      </c>
      <c r="F77" s="371">
        <f>IF(H77="非个人房产","——",IF(H77="个人住宅","免征",I77))</f>
        <v>0.01</v>
      </c>
      <c r="G77" s="985" t="s">
        <v>417</v>
      </c>
      <c r="H77" s="366" t="s">
        <v>2887</v>
      </c>
      <c r="I77" s="372">
        <v>0.01</v>
      </c>
      <c r="J77" s="2036"/>
      <c r="K77" s="3451">
        <f>IF(AND(K75="",K76=""),4,IF(项目基本情况!K6="上海银行",K76+1,K75+1))</f>
        <v>5</v>
      </c>
      <c r="L77" s="3437" t="s">
        <v>2888</v>
      </c>
      <c r="M77" s="3087" t="s">
        <v>421</v>
      </c>
      <c r="N77" s="1302"/>
      <c r="O77" s="1303">
        <f ca="1">SUMIF(N72:N76,"&lt;9e307")</f>
        <v>6977</v>
      </c>
      <c r="P77" s="1304"/>
      <c r="Q77" s="3085">
        <f ca="1">O77/N69</f>
        <v>0.34493498788747712</v>
      </c>
      <c r="R77" s="2029"/>
      <c r="S77" s="2029"/>
      <c r="T77" s="2029"/>
      <c r="U77" s="2029"/>
      <c r="V77" s="2029"/>
    </row>
    <row r="78" spans="1:22" ht="12" customHeight="1">
      <c r="A78" s="1305"/>
      <c r="B78" s="314"/>
      <c r="C78" s="314"/>
      <c r="D78" s="314"/>
      <c r="E78" s="42"/>
      <c r="F78" s="42"/>
      <c r="G78" s="42"/>
      <c r="H78" s="1004"/>
      <c r="I78" s="314"/>
      <c r="J78" s="2036"/>
      <c r="K78" s="3451"/>
      <c r="L78" s="3437"/>
      <c r="M78" s="3087" t="s">
        <v>425</v>
      </c>
      <c r="N78" s="1302"/>
      <c r="O78" s="1303" t="str">
        <f ca="1">NUMBERSTRING(INT(O77*10000),2)&amp;"元整"</f>
        <v>陆仟玖佰柒拾柒万元整</v>
      </c>
      <c r="P78" s="1304"/>
      <c r="Q78" s="2029"/>
      <c r="R78" s="2029"/>
      <c r="S78" s="2029"/>
      <c r="T78" s="2029"/>
      <c r="U78" s="2029"/>
      <c r="V78" s="2029"/>
    </row>
    <row r="79" spans="1:22" ht="13.5" thickBot="1">
      <c r="A79" s="3441" t="s">
        <v>427</v>
      </c>
      <c r="B79" s="3441"/>
      <c r="C79" s="3441"/>
      <c r="D79" s="3441"/>
      <c r="E79" s="3441"/>
      <c r="F79" s="42"/>
      <c r="G79" s="42"/>
      <c r="H79" s="1004"/>
      <c r="I79" s="314"/>
      <c r="J79" s="2036"/>
      <c r="K79" s="3435">
        <f>K77+1</f>
        <v>6</v>
      </c>
      <c r="L79" s="3437" t="s">
        <v>2889</v>
      </c>
      <c r="M79" s="3087" t="s">
        <v>421</v>
      </c>
      <c r="N79" s="1302"/>
      <c r="O79" s="1303">
        <f ca="1">N69-O77</f>
        <v>13250</v>
      </c>
      <c r="P79" s="1304"/>
      <c r="Q79" s="2029"/>
      <c r="R79" s="2029"/>
      <c r="S79" s="2029"/>
      <c r="T79" s="2029"/>
      <c r="U79" s="2029"/>
      <c r="V79" s="2029"/>
    </row>
    <row r="80" spans="1:22" ht="25.5">
      <c r="A80" s="3442" t="s">
        <v>428</v>
      </c>
      <c r="B80" s="3443"/>
      <c r="C80" s="995"/>
      <c r="D80" s="995" t="s">
        <v>429</v>
      </c>
      <c r="E80" s="373" t="s">
        <v>430</v>
      </c>
      <c r="F80" s="42"/>
      <c r="G80" s="42"/>
      <c r="H80" s="1004"/>
      <c r="I80" s="314"/>
      <c r="J80" s="2029"/>
      <c r="K80" s="3436"/>
      <c r="L80" s="3437"/>
      <c r="M80" s="3087" t="s">
        <v>425</v>
      </c>
      <c r="N80" s="1302"/>
      <c r="O80" s="1303" t="str">
        <f ca="1">NUMBERSTRING(INT(O79*10000),2)&amp;"元整"</f>
        <v>壹亿叁仟贰佰伍拾万元整</v>
      </c>
      <c r="P80" s="1304"/>
      <c r="Q80" s="2029"/>
      <c r="R80" s="2029"/>
      <c r="S80" s="2029"/>
      <c r="T80" s="2029"/>
      <c r="U80" s="2029"/>
      <c r="V80" s="2029"/>
    </row>
    <row r="81" spans="1:26" ht="13.5" thickBot="1">
      <c r="A81" s="384" t="s">
        <v>1824</v>
      </c>
      <c r="B81" s="374" t="s">
        <v>431</v>
      </c>
      <c r="C81" s="375">
        <f ca="1">ROUND((C82+C83)/(1+'数据-取费表'!C42),0)</f>
        <v>11558</v>
      </c>
      <c r="D81" s="376"/>
      <c r="E81" s="377"/>
      <c r="F81" s="42"/>
      <c r="G81" s="42"/>
      <c r="H81" s="1004"/>
      <c r="I81" s="314"/>
      <c r="J81" s="2029"/>
      <c r="K81" s="3081">
        <f>K79+1</f>
        <v>7</v>
      </c>
      <c r="L81" s="3449" t="s">
        <v>2890</v>
      </c>
      <c r="M81" s="3450"/>
      <c r="N81" s="1306"/>
      <c r="O81" s="1307">
        <f ca="1">ROUND(O79*10000/'数据-汇总表'!E3,0)</f>
        <v>1159</v>
      </c>
      <c r="P81" s="1308"/>
      <c r="Q81" s="2029"/>
      <c r="R81" s="2029"/>
      <c r="S81" s="2029"/>
      <c r="T81" s="2029"/>
      <c r="U81" s="2029"/>
      <c r="V81" s="2029"/>
    </row>
    <row r="82" spans="1:26" ht="13.5" thickTop="1">
      <c r="A82" s="378" t="s">
        <v>1825</v>
      </c>
      <c r="B82" s="379" t="s">
        <v>432</v>
      </c>
      <c r="C82" s="380">
        <f ca="1">D63</f>
        <v>12136</v>
      </c>
      <c r="D82" s="381" t="s">
        <v>19</v>
      </c>
      <c r="E82" s="382"/>
      <c r="F82" s="42"/>
      <c r="G82" s="42"/>
      <c r="H82" s="1004"/>
      <c r="I82" s="314"/>
      <c r="J82" s="2029"/>
      <c r="K82" s="2029"/>
      <c r="L82" s="2029"/>
      <c r="M82" s="2029"/>
      <c r="N82" s="2029"/>
      <c r="O82" s="2029"/>
      <c r="P82" s="2029"/>
      <c r="Q82" s="2029"/>
      <c r="R82" s="2029"/>
      <c r="S82" s="2029"/>
      <c r="T82" s="2029"/>
      <c r="U82" s="2029"/>
      <c r="V82" s="2029"/>
    </row>
    <row r="83" spans="1:26" ht="12.75">
      <c r="A83" s="378" t="s">
        <v>1826</v>
      </c>
      <c r="B83" s="379" t="s">
        <v>433</v>
      </c>
      <c r="C83" s="383">
        <v>0</v>
      </c>
      <c r="D83" s="381"/>
      <c r="E83" s="382"/>
      <c r="F83" s="42"/>
      <c r="G83" s="42"/>
      <c r="H83" s="1004"/>
      <c r="I83" s="314"/>
      <c r="J83" s="2029"/>
      <c r="K83" s="3424" t="s">
        <v>2877</v>
      </c>
      <c r="L83" s="3093" t="s">
        <v>2878</v>
      </c>
      <c r="M83" s="3083">
        <f ca="1">IF(N69&gt;10000,N69*0.5%,IF(AND(N69&gt;1000,N69&lt;=10000),N69*1%,IF(AND(N69&gt;100,N69&lt;=1000),N69*3%,IF(AND(N69&gt;10,N69&lt;=100),N69*5%,N69*8%))))</f>
        <v>101.13500000000001</v>
      </c>
      <c r="N83" s="53">
        <f ca="1">ROUND(M83,1)</f>
        <v>101.1</v>
      </c>
      <c r="O83" s="3086"/>
      <c r="P83" s="2029"/>
      <c r="Q83" s="2029"/>
      <c r="R83" s="2029"/>
      <c r="S83" s="2029"/>
      <c r="T83" s="2029"/>
      <c r="U83" s="2029"/>
      <c r="V83" s="2029"/>
    </row>
    <row r="84" spans="1:26" ht="12.75">
      <c r="A84" s="384" t="s">
        <v>1827</v>
      </c>
      <c r="B84" s="385" t="s">
        <v>434</v>
      </c>
      <c r="C84" s="386">
        <v>2000</v>
      </c>
      <c r="D84" s="387" t="s">
        <v>19</v>
      </c>
      <c r="E84" s="3127" t="s">
        <v>2937</v>
      </c>
      <c r="F84" s="42"/>
      <c r="G84" s="42"/>
      <c r="H84" s="1004"/>
      <c r="I84" s="314"/>
      <c r="J84" s="2029"/>
      <c r="K84" s="3424"/>
      <c r="L84" s="3093" t="s">
        <v>2879</v>
      </c>
      <c r="M84" s="3083">
        <f ca="1">IF(N69&gt;2000,N69*0.5%,IF(AND(N69&gt;1000,N69&lt;=2000),N69*0.6%,IF(AND(N69&gt;500,N69&lt;=1000),N69*0.7%,IF(AND(N69&gt;200,N69&lt;=500),N69*0.8%,IF(AND(N69&gt;100,N69&lt;=200),N69*0.9%,IF(AND(N69&gt;50,N69&lt;=100),N69*1%,IF(AND(N69&gt;20,N69&lt;=50),N69*1.5%,IF(AND(N69&gt;10,N69&lt;=20),N69*2%,IF(AND(N69&gt;1,N69&lt;=10),N69*2.5%)))))))))</f>
        <v>101.13500000000001</v>
      </c>
      <c r="N84" s="53">
        <f t="shared" ref="N84:N85" ca="1" si="5">ROUND(M84,1)</f>
        <v>101.1</v>
      </c>
      <c r="O84" s="2029" t="s">
        <v>2880</v>
      </c>
      <c r="P84" s="2029"/>
      <c r="Q84" s="2029"/>
      <c r="R84" s="2029"/>
      <c r="S84" s="2029"/>
      <c r="T84" s="2029"/>
      <c r="U84" s="2029"/>
      <c r="V84" s="2029"/>
    </row>
    <row r="85" spans="1:26" ht="12.75">
      <c r="A85" s="384" t="s">
        <v>1828</v>
      </c>
      <c r="B85" s="385" t="s">
        <v>435</v>
      </c>
      <c r="C85" s="388">
        <f ca="1">C81-C84</f>
        <v>9558</v>
      </c>
      <c r="D85" s="381" t="s">
        <v>19</v>
      </c>
      <c r="E85" s="382"/>
      <c r="F85" s="42"/>
      <c r="G85" s="42"/>
      <c r="H85" s="1004"/>
      <c r="I85" s="314"/>
      <c r="J85" s="2029"/>
      <c r="K85" s="3424"/>
      <c r="L85" s="3093" t="s">
        <v>2881</v>
      </c>
      <c r="M85" s="3083">
        <f ca="1">IF(N69&gt;1000,N69*0.1%,IF(AND(N69&gt;500,N69&lt;=1000),N69*0.5%,IF(AND(N69&gt;50,N69&lt;=500),N69*1%,IF(AND(N69&gt;1,N69&lt;=50),N69*1.5%))))</f>
        <v>20.227</v>
      </c>
      <c r="N85" s="53">
        <f t="shared" ca="1" si="5"/>
        <v>20.2</v>
      </c>
      <c r="O85" s="2029" t="s">
        <v>2880</v>
      </c>
      <c r="P85" s="2029"/>
      <c r="Q85" s="2029"/>
      <c r="R85" s="2029"/>
      <c r="S85" s="2029"/>
      <c r="T85" s="2029"/>
      <c r="U85" s="2029"/>
      <c r="V85" s="2029"/>
    </row>
    <row r="86" spans="1:26" ht="13.5" thickBot="1">
      <c r="A86" s="389" t="s">
        <v>1829</v>
      </c>
      <c r="B86" s="390" t="s">
        <v>436</v>
      </c>
      <c r="C86" s="391">
        <f ca="1">IF(C85&lt;=0,0,ROUND(C85*D86,0))</f>
        <v>535</v>
      </c>
      <c r="D86" s="392">
        <f>'数据-取费表'!B41</f>
        <v>5.6000000000000001E-2</v>
      </c>
      <c r="E86" s="393"/>
      <c r="F86" s="42"/>
      <c r="G86" s="42"/>
      <c r="H86" s="1004"/>
      <c r="I86" s="314"/>
      <c r="J86" s="2029"/>
      <c r="K86" s="3424"/>
      <c r="L86" s="3093" t="s">
        <v>2882</v>
      </c>
      <c r="M86" s="3083">
        <f ca="1">N69*0.5%</f>
        <v>101.13500000000001</v>
      </c>
      <c r="N86" s="53">
        <f ca="1">IF(M86&gt;0.5,0.5,ROUND(M86,0))</f>
        <v>0.5</v>
      </c>
      <c r="O86" s="2029" t="s">
        <v>2883</v>
      </c>
      <c r="P86" s="2029"/>
      <c r="Q86" s="2029"/>
      <c r="R86" s="2029"/>
      <c r="S86" s="2029"/>
      <c r="T86" s="2029"/>
      <c r="U86" s="2029"/>
      <c r="V86" s="2029"/>
    </row>
    <row r="87" spans="1:26" s="1254" customFormat="1" ht="14.25" customHeight="1">
      <c r="A87" s="1309"/>
      <c r="B87" s="1310"/>
      <c r="C87" s="1311"/>
      <c r="D87" s="1312"/>
      <c r="E87" s="1313"/>
      <c r="F87" s="42"/>
      <c r="G87" s="42"/>
      <c r="H87" s="1004"/>
      <c r="I87" s="314"/>
      <c r="J87" s="2029"/>
      <c r="K87" s="3424"/>
      <c r="L87" s="3093" t="s">
        <v>2884</v>
      </c>
      <c r="M87" s="3083">
        <f ca="1">IF(N69&gt;=10000,(8.25+(N69-10000)*0.01%),IF(AND(N69&gt;=8000,N69&lt;10000),(7.85+(N69-8000)*0.02%),IF(AND(N69&gt;=5000,N69&lt;8000),(6.65+(N69-5000)*0.04%),IF(AND(N69&gt;=2000,N69&lt;5000),(4.25+(PN69-2000)*0.08%),IF(AND(N69&gt;=1000,N69&lt;2000),(2.75+(N69-1000)*0.15%),IF(AND(N69&gt;=100,N69&lt;1000),(0.5+(N69-100)*0.25%),IF(AND(N69&gt;0,N69&lt;100),N69*0.5%)))))))</f>
        <v>9.2727000000000004</v>
      </c>
      <c r="N87" s="53">
        <f ca="1">ROUND(M87*0.9,1)</f>
        <v>8.3000000000000007</v>
      </c>
      <c r="O87" s="3086"/>
      <c r="P87" s="314"/>
      <c r="Q87" s="2029"/>
      <c r="R87" s="2029"/>
      <c r="S87" s="2029"/>
      <c r="T87" s="2029"/>
      <c r="U87" s="2029"/>
      <c r="V87" s="2029"/>
      <c r="W87" s="292"/>
      <c r="X87" s="292"/>
      <c r="Y87" s="292"/>
      <c r="Z87" s="292"/>
    </row>
    <row r="88" spans="1:26" s="1314" customFormat="1" ht="15" thickBot="1">
      <c r="A88" s="3478" t="s">
        <v>437</v>
      </c>
      <c r="B88" s="3479"/>
      <c r="C88" s="3479"/>
      <c r="D88" s="3479"/>
      <c r="E88" s="3479"/>
      <c r="F88" s="3479"/>
      <c r="G88" s="3479"/>
      <c r="H88" s="3479"/>
      <c r="I88" s="1315"/>
      <c r="J88" s="2037"/>
      <c r="K88" s="3424"/>
      <c r="L88" s="3093" t="s">
        <v>2885</v>
      </c>
      <c r="M88" s="3083">
        <f ca="1">IF(N69&gt;10000,N69*0.5%,IF(AND(N69&gt;5000,N69&lt;=10000),N69*1%,IF(AND(N69&gt;1000,N69&lt;=5000),N69*2%,IF(AND(N69&gt;200,N69&lt;=1000),N69*3%,N69*5%))))</f>
        <v>101.13500000000001</v>
      </c>
      <c r="N88" s="53">
        <f ca="1">ROUND(M88,1)</f>
        <v>101.1</v>
      </c>
      <c r="O88" s="3086"/>
      <c r="P88" s="11"/>
      <c r="Q88" s="2034"/>
      <c r="R88" s="2034"/>
      <c r="S88" s="2034"/>
      <c r="T88" s="2034"/>
      <c r="U88" s="2034"/>
      <c r="V88" s="2034"/>
      <c r="W88" s="2038"/>
      <c r="X88" s="2038"/>
      <c r="Y88" s="2038"/>
      <c r="Z88" s="2038"/>
    </row>
    <row r="89" spans="1:26" s="1314" customFormat="1" ht="14.25">
      <c r="A89" s="3442" t="s">
        <v>428</v>
      </c>
      <c r="B89" s="3443"/>
      <c r="C89" s="995"/>
      <c r="D89" s="995" t="s">
        <v>429</v>
      </c>
      <c r="E89" s="394" t="s">
        <v>438</v>
      </c>
      <c r="F89" s="395"/>
      <c r="G89" s="395"/>
      <c r="H89" s="396"/>
      <c r="I89" s="1316"/>
      <c r="J89" s="2039"/>
      <c r="K89" s="3424"/>
      <c r="L89" s="3093" t="s">
        <v>27</v>
      </c>
      <c r="M89" s="3084"/>
      <c r="N89" s="53">
        <f ca="1">ROUND(SUM(N83:N88),0)</f>
        <v>332</v>
      </c>
      <c r="O89" s="3094">
        <f ca="1">N89/N69</f>
        <v>1.6413704454442082E-2</v>
      </c>
      <c r="P89" s="2034"/>
      <c r="Q89" s="2034"/>
      <c r="R89" s="2034"/>
      <c r="S89" s="2034"/>
      <c r="T89" s="2034"/>
      <c r="U89" s="2034"/>
      <c r="V89" s="2034"/>
      <c r="W89" s="2038"/>
      <c r="X89" s="2038"/>
      <c r="Y89" s="2038"/>
      <c r="Z89" s="2038"/>
    </row>
    <row r="90" spans="1:26" s="1314" customFormat="1" ht="14.25">
      <c r="A90" s="384" t="s">
        <v>1824</v>
      </c>
      <c r="B90" s="385" t="s">
        <v>439</v>
      </c>
      <c r="C90" s="388">
        <f ca="1">ROUND(D63/(1+'数据-取费表'!C42),0)</f>
        <v>11558</v>
      </c>
      <c r="D90" s="381" t="s">
        <v>19</v>
      </c>
      <c r="E90" s="992"/>
      <c r="F90" s="991"/>
      <c r="G90" s="991"/>
      <c r="H90" s="397"/>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4" t="s">
        <v>1830</v>
      </c>
      <c r="B91" s="351" t="s">
        <v>440</v>
      </c>
      <c r="C91" s="388">
        <f ca="1">C92+C96</f>
        <v>2650</v>
      </c>
      <c r="D91" s="381" t="s">
        <v>19</v>
      </c>
      <c r="E91" s="992"/>
      <c r="F91" s="991"/>
      <c r="G91" s="991"/>
      <c r="H91" s="397"/>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8" t="s">
        <v>1831</v>
      </c>
      <c r="B92" s="379" t="s">
        <v>441</v>
      </c>
      <c r="C92" s="381">
        <f>ROUND(IF(G95="2016年5月1日后购买",C93/(1+'数据-取费表'!C30)+C94+C95,C93+C94+C95),0)</f>
        <v>2581</v>
      </c>
      <c r="D92" s="381" t="s">
        <v>19</v>
      </c>
      <c r="E92" s="992"/>
      <c r="F92" s="991"/>
      <c r="G92" s="991"/>
      <c r="H92" s="397"/>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8" t="s">
        <v>1832</v>
      </c>
      <c r="B93" s="379" t="s">
        <v>442</v>
      </c>
      <c r="C93" s="399">
        <v>2000</v>
      </c>
      <c r="D93" s="381" t="s">
        <v>19</v>
      </c>
      <c r="E93" s="400" t="s">
        <v>443</v>
      </c>
      <c r="F93" s="401" t="s">
        <v>444</v>
      </c>
      <c r="G93" s="400" t="s">
        <v>445</v>
      </c>
      <c r="H93" s="402">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8" t="s">
        <v>1833</v>
      </c>
      <c r="B94" s="403" t="s">
        <v>446</v>
      </c>
      <c r="C94" s="381">
        <f>IF(F93="购房发票",ROUND(C93*H93*5%,0),0)</f>
        <v>500</v>
      </c>
      <c r="D94" s="404">
        <v>0.05</v>
      </c>
      <c r="E94" s="3475" t="s">
        <v>447</v>
      </c>
      <c r="F94" s="3476"/>
      <c r="G94" s="3476"/>
      <c r="H94" s="3477"/>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8" t="s">
        <v>1834</v>
      </c>
      <c r="B95" s="379" t="s">
        <v>448</v>
      </c>
      <c r="C95" s="381">
        <f>ROUND(IF(G95="个人买卖住房",0,IF(G95="2016年5月1日前购买",C93*D95,C93*D95/(1+'数据-取费表'!C42))),0)</f>
        <v>81</v>
      </c>
      <c r="D95" s="405">
        <f>'数据-取费表'!B48+'数据-取费表'!B49</f>
        <v>4.0500000000000001E-2</v>
      </c>
      <c r="E95" s="26" t="s">
        <v>449</v>
      </c>
      <c r="F95" s="406"/>
      <c r="G95" s="407" t="s">
        <v>2429</v>
      </c>
      <c r="H95" s="1000"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8" t="s">
        <v>1835</v>
      </c>
      <c r="B96" s="379" t="s">
        <v>450</v>
      </c>
      <c r="C96" s="408">
        <f ca="1">ROUND(D63*D96/(1+'数据-取费表'!C42),0)</f>
        <v>69</v>
      </c>
      <c r="D96" s="409">
        <f>'数据-取费表'!B43</f>
        <v>6.000000000000001E-3</v>
      </c>
      <c r="E96" s="3465" t="s">
        <v>2428</v>
      </c>
      <c r="F96" s="3466"/>
      <c r="G96" s="3466"/>
      <c r="H96" s="3467"/>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5" t="s">
        <v>451</v>
      </c>
      <c r="C97" s="388">
        <f ca="1">C90-C91</f>
        <v>8908</v>
      </c>
      <c r="D97" s="381" t="s">
        <v>19</v>
      </c>
      <c r="E97" s="992"/>
      <c r="F97" s="991"/>
      <c r="G97" s="991"/>
      <c r="H97" s="397"/>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5" t="s">
        <v>452</v>
      </c>
      <c r="C98" s="410">
        <f ca="1">IF(C97&lt;=0,0,C97/C91)</f>
        <v>3.3615094339622642</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7"/>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90" t="s">
        <v>453</v>
      </c>
      <c r="C99" s="411">
        <f ca="1">ROUND(IF(C97&lt;=0,0,IF(C98&gt;=200%,C97*60%-C91*35%,IF(C98&gt;=100%,C97*50%-C91*15%,IF(C98&gt;=50%,C97*40%-C91*5%,IF(C98&lt;50%,C97*30%,0))))),0)</f>
        <v>4417</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478" t="s">
        <v>454</v>
      </c>
      <c r="B101" s="3479"/>
      <c r="C101" s="3479"/>
      <c r="D101" s="3479"/>
      <c r="E101" s="3479"/>
      <c r="F101" s="3479"/>
      <c r="G101" s="3479"/>
      <c r="H101" s="3479"/>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442" t="s">
        <v>428</v>
      </c>
      <c r="B102" s="3443"/>
      <c r="C102" s="995"/>
      <c r="D102" s="995" t="s">
        <v>429</v>
      </c>
      <c r="E102" s="394" t="s">
        <v>438</v>
      </c>
      <c r="F102" s="395"/>
      <c r="G102" s="395"/>
      <c r="H102" s="416"/>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4" t="s">
        <v>1824</v>
      </c>
      <c r="B103" s="385" t="s">
        <v>439</v>
      </c>
      <c r="C103" s="388">
        <f ca="1">ROUND(D63/(1+'数据-取费表'!C42),0)</f>
        <v>11558</v>
      </c>
      <c r="D103" s="381" t="s">
        <v>19</v>
      </c>
      <c r="E103" s="992"/>
      <c r="F103" s="991"/>
      <c r="G103" s="991"/>
      <c r="H103" s="417"/>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4" t="s">
        <v>1830</v>
      </c>
      <c r="B104" s="351" t="s">
        <v>440</v>
      </c>
      <c r="C104" s="388">
        <f ca="1">IF(H106="仅含出让金",C105+C108+C109+C110+C111+C112,C105+C109+C110+C111+C112)</f>
        <v>764</v>
      </c>
      <c r="D104" s="418"/>
      <c r="E104" s="992"/>
      <c r="F104" s="991"/>
      <c r="G104" s="991"/>
      <c r="H104" s="417"/>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8" t="s">
        <v>1831</v>
      </c>
      <c r="B105" s="379" t="s">
        <v>455</v>
      </c>
      <c r="C105" s="408">
        <f>C106+C107</f>
        <v>577</v>
      </c>
      <c r="D105" s="409"/>
      <c r="E105" s="986"/>
      <c r="F105" s="987"/>
      <c r="G105" s="987"/>
      <c r="H105" s="988"/>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8" t="s">
        <v>1832</v>
      </c>
      <c r="B106" s="379" t="s">
        <v>456</v>
      </c>
      <c r="C106" s="419">
        <v>555</v>
      </c>
      <c r="D106" s="409"/>
      <c r="E106" s="420" t="s">
        <v>457</v>
      </c>
      <c r="F106" s="987"/>
      <c r="G106" s="421" t="s">
        <v>458</v>
      </c>
      <c r="H106" s="422" t="s">
        <v>2439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8" t="s">
        <v>1833</v>
      </c>
      <c r="B107" s="379" t="s">
        <v>448</v>
      </c>
      <c r="C107" s="408">
        <f>ROUND(C106*D107,0)</f>
        <v>22</v>
      </c>
      <c r="D107" s="409">
        <f>'数据-取费表'!B48+'数据-取费表'!B49</f>
        <v>4.0500000000000001E-2</v>
      </c>
      <c r="E107" s="420" t="s">
        <v>459</v>
      </c>
      <c r="F107" s="987"/>
      <c r="G107" s="987"/>
      <c r="H107" s="988"/>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8" t="s">
        <v>1835</v>
      </c>
      <c r="B108" s="379" t="s">
        <v>460</v>
      </c>
      <c r="C108" s="419"/>
      <c r="D108" s="409"/>
      <c r="E108" s="420" t="str">
        <f>IF(H106="-","土地取得成本中已包含该笔费用"," ")</f>
        <v xml:space="preserve"> </v>
      </c>
      <c r="F108" s="987"/>
      <c r="G108" s="987"/>
      <c r="H108" s="988"/>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9" t="s">
        <v>461</v>
      </c>
      <c r="C109" s="408">
        <f>IF(H109="——",IF(F1="现房",'剩余法-现房'!C18,'剩余法-待开发'!C18),I109)</f>
        <v>55</v>
      </c>
      <c r="D109" s="409"/>
      <c r="E109" s="3468" t="s">
        <v>462</v>
      </c>
      <c r="F109" s="3466"/>
      <c r="G109" s="3466"/>
      <c r="H109" s="1942" t="s">
        <v>2279</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9" t="s">
        <v>463</v>
      </c>
      <c r="C110" s="408">
        <f>ROUND((C105+C108+C109)*D110,0)</f>
        <v>63</v>
      </c>
      <c r="D110" s="409">
        <v>0.1</v>
      </c>
      <c r="E110" s="3468" t="s">
        <v>464</v>
      </c>
      <c r="F110" s="3466"/>
      <c r="G110" s="3466"/>
      <c r="H110" s="3467"/>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9" t="s">
        <v>450</v>
      </c>
      <c r="C111" s="408">
        <f ca="1">ROUND(D63*D111/(1+'数据-取费表'!C42),0)</f>
        <v>69</v>
      </c>
      <c r="D111" s="409">
        <f>'数据-取费表'!B43</f>
        <v>6.000000000000001E-3</v>
      </c>
      <c r="E111" s="3465" t="s">
        <v>2428</v>
      </c>
      <c r="F111" s="3466"/>
      <c r="G111" s="3466"/>
      <c r="H111" s="3467"/>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9" t="s">
        <v>465</v>
      </c>
      <c r="C112" s="408">
        <f>ROUND(C108*D112,0)</f>
        <v>0</v>
      </c>
      <c r="D112" s="409">
        <v>0.2</v>
      </c>
      <c r="E112" s="3468" t="s">
        <v>2453</v>
      </c>
      <c r="F112" s="3466"/>
      <c r="G112" s="3466"/>
      <c r="H112" s="3467"/>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5" t="s">
        <v>451</v>
      </c>
      <c r="C113" s="388">
        <f ca="1">ROUND(C103-C104,0)</f>
        <v>10794</v>
      </c>
      <c r="D113" s="381" t="s">
        <v>19</v>
      </c>
      <c r="E113" s="992"/>
      <c r="F113" s="991"/>
      <c r="G113" s="991"/>
      <c r="H113" s="417"/>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5" t="s">
        <v>452</v>
      </c>
      <c r="C114" s="410">
        <f ca="1">IF(C113&lt;=0,0,C113/C104)</f>
        <v>14.1282722513089</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7"/>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90" t="s">
        <v>453</v>
      </c>
      <c r="C115" s="411">
        <f ca="1">ROUND(IF(C113&lt;=0,0,IF(C114&gt;=200%,C113*60%-C104*35%,IF(C114&gt;=100%,C113*50%-C104*15%,IF(C114&gt;=50%,C113*40%-C104*5%,IF(C114&lt;50%,C113*30%,0))))),0)</f>
        <v>6209</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4" t="s">
        <v>466</v>
      </c>
      <c r="B1" s="2836"/>
      <c r="C1" s="2105"/>
      <c r="D1" s="2105"/>
      <c r="E1" s="2105"/>
      <c r="F1" s="2105"/>
      <c r="G1" s="2105"/>
      <c r="H1" s="2105"/>
      <c r="I1" s="2105"/>
      <c r="J1" s="2105"/>
      <c r="K1" s="425">
        <f>MATCH(B1,'数据-取费表'!A6:A16,0)+5</f>
        <v>10</v>
      </c>
    </row>
    <row r="2" spans="1:41" s="2042" customFormat="1" ht="18" customHeight="1">
      <c r="A2" s="426" t="s">
        <v>467</v>
      </c>
      <c r="B2" s="427">
        <f ca="1">C32</f>
        <v>0</v>
      </c>
      <c r="C2" s="2105"/>
      <c r="D2" s="2105"/>
      <c r="E2" s="2105"/>
      <c r="F2" s="2105"/>
      <c r="G2" s="2105"/>
      <c r="H2" s="2105"/>
      <c r="I2" s="2105"/>
      <c r="J2" s="2105"/>
      <c r="K2" s="2105"/>
    </row>
    <row r="3" spans="1:41" s="2042" customFormat="1" ht="18" customHeight="1">
      <c r="A3" s="1379" t="s">
        <v>1685</v>
      </c>
      <c r="B3" s="428">
        <f ca="1">ROUND(B2*10000/IF(B1="",'数据-汇总表'!E3,INDIRECT("'数据-取费表'!K"&amp;$K$1)),0)</f>
        <v>0</v>
      </c>
      <c r="C3" s="2105"/>
      <c r="D3" s="2105"/>
      <c r="E3" s="2105"/>
      <c r="F3" s="2105"/>
      <c r="G3" s="2105"/>
      <c r="H3" s="2105"/>
      <c r="I3" s="2105"/>
      <c r="J3" s="2105"/>
      <c r="K3" s="2105"/>
    </row>
    <row r="4" spans="1:41" s="2042" customFormat="1" ht="18" customHeight="1">
      <c r="A4" s="429" t="s">
        <v>468</v>
      </c>
      <c r="B4" s="430">
        <f ca="1">ROUND(B2*10000/IF(B1="",'数据-汇总表'!D3,INDIRECT("'数据-取费表'!R"&amp;$K$1)),0)</f>
        <v>0</v>
      </c>
      <c r="C4" s="2062"/>
      <c r="D4" s="2105"/>
      <c r="E4" s="2105"/>
      <c r="F4" s="2105"/>
      <c r="G4" s="2105"/>
      <c r="H4" s="2105"/>
      <c r="I4" s="2105"/>
      <c r="J4" s="2105"/>
      <c r="K4" s="2105"/>
    </row>
    <row r="5" spans="1:41" s="2042" customFormat="1" ht="18" customHeight="1" thickBot="1">
      <c r="A5" s="432"/>
      <c r="B5" s="433">
        <f ca="1">ROUND(B2/(IF(B1="",'数据-汇总表'!D3,INDIRECT("'数据-取费表'!R"&amp;$K$1))/666.67),0)</f>
        <v>0</v>
      </c>
      <c r="C5" s="434" t="s">
        <v>469</v>
      </c>
      <c r="D5" s="2105"/>
      <c r="E5" s="2105"/>
      <c r="F5" s="2105"/>
      <c r="G5" s="2105"/>
      <c r="H5" s="2105"/>
      <c r="I5" s="2105"/>
      <c r="J5" s="2105"/>
      <c r="K5" s="2105"/>
    </row>
    <row r="6" spans="1:41" s="2112" customFormat="1" ht="16.5" customHeight="1">
      <c r="A6" s="435" t="s">
        <v>2655</v>
      </c>
      <c r="B6" s="436"/>
      <c r="C6" s="1623">
        <f>SUM(C10:K10)</f>
        <v>0</v>
      </c>
      <c r="D6" s="2110"/>
      <c r="E6" s="2110"/>
      <c r="F6" s="2110"/>
      <c r="G6" s="2110"/>
      <c r="H6" s="2110"/>
      <c r="I6" s="2110"/>
      <c r="J6" s="2110"/>
      <c r="K6" s="2111"/>
    </row>
    <row r="7" spans="1:41" s="2114" customFormat="1" ht="15">
      <c r="A7" s="437" t="s">
        <v>470</v>
      </c>
      <c r="B7" s="438" t="s">
        <v>471</v>
      </c>
      <c r="C7" s="439"/>
      <c r="D7" s="439"/>
      <c r="E7" s="439"/>
      <c r="F7" s="439"/>
      <c r="G7" s="439"/>
      <c r="H7" s="439"/>
      <c r="I7" s="439"/>
      <c r="J7" s="439"/>
      <c r="K7" s="440"/>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41" t="s">
        <v>472</v>
      </c>
      <c r="C8" s="442"/>
      <c r="D8" s="442"/>
      <c r="E8" s="442"/>
      <c r="F8" s="442"/>
      <c r="G8" s="442"/>
      <c r="H8" s="442"/>
      <c r="I8" s="442"/>
      <c r="J8" s="442"/>
      <c r="K8" s="443"/>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7" t="s">
        <v>470</v>
      </c>
      <c r="B12" s="447" t="s">
        <v>471</v>
      </c>
      <c r="C12" s="448" t="s">
        <v>475</v>
      </c>
      <c r="D12" s="449" t="s">
        <v>476</v>
      </c>
      <c r="E12" s="449" t="s">
        <v>477</v>
      </c>
      <c r="F12" s="449" t="s">
        <v>478</v>
      </c>
      <c r="G12" s="447"/>
      <c r="H12" s="450"/>
      <c r="I12" s="450"/>
      <c r="J12" s="450"/>
      <c r="K12" s="451"/>
    </row>
    <row r="13" spans="1:41" s="2117" customFormat="1" ht="13.5" customHeight="1">
      <c r="A13" s="1633" t="s">
        <v>1849</v>
      </c>
      <c r="B13" s="452" t="s">
        <v>479</v>
      </c>
      <c r="C13" s="453">
        <f ca="1">IF(B1="",'数据-取费表'!M16,INDIRECT("'数据-取费表'!M"&amp;$K$1)+INDIRECT("'数据-取费表'!t"&amp;$K$1))</f>
        <v>32479</v>
      </c>
      <c r="D13" s="454"/>
      <c r="E13" s="368"/>
      <c r="F13" s="455"/>
      <c r="G13" s="447"/>
      <c r="H13" s="450"/>
      <c r="I13" s="450"/>
      <c r="J13" s="450"/>
      <c r="K13" s="451"/>
    </row>
    <row r="14" spans="1:41" s="2117" customFormat="1" ht="13.5" customHeight="1">
      <c r="A14" s="1633" t="s">
        <v>1850</v>
      </c>
      <c r="B14" s="452" t="s">
        <v>480</v>
      </c>
      <c r="C14" s="53">
        <f ca="1">ROUND(C13*F14,0)</f>
        <v>1624</v>
      </c>
      <c r="D14" s="454"/>
      <c r="E14" s="368"/>
      <c r="F14" s="456">
        <f>'数据-取费表'!B33</f>
        <v>0.05</v>
      </c>
      <c r="G14" s="447" t="s">
        <v>503</v>
      </c>
      <c r="H14" s="450"/>
      <c r="I14" s="450"/>
      <c r="J14" s="450"/>
      <c r="K14" s="451"/>
    </row>
    <row r="15" spans="1:41" s="2117" customFormat="1" ht="13.5" customHeight="1">
      <c r="A15" s="1633" t="s">
        <v>1851</v>
      </c>
      <c r="B15" s="452" t="s">
        <v>482</v>
      </c>
      <c r="C15" s="53">
        <f ca="1">ROUND(IF(B1="",SUMIF('数据-取费表'!C:C,"住宅",'数据-取费表'!M:M)*F15,IF(INDIRECT("'数据-取费表'!c"&amp;$K$1)="住宅",INDIRECT("'数据-取费表'!M"&amp;$K$1)*F15,0)),0)</f>
        <v>2562</v>
      </c>
      <c r="D15" s="454"/>
      <c r="E15" s="368"/>
      <c r="F15" s="456">
        <f>'数据-取费表'!B34</f>
        <v>0.1</v>
      </c>
      <c r="G15" s="447" t="s">
        <v>503</v>
      </c>
      <c r="H15" s="450"/>
      <c r="I15" s="450"/>
      <c r="J15" s="450"/>
      <c r="K15" s="451"/>
    </row>
    <row r="16" spans="1:41" s="2118" customFormat="1" ht="13.5" customHeight="1">
      <c r="A16" s="1633" t="s">
        <v>1852</v>
      </c>
      <c r="B16" s="452" t="s">
        <v>484</v>
      </c>
      <c r="C16" s="53">
        <f ca="1">ROUND(D16*E16/10000,0)</f>
        <v>4575</v>
      </c>
      <c r="D16" s="454">
        <f ca="1">IF(B1="",'数据-汇总表'!E3,INDIRECT("'数据-取费表'!K"&amp;$K$1)+INDIRECT("'数据-取费表'!S"&amp;$K$1))</f>
        <v>114363</v>
      </c>
      <c r="E16" s="53">
        <f>'数据-取费表'!B35</f>
        <v>400</v>
      </c>
      <c r="F16" s="456"/>
      <c r="G16" s="447"/>
      <c r="H16" s="450"/>
      <c r="I16" s="450"/>
      <c r="J16" s="450"/>
      <c r="K16" s="451"/>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52" t="s">
        <v>485</v>
      </c>
      <c r="C17" s="457">
        <f ca="1">ROUND(C13*F17,0)</f>
        <v>487</v>
      </c>
      <c r="D17" s="458"/>
      <c r="E17" s="457"/>
      <c r="F17" s="459">
        <f>'数据-取费表'!B36</f>
        <v>1.4999999999999999E-2</v>
      </c>
      <c r="G17" s="447" t="s">
        <v>503</v>
      </c>
      <c r="H17" s="460"/>
      <c r="I17" s="460"/>
      <c r="J17" s="460"/>
      <c r="K17" s="461"/>
    </row>
    <row r="18" spans="1:14" s="2120" customFormat="1" ht="13.5" customHeight="1">
      <c r="A18" s="1634" t="s">
        <v>1854</v>
      </c>
      <c r="B18" s="462" t="s">
        <v>487</v>
      </c>
      <c r="C18" s="463">
        <f ca="1">SUM(C13:C17)</f>
        <v>41727</v>
      </c>
      <c r="D18" s="464"/>
      <c r="E18" s="465"/>
      <c r="F18" s="465"/>
      <c r="G18" s="1327" t="s">
        <v>2432</v>
      </c>
      <c r="H18" s="450"/>
      <c r="I18" s="450"/>
      <c r="J18" s="450"/>
      <c r="K18" s="451"/>
    </row>
    <row r="19" spans="1:14" s="2120" customFormat="1" ht="13.5" customHeight="1">
      <c r="A19" s="1634" t="s">
        <v>1855</v>
      </c>
      <c r="B19" s="462" t="s">
        <v>493</v>
      </c>
      <c r="C19" s="463">
        <f ca="1">ROUND(C18*F19,0)</f>
        <v>626</v>
      </c>
      <c r="D19" s="465"/>
      <c r="E19" s="465"/>
      <c r="F19" s="469">
        <f>'数据-取费表'!B37</f>
        <v>1.4999999999999999E-2</v>
      </c>
      <c r="G19" s="447" t="s">
        <v>504</v>
      </c>
      <c r="H19" s="450"/>
      <c r="I19" s="450"/>
      <c r="J19" s="450"/>
      <c r="K19" s="451"/>
      <c r="L19" s="2122"/>
      <c r="M19" s="2122"/>
      <c r="N19" s="2122"/>
    </row>
    <row r="20" spans="1:14" s="2120" customFormat="1" ht="13.5" customHeight="1">
      <c r="A20" s="1634" t="s">
        <v>1856</v>
      </c>
      <c r="B20" s="462" t="s">
        <v>505</v>
      </c>
      <c r="C20" s="3057">
        <f>F20</f>
        <v>0.03</v>
      </c>
      <c r="D20" s="472" t="s">
        <v>506</v>
      </c>
      <c r="E20" s="472"/>
      <c r="F20" s="489">
        <f>'数据-取费表'!B38</f>
        <v>0.03</v>
      </c>
      <c r="G20" s="1327" t="s">
        <v>507</v>
      </c>
      <c r="H20" s="450"/>
      <c r="I20" s="450"/>
      <c r="J20" s="450"/>
      <c r="K20" s="451"/>
      <c r="L20" s="2122"/>
      <c r="M20" s="2122"/>
      <c r="N20" s="2122"/>
    </row>
    <row r="21" spans="1:14" s="2122" customFormat="1" ht="13.5" customHeight="1">
      <c r="A21" s="1634" t="s">
        <v>1859</v>
      </c>
      <c r="B21" s="464" t="s">
        <v>494</v>
      </c>
      <c r="C21" s="473">
        <f ca="1">C22</f>
        <v>4119</v>
      </c>
      <c r="D21" s="470">
        <f ca="1">C23</f>
        <v>2.8999999999999998E-3</v>
      </c>
      <c r="E21" s="472" t="s">
        <v>508</v>
      </c>
      <c r="F21" s="474">
        <f ca="1">'数据-取费表'!B40</f>
        <v>4.7500000000000001E-2</v>
      </c>
      <c r="G21" s="1327" t="str">
        <f>IF('数据-取费表'!B22&lt;=1,"单利计息。","复利计息。")&amp;"建造成本、管理费用及销售费用产生的利息。"</f>
        <v>复利计息。建造成本、管理费用及销售费用产生的利息。</v>
      </c>
      <c r="H21" s="450"/>
      <c r="I21" s="450"/>
      <c r="J21" s="450"/>
      <c r="K21" s="451"/>
      <c r="L21" s="2119" t="s">
        <v>2454</v>
      </c>
    </row>
    <row r="22" spans="1:14" s="2121" customFormat="1" ht="13.5" customHeight="1">
      <c r="A22" s="1633" t="s">
        <v>1849</v>
      </c>
      <c r="B22" s="1328" t="s">
        <v>2435</v>
      </c>
      <c r="C22" s="490">
        <f ca="1">ROUND(IF('数据-取费表'!B22&lt;=1,(C18+C19)*F21*'数据-取费表'!B20/2,(C18+C19)*(POWER((1+F21),'数据-取费表'!B20/2)-1)),0)</f>
        <v>4119</v>
      </c>
      <c r="D22" s="475"/>
      <c r="E22" s="476"/>
      <c r="F22" s="477"/>
      <c r="G22" s="2592" t="str">
        <f>IF('数据-取费表'!B22&lt;=1,"((1)+(2))×年利率×建设期÷2","((1)+(2))×((1+年利率)^(建设期÷2)-1)")</f>
        <v>((1)+(2))×((1+年利率)^(建设期÷2)-1)</v>
      </c>
      <c r="H22" s="460"/>
      <c r="I22" s="460"/>
      <c r="J22" s="460"/>
      <c r="K22" s="461"/>
    </row>
    <row r="23" spans="1:14" s="2121" customFormat="1" ht="13.5" customHeight="1">
      <c r="A23" s="1633" t="s">
        <v>1850</v>
      </c>
      <c r="B23" s="1328" t="s">
        <v>509</v>
      </c>
      <c r="C23" s="491">
        <f ca="1">ROUND(IF('数据-取费表'!B22&lt;=1,F20*F21*'数据-取费表'!B20/2,F20*(POWER((1+F21),'数据-取费表'!B20/2)-1)),4)</f>
        <v>2.8999999999999998E-3</v>
      </c>
      <c r="D23" s="475"/>
      <c r="E23" s="476"/>
      <c r="F23" s="477"/>
      <c r="G23" s="2592" t="str">
        <f>IF('数据-取费表'!B22&lt;=1,"销售费用率×年利率×建设期÷2","销售费用率×((1+年利率)^(建设期÷2)-1)")</f>
        <v>销售费用率×((1+年利率)^(建设期÷2)-1)</v>
      </c>
      <c r="H23" s="460"/>
      <c r="I23" s="460"/>
      <c r="J23" s="460"/>
      <c r="K23" s="461"/>
    </row>
    <row r="24" spans="1:14" s="2121" customFormat="1" ht="13.5" customHeight="1">
      <c r="A24" s="1634" t="s">
        <v>1860</v>
      </c>
      <c r="B24" s="3059" t="s">
        <v>2835</v>
      </c>
      <c r="C24" s="481">
        <f ca="1">C25</f>
        <v>9741</v>
      </c>
      <c r="D24" s="492">
        <f ca="1">C26</f>
        <v>6.8999999999999999E-3</v>
      </c>
      <c r="E24" s="472" t="s">
        <v>508</v>
      </c>
      <c r="F24" s="482">
        <f ca="1">IF(B1="",'数据-取费表'!Q16,INDIRECT("'数据-取费表'!q"&amp;$K$1))</f>
        <v>0.23</v>
      </c>
      <c r="G24" s="447"/>
      <c r="H24" s="450"/>
      <c r="I24" s="450"/>
      <c r="J24" s="450"/>
      <c r="K24" s="451"/>
    </row>
    <row r="25" spans="1:14" s="2121" customFormat="1" ht="13.5" customHeight="1">
      <c r="A25" s="1633" t="s">
        <v>1849</v>
      </c>
      <c r="B25" s="1328" t="s">
        <v>2436</v>
      </c>
      <c r="C25" s="493">
        <f ca="1">ROUND((C18+C19)*F24,0)</f>
        <v>9741</v>
      </c>
      <c r="D25" s="475"/>
      <c r="E25" s="476"/>
      <c r="F25" s="483"/>
      <c r="G25" s="1326" t="s">
        <v>2433</v>
      </c>
      <c r="H25" s="460"/>
      <c r="I25" s="460"/>
      <c r="J25" s="460"/>
      <c r="K25" s="461"/>
    </row>
    <row r="26" spans="1:14" s="2121" customFormat="1" ht="13.5" customHeight="1">
      <c r="A26" s="1633" t="s">
        <v>1850</v>
      </c>
      <c r="B26" s="1328" t="s">
        <v>510</v>
      </c>
      <c r="C26" s="494">
        <f ca="1">ROUND(F20*F24,4)</f>
        <v>6.8999999999999999E-3</v>
      </c>
      <c r="D26" s="475"/>
      <c r="E26" s="484"/>
      <c r="F26" s="483"/>
      <c r="G26" s="1326" t="s">
        <v>511</v>
      </c>
      <c r="H26" s="460"/>
      <c r="I26" s="460"/>
      <c r="J26" s="460"/>
      <c r="K26" s="461"/>
    </row>
    <row r="27" spans="1:14" s="2121" customFormat="1" ht="13.5" customHeight="1">
      <c r="A27" s="1637" t="s">
        <v>1868</v>
      </c>
      <c r="B27" s="462" t="s">
        <v>512</v>
      </c>
      <c r="C27" s="3058">
        <f>ROUND(F27/(1+'数据-取费表'!C42),4)</f>
        <v>5.33E-2</v>
      </c>
      <c r="D27" s="465" t="s">
        <v>2833</v>
      </c>
      <c r="E27" s="465"/>
      <c r="F27" s="469">
        <f>'数据-取费表'!B41</f>
        <v>5.6000000000000001E-2</v>
      </c>
      <c r="G27" s="1961" t="s">
        <v>2291</v>
      </c>
      <c r="H27" s="450"/>
      <c r="I27" s="450"/>
      <c r="J27" s="450"/>
      <c r="K27" s="451"/>
    </row>
    <row r="28" spans="1:14" s="2122" customFormat="1" ht="13.5" customHeight="1">
      <c r="A28" s="1637" t="s">
        <v>1869</v>
      </c>
      <c r="B28" s="479" t="s">
        <v>513</v>
      </c>
      <c r="C28" s="473">
        <f ca="1">ROUND((C18+C19+C21+C24)/(1-C20-D21-D24-C27),0)</f>
        <v>61984</v>
      </c>
      <c r="D28" s="480"/>
      <c r="E28" s="472"/>
      <c r="F28" s="474"/>
      <c r="G28" s="1327" t="s">
        <v>2434</v>
      </c>
      <c r="H28" s="450"/>
      <c r="I28" s="450"/>
      <c r="J28" s="450"/>
      <c r="K28" s="451"/>
    </row>
    <row r="29" spans="1:14" s="2122" customFormat="1" ht="13.5" customHeight="1">
      <c r="A29" s="1637" t="s">
        <v>1870</v>
      </c>
      <c r="B29" s="479" t="s">
        <v>514</v>
      </c>
      <c r="C29" s="495">
        <f ca="1">IF(B1="",'数据-取费表'!N16,INDIRECT("'数据-取费表'!N"&amp;$K$1))</f>
        <v>0</v>
      </c>
      <c r="D29" s="496"/>
      <c r="E29" s="497"/>
      <c r="F29" s="498"/>
      <c r="G29" s="447"/>
      <c r="H29" s="450"/>
      <c r="I29" s="450"/>
      <c r="J29" s="450"/>
      <c r="K29" s="451"/>
    </row>
    <row r="30" spans="1:14" s="2122" customFormat="1" ht="13.5" customHeight="1">
      <c r="A30" s="446">
        <v>2</v>
      </c>
      <c r="B30" s="479" t="s">
        <v>515</v>
      </c>
      <c r="C30" s="500">
        <f ca="1">ROUND(C28*C29,0)</f>
        <v>0</v>
      </c>
      <c r="D30" s="496"/>
      <c r="E30" s="501"/>
      <c r="F30" s="502"/>
      <c r="G30" s="1329" t="s">
        <v>516</v>
      </c>
      <c r="H30" s="499"/>
      <c r="I30" s="499"/>
      <c r="J30" s="450"/>
      <c r="K30" s="451"/>
    </row>
    <row r="31" spans="1:14" s="2127" customFormat="1" ht="13.5" customHeight="1">
      <c r="A31" s="2507" t="s">
        <v>1866</v>
      </c>
      <c r="B31" s="1330"/>
      <c r="C31" s="503">
        <f>ROUND(C6*F31/(1+'数据-取费表'!C42),0)</f>
        <v>0</v>
      </c>
      <c r="D31" s="1331"/>
      <c r="E31" s="1331"/>
      <c r="F31" s="504">
        <f>'数据-取费表'!B41</f>
        <v>5.6000000000000001E-2</v>
      </c>
      <c r="G31" s="1332"/>
      <c r="H31" s="1332"/>
      <c r="I31" s="1332"/>
      <c r="J31" s="1333"/>
      <c r="K31" s="1334"/>
    </row>
    <row r="32" spans="1:14" s="2086" customFormat="1" ht="13.5" customHeight="1" thickBot="1">
      <c r="A32" s="485" t="s">
        <v>1867</v>
      </c>
      <c r="B32" s="486"/>
      <c r="C32" s="487">
        <f ca="1">IF('数据-取费表'!B20&lt;=1,(C6-C30-C31)/(1+F21*'数据-取费表'!B20+F24)/(1+'数据-取费表'!B48+'数据-取费表'!B49),(C6-C30-C31)/(1+(POWER((1+F21),'数据-取费表'!B20)-1)+F24)/(1+'数据-取费表'!B48+'数据-取费表'!B49))</f>
        <v>0</v>
      </c>
      <c r="D32" s="486"/>
      <c r="E32" s="486"/>
      <c r="F32" s="486"/>
      <c r="G32" s="2508" t="s">
        <v>2455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zoomScale="80" zoomScaleNormal="95" zoomScaleSheetLayoutView="80" workbookViewId="0">
      <selection activeCell="M13" sqref="M1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5" t="s">
        <v>517</v>
      </c>
      <c r="B1" s="506"/>
      <c r="C1" s="507" t="s">
        <v>518</v>
      </c>
      <c r="D1" s="508" t="s">
        <v>519</v>
      </c>
      <c r="E1" s="509"/>
      <c r="F1" s="431"/>
      <c r="G1" s="509"/>
      <c r="H1" s="509"/>
      <c r="I1" s="509"/>
      <c r="J1" s="509"/>
      <c r="K1" s="510"/>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6" t="s">
        <v>467</v>
      </c>
      <c r="B2" s="511">
        <f>F68</f>
        <v>6717</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3">
        <f>ROUND(B2*10000/'数据-汇总表'!E3,0)</f>
        <v>587</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31"/>
    </row>
    <row r="4" spans="1:30" s="1336" customFormat="1" ht="28.5" customHeight="1">
      <c r="A4" s="514" t="s">
        <v>521</v>
      </c>
      <c r="B4" s="430">
        <f>IF(B48="单位面积地价",C50,ROUND(B2*10000/'数据-汇总表'!D3,0))</f>
        <v>881</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31"/>
    </row>
    <row r="5" spans="1:30" s="1336" customFormat="1" ht="28.5" customHeight="1" thickBot="1">
      <c r="A5" s="432"/>
      <c r="B5" s="433">
        <f>ROUND(B2/('数据-汇总表'!D3/666.67),0)</f>
        <v>59</v>
      </c>
      <c r="C5" s="434"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31"/>
    </row>
    <row r="6" spans="1:30" ht="20.25">
      <c r="A6" s="515" t="s">
        <v>522</v>
      </c>
      <c r="B6" s="516"/>
      <c r="C6" s="3523" t="s">
        <v>523</v>
      </c>
      <c r="D6" s="3524"/>
      <c r="E6" s="3523" t="s">
        <v>524</v>
      </c>
      <c r="F6" s="3524"/>
      <c r="G6" s="3523" t="s">
        <v>525</v>
      </c>
      <c r="H6" s="3524"/>
      <c r="I6" s="3523" t="s">
        <v>526</v>
      </c>
      <c r="J6" s="3524"/>
      <c r="K6" s="517" t="s">
        <v>527</v>
      </c>
      <c r="L6" s="2134"/>
      <c r="M6" s="2133"/>
      <c r="N6" s="2133"/>
      <c r="O6" s="2135"/>
      <c r="P6" s="3525" t="s">
        <v>528</v>
      </c>
      <c r="Q6" s="3526"/>
      <c r="R6" s="3511" t="s">
        <v>524</v>
      </c>
      <c r="S6" s="3512"/>
      <c r="T6" s="3511" t="s">
        <v>525</v>
      </c>
      <c r="U6" s="3512"/>
      <c r="V6" s="3531" t="s">
        <v>526</v>
      </c>
      <c r="W6" s="3531"/>
      <c r="X6" s="1567"/>
      <c r="Y6" s="3511" t="s">
        <v>528</v>
      </c>
      <c r="Z6" s="3512"/>
      <c r="AA6" s="3506" t="s">
        <v>524</v>
      </c>
      <c r="AB6" s="3507" t="s">
        <v>525</v>
      </c>
      <c r="AC6" s="3506" t="s">
        <v>526</v>
      </c>
    </row>
    <row r="7" spans="1:30" ht="48.75" customHeight="1">
      <c r="A7" s="518"/>
      <c r="B7" s="519"/>
      <c r="C7" s="3534" t="s">
        <v>2924</v>
      </c>
      <c r="D7" s="3535"/>
      <c r="E7" s="3534" t="str">
        <f>土地案例!A5</f>
        <v>大理海东新城中心片区沐月街以西</v>
      </c>
      <c r="F7" s="3535"/>
      <c r="G7" s="3534" t="str">
        <f>土地案例!A6</f>
        <v>大理海东新城中心片区</v>
      </c>
      <c r="H7" s="3535"/>
      <c r="I7" s="3534" t="str">
        <f>土地案例!A15</f>
        <v>菠萝山机场路以东、海东新城景悦路以北</v>
      </c>
      <c r="J7" s="3535"/>
      <c r="K7" s="517"/>
      <c r="L7" s="2134"/>
      <c r="M7" s="2133"/>
      <c r="N7" s="2133"/>
      <c r="O7" s="2135"/>
      <c r="P7" s="3527"/>
      <c r="Q7" s="3528"/>
      <c r="R7" s="3513"/>
      <c r="S7" s="3514"/>
      <c r="T7" s="3513"/>
      <c r="U7" s="3514"/>
      <c r="V7" s="3531"/>
      <c r="W7" s="3531"/>
      <c r="X7" s="1567"/>
      <c r="Y7" s="3513"/>
      <c r="Z7" s="3514"/>
      <c r="AA7" s="3507"/>
      <c r="AB7" s="3507"/>
      <c r="AC7" s="3507"/>
    </row>
    <row r="8" spans="1:30" ht="21" thickBot="1">
      <c r="A8" s="518"/>
      <c r="B8" s="519"/>
      <c r="C8" s="3536" t="s">
        <v>2928</v>
      </c>
      <c r="D8" s="3537"/>
      <c r="E8" s="3536" t="s">
        <v>2928</v>
      </c>
      <c r="F8" s="3537"/>
      <c r="G8" s="3538" t="s">
        <v>3286</v>
      </c>
      <c r="H8" s="3533"/>
      <c r="I8" s="3532" t="s">
        <v>2928</v>
      </c>
      <c r="J8" s="3533"/>
      <c r="K8" s="517" t="s">
        <v>529</v>
      </c>
      <c r="L8" s="2134"/>
      <c r="M8" s="2133"/>
      <c r="N8" s="2133"/>
      <c r="O8" s="2135"/>
      <c r="P8" s="3529"/>
      <c r="Q8" s="3530"/>
      <c r="R8" s="3513"/>
      <c r="S8" s="3514"/>
      <c r="T8" s="3515"/>
      <c r="U8" s="3516"/>
      <c r="V8" s="3531"/>
      <c r="W8" s="3531"/>
      <c r="X8" s="1567"/>
      <c r="Y8" s="3515"/>
      <c r="Z8" s="3516"/>
      <c r="AA8" s="3508"/>
      <c r="AB8" s="3508"/>
      <c r="AC8" s="3508"/>
    </row>
    <row r="9" spans="1:30" s="1220" customFormat="1" ht="21" thickBot="1">
      <c r="A9" s="2939"/>
      <c r="B9" s="2946" t="s">
        <v>530</v>
      </c>
      <c r="C9" s="2938">
        <f>'数据-取费表'!B2</f>
        <v>43052</v>
      </c>
      <c r="D9" s="523">
        <v>100</v>
      </c>
      <c r="E9" s="524" t="str">
        <f>土地案例!H5</f>
        <v>2017-06-02</v>
      </c>
      <c r="F9" s="525">
        <f>SUMIF(72:72,YEAR(E9)&amp;"-"&amp;INT((MONTH(E9)+2)/3),73:73)</f>
        <v>100</v>
      </c>
      <c r="G9" s="526" t="str">
        <f>土地案例!H6</f>
        <v>2016-11-17</v>
      </c>
      <c r="H9" s="523">
        <f>SUMIF(72:72,YEAR(G9)&amp;"-"&amp;INT((MONTH(G9)+2)/3),73:73)</f>
        <v>100</v>
      </c>
      <c r="I9" s="526" t="str">
        <f>土地案例!H15</f>
        <v>2015-09-02</v>
      </c>
      <c r="J9" s="523">
        <f>SUMIF(72:72,YEAR(I9)&amp;"-"&amp;INT((MONTH(I9)+2)/3),73:73)</f>
        <v>100</v>
      </c>
      <c r="K9" s="527"/>
      <c r="L9" s="2136"/>
      <c r="M9" s="2133"/>
      <c r="N9" s="2133"/>
      <c r="O9" s="2137"/>
      <c r="P9" s="3509" t="s">
        <v>531</v>
      </c>
      <c r="Q9" s="3518"/>
      <c r="R9" s="1568" t="s">
        <v>8</v>
      </c>
      <c r="S9" s="1569">
        <f t="shared" ref="S9:S17" si="0">F9</f>
        <v>100</v>
      </c>
      <c r="T9" s="1568" t="s">
        <v>8</v>
      </c>
      <c r="U9" s="1569">
        <f t="shared" ref="U9:U17" si="1">H9</f>
        <v>100</v>
      </c>
      <c r="V9" s="1568" t="s">
        <v>8</v>
      </c>
      <c r="W9" s="1569">
        <f t="shared" ref="W9:W17" si="2">J9</f>
        <v>100</v>
      </c>
      <c r="X9" s="1570"/>
      <c r="Y9" s="3509" t="s">
        <v>531</v>
      </c>
      <c r="Z9" s="3510"/>
      <c r="AA9" s="1571">
        <f>D9/F9</f>
        <v>1</v>
      </c>
      <c r="AB9" s="1571">
        <f>D9/H9</f>
        <v>1</v>
      </c>
      <c r="AC9" s="1571">
        <f>D9/J9</f>
        <v>1</v>
      </c>
    </row>
    <row r="10" spans="1:30" s="1220" customFormat="1" ht="21" thickBot="1">
      <c r="A10" s="2940"/>
      <c r="B10" s="2947" t="s">
        <v>532</v>
      </c>
      <c r="C10" s="858" t="s">
        <v>533</v>
      </c>
      <c r="D10" s="523">
        <v>100</v>
      </c>
      <c r="E10" s="528" t="s">
        <v>3023</v>
      </c>
      <c r="F10" s="525">
        <f>SUMIF(75:75,E10,76:76)-SUMIF(75:75,C10,76:76)+100</f>
        <v>100</v>
      </c>
      <c r="G10" s="528" t="s">
        <v>3023</v>
      </c>
      <c r="H10" s="523">
        <f>SUMIF(75:75,G10,76:76)-SUMIF(75:75,C10,76:76)+100</f>
        <v>100</v>
      </c>
      <c r="I10" s="528" t="s">
        <v>3023</v>
      </c>
      <c r="J10" s="523">
        <f>SUMIF(75:75,I10,76:76)-SUMIF(75:75,C10,76:76)+100</f>
        <v>100</v>
      </c>
      <c r="K10" s="527"/>
      <c r="L10" s="2136"/>
      <c r="M10" s="2133"/>
      <c r="N10" s="2133"/>
      <c r="O10" s="2137"/>
      <c r="P10" s="3509" t="s">
        <v>534</v>
      </c>
      <c r="Q10" s="3510"/>
      <c r="R10" s="1568" t="s">
        <v>8</v>
      </c>
      <c r="S10" s="1569">
        <f t="shared" si="0"/>
        <v>100</v>
      </c>
      <c r="T10" s="1568" t="s">
        <v>8</v>
      </c>
      <c r="U10" s="1569">
        <f t="shared" si="1"/>
        <v>100</v>
      </c>
      <c r="V10" s="1568" t="s">
        <v>8</v>
      </c>
      <c r="W10" s="1569">
        <f t="shared" si="2"/>
        <v>100</v>
      </c>
      <c r="X10" s="1570"/>
      <c r="Y10" s="3509" t="s">
        <v>534</v>
      </c>
      <c r="Z10" s="3510"/>
      <c r="AA10" s="1571">
        <f t="shared" ref="AA10:AA47" si="3">D10/F10</f>
        <v>1</v>
      </c>
      <c r="AB10" s="1571">
        <f t="shared" ref="AB10:AB47" si="4">D10/H10</f>
        <v>1</v>
      </c>
      <c r="AC10" s="1571">
        <f t="shared" ref="AC10:AC47" si="5">D10/J10</f>
        <v>1</v>
      </c>
    </row>
    <row r="11" spans="1:30" s="1220" customFormat="1" ht="20.25">
      <c r="A11" s="2941"/>
      <c r="B11" s="2948" t="s">
        <v>2759</v>
      </c>
      <c r="C11" s="2935" t="s">
        <v>923</v>
      </c>
      <c r="D11" s="254">
        <v>100</v>
      </c>
      <c r="E11" s="2935" t="s">
        <v>923</v>
      </c>
      <c r="F11" s="254">
        <f>SUMIF(77:77,E11,78:78)-SUMIF(77:77,C11,78:78)+100</f>
        <v>100</v>
      </c>
      <c r="G11" s="2935" t="s">
        <v>923</v>
      </c>
      <c r="H11" s="254">
        <f>SUMIF(77:77,G11,78:78)-SUMIF(77:77,C11,78:78)+100</f>
        <v>100</v>
      </c>
      <c r="I11" s="2935" t="s">
        <v>923</v>
      </c>
      <c r="J11" s="254">
        <f>SUMIF(77:77,I11,78:78)-SUMIF(77:77,C11,78:78)+100</f>
        <v>100</v>
      </c>
      <c r="K11" s="527"/>
      <c r="L11" s="2136"/>
      <c r="M11" s="2133"/>
      <c r="N11" s="2133"/>
      <c r="O11" s="2138"/>
      <c r="P11" s="3517" t="s">
        <v>536</v>
      </c>
      <c r="Q11" s="1151" t="str">
        <f t="shared" ref="Q11:Q17" si="6">B11</f>
        <v>用途</v>
      </c>
      <c r="R11" s="1568" t="s">
        <v>8</v>
      </c>
      <c r="S11" s="1569">
        <f t="shared" si="0"/>
        <v>100</v>
      </c>
      <c r="T11" s="1568" t="s">
        <v>8</v>
      </c>
      <c r="U11" s="1569">
        <f t="shared" si="1"/>
        <v>100</v>
      </c>
      <c r="V11" s="1568" t="s">
        <v>8</v>
      </c>
      <c r="W11" s="1569">
        <f t="shared" si="2"/>
        <v>100</v>
      </c>
      <c r="X11" s="1570"/>
      <c r="Y11" s="3474" t="s">
        <v>537</v>
      </c>
      <c r="Z11" s="1150" t="str">
        <f t="shared" ref="Z11:Z17" si="7">Q11</f>
        <v>用途</v>
      </c>
      <c r="AA11" s="1571">
        <f t="shared" si="3"/>
        <v>1</v>
      </c>
      <c r="AB11" s="1571">
        <f t="shared" si="4"/>
        <v>1</v>
      </c>
      <c r="AC11" s="1571">
        <f t="shared" si="5"/>
        <v>1</v>
      </c>
    </row>
    <row r="12" spans="1:30" s="1338" customFormat="1" ht="27">
      <c r="A12" s="2942"/>
      <c r="B12" s="2947" t="s">
        <v>2760</v>
      </c>
      <c r="C12" s="911"/>
      <c r="D12" s="255">
        <v>100</v>
      </c>
      <c r="E12" s="532"/>
      <c r="F12" s="255">
        <f>ROUND(100/'数据-取费表'!G16,0)</f>
        <v>101</v>
      </c>
      <c r="G12" s="533"/>
      <c r="H12" s="255">
        <f>ROUND(100/'数据-取费表'!G16,0)</f>
        <v>101</v>
      </c>
      <c r="I12" s="533"/>
      <c r="J12" s="255">
        <f>ROUND(100/'数据-取费表'!G16,0)</f>
        <v>101</v>
      </c>
      <c r="K12" s="534"/>
      <c r="L12" s="2139"/>
      <c r="M12" s="2133"/>
      <c r="N12" s="2133"/>
      <c r="O12" s="2140"/>
      <c r="P12" s="3517"/>
      <c r="Q12" s="1151" t="str">
        <f t="shared" si="6"/>
        <v>土地使用年限（年）</v>
      </c>
      <c r="R12" s="1568" t="s">
        <v>8</v>
      </c>
      <c r="S12" s="1569">
        <f t="shared" si="0"/>
        <v>101</v>
      </c>
      <c r="T12" s="1568" t="s">
        <v>8</v>
      </c>
      <c r="U12" s="1569">
        <f t="shared" si="1"/>
        <v>101</v>
      </c>
      <c r="V12" s="1568" t="s">
        <v>8</v>
      </c>
      <c r="W12" s="1569">
        <f t="shared" si="2"/>
        <v>101</v>
      </c>
      <c r="X12" s="1570"/>
      <c r="Y12" s="3474"/>
      <c r="Z12" s="1150" t="str">
        <f t="shared" si="7"/>
        <v>土地使用年限（年）</v>
      </c>
      <c r="AA12" s="1571">
        <f t="shared" si="3"/>
        <v>0.99009900990099009</v>
      </c>
      <c r="AB12" s="1571">
        <f t="shared" si="4"/>
        <v>0.99009900990099009</v>
      </c>
      <c r="AC12" s="1571">
        <f t="shared" si="5"/>
        <v>0.99009900990099009</v>
      </c>
    </row>
    <row r="13" spans="1:30" ht="21" thickBot="1">
      <c r="A13" s="2943"/>
      <c r="B13" s="2947" t="s">
        <v>2761</v>
      </c>
      <c r="C13" s="537">
        <f>'数据-汇总表'!I6</f>
        <v>1.5</v>
      </c>
      <c r="D13" s="255">
        <v>100</v>
      </c>
      <c r="E13" s="536">
        <v>3</v>
      </c>
      <c r="F13" s="255">
        <f>LOOKUP(E13,82:82,83:83)-LOOKUP(C13,82:82,83:83)+100</f>
        <v>115</v>
      </c>
      <c r="G13" s="537">
        <v>1.8</v>
      </c>
      <c r="H13" s="255">
        <f>LOOKUP(G13,82:82,83:83)-LOOKUP(C13,82:82,83:83)+100</f>
        <v>100</v>
      </c>
      <c r="I13" s="536">
        <v>2.6</v>
      </c>
      <c r="J13" s="255">
        <f>LOOKUP(I13,82:82,83:83)-LOOKUP(C13,82:82,83:83)+100</f>
        <v>110</v>
      </c>
      <c r="K13" s="538">
        <v>5</v>
      </c>
      <c r="L13" s="2141"/>
      <c r="M13" s="2133"/>
      <c r="N13" s="2133"/>
      <c r="O13" s="2142"/>
      <c r="P13" s="3517"/>
      <c r="Q13" s="1151" t="str">
        <f t="shared" si="6"/>
        <v>容积率</v>
      </c>
      <c r="R13" s="1568" t="s">
        <v>8</v>
      </c>
      <c r="S13" s="1569">
        <f t="shared" si="0"/>
        <v>115</v>
      </c>
      <c r="T13" s="1568" t="s">
        <v>8</v>
      </c>
      <c r="U13" s="1569">
        <f t="shared" si="1"/>
        <v>100</v>
      </c>
      <c r="V13" s="1568" t="s">
        <v>8</v>
      </c>
      <c r="W13" s="1569">
        <f t="shared" si="2"/>
        <v>110</v>
      </c>
      <c r="X13" s="1570"/>
      <c r="Y13" s="3474"/>
      <c r="Z13" s="1150" t="str">
        <f t="shared" si="7"/>
        <v>容积率</v>
      </c>
      <c r="AA13" s="1571">
        <f t="shared" si="3"/>
        <v>0.86956521739130432</v>
      </c>
      <c r="AB13" s="1571">
        <f t="shared" si="4"/>
        <v>1</v>
      </c>
      <c r="AC13" s="1571">
        <f t="shared" si="5"/>
        <v>0.90909090909090906</v>
      </c>
    </row>
    <row r="14" spans="1:30" s="1220" customFormat="1" ht="20.25" hidden="1">
      <c r="A14" s="2940"/>
      <c r="B14" s="2949" t="s">
        <v>2762</v>
      </c>
      <c r="C14" s="2936"/>
      <c r="D14" s="541">
        <v>100</v>
      </c>
      <c r="E14" s="1374"/>
      <c r="F14" s="255">
        <f>SUMIF(84:84,E14,85:85)-SUMIF(84:84,C14,85:85)+100</f>
        <v>100</v>
      </c>
      <c r="G14" s="533"/>
      <c r="H14" s="255">
        <f>SUMIF(84:84,G14,85:85)-SUMIF(84:84,C14,85:85)+100</f>
        <v>100</v>
      </c>
      <c r="I14" s="532"/>
      <c r="J14" s="255">
        <f>SUMIF(84:84,I14,85:85)-SUMIF(84:84,C14,85:85)+100</f>
        <v>100</v>
      </c>
      <c r="K14" s="534"/>
      <c r="L14" s="2136"/>
      <c r="M14" s="2133"/>
      <c r="N14" s="2133"/>
      <c r="O14" s="2138"/>
      <c r="P14" s="3517"/>
      <c r="Q14" s="1151" t="str">
        <f t="shared" si="6"/>
        <v>配建</v>
      </c>
      <c r="R14" s="1568" t="s">
        <v>8</v>
      </c>
      <c r="S14" s="1569">
        <f t="shared" si="0"/>
        <v>100</v>
      </c>
      <c r="T14" s="1568" t="s">
        <v>8</v>
      </c>
      <c r="U14" s="1569">
        <f t="shared" si="1"/>
        <v>100</v>
      </c>
      <c r="V14" s="1568" t="s">
        <v>8</v>
      </c>
      <c r="W14" s="1569">
        <f t="shared" si="2"/>
        <v>100</v>
      </c>
      <c r="X14" s="1570"/>
      <c r="Y14" s="3474"/>
      <c r="Z14" s="1150" t="str">
        <f t="shared" si="7"/>
        <v>配建</v>
      </c>
      <c r="AA14" s="1571">
        <f>D14/F14</f>
        <v>1</v>
      </c>
      <c r="AB14" s="1571">
        <f>D14/H14</f>
        <v>1</v>
      </c>
      <c r="AC14" s="1571">
        <f>D14/J14</f>
        <v>1</v>
      </c>
    </row>
    <row r="15" spans="1:30" ht="20.25" hidden="1">
      <c r="A15" s="2944"/>
      <c r="B15" s="2950"/>
      <c r="C15" s="913"/>
      <c r="D15" s="543">
        <v>100</v>
      </c>
      <c r="E15" s="544"/>
      <c r="F15" s="255">
        <f>SUMIF(86:86,E15,87:87)-SUMIF(86:86,C15,87:87)+100</f>
        <v>100</v>
      </c>
      <c r="G15" s="545"/>
      <c r="H15" s="543">
        <f>SUMIF(86:86,G15,87:87)-SUMIF(86:86,C15,87:87)+100</f>
        <v>100</v>
      </c>
      <c r="I15" s="545"/>
      <c r="J15" s="543">
        <f>SUMIF(86:86,I15,87:87)-SUMIF(86:86,C15,87:87)+100</f>
        <v>100</v>
      </c>
      <c r="K15" s="534"/>
      <c r="L15" s="2143"/>
      <c r="M15" s="2133"/>
      <c r="N15" s="2133"/>
      <c r="O15" s="2142"/>
      <c r="P15" s="3517"/>
      <c r="Q15" s="1151">
        <f t="shared" si="6"/>
        <v>0</v>
      </c>
      <c r="R15" s="1568" t="s">
        <v>8</v>
      </c>
      <c r="S15" s="1569">
        <f t="shared" si="0"/>
        <v>100</v>
      </c>
      <c r="T15" s="1568" t="s">
        <v>8</v>
      </c>
      <c r="U15" s="1569">
        <f t="shared" si="1"/>
        <v>100</v>
      </c>
      <c r="V15" s="1568" t="s">
        <v>8</v>
      </c>
      <c r="W15" s="1569">
        <f t="shared" si="2"/>
        <v>100</v>
      </c>
      <c r="X15" s="1570"/>
      <c r="Y15" s="3474"/>
      <c r="Z15" s="1150">
        <f t="shared" si="7"/>
        <v>0</v>
      </c>
      <c r="AA15" s="1571">
        <f>D15/F15</f>
        <v>1</v>
      </c>
      <c r="AB15" s="1571">
        <f>D15/H15</f>
        <v>1</v>
      </c>
      <c r="AC15" s="1571">
        <f>D15/J15</f>
        <v>1</v>
      </c>
    </row>
    <row r="16" spans="1:30" ht="21" hidden="1" thickBot="1">
      <c r="A16" s="2945"/>
      <c r="B16" s="2951"/>
      <c r="C16" s="916"/>
      <c r="D16" s="549">
        <v>100</v>
      </c>
      <c r="E16" s="544"/>
      <c r="F16" s="549">
        <f>SUMIF(88:88,E16,89:89)-SUMIF(88:88,C16,89:89)+100</f>
        <v>100</v>
      </c>
      <c r="G16" s="545"/>
      <c r="H16" s="549">
        <f>SUMIF(88:88,G16,89:89)-SUMIF(88:88,C16,89:89)+100</f>
        <v>100</v>
      </c>
      <c r="I16" s="545"/>
      <c r="J16" s="549">
        <f>SUMIF(88:88,I16,89:89)-SUMIF(88:88,C16,89:89)+100</f>
        <v>100</v>
      </c>
      <c r="K16" s="534"/>
      <c r="L16" s="2143"/>
      <c r="M16" s="2133"/>
      <c r="N16" s="2133"/>
      <c r="O16" s="2142"/>
      <c r="P16" s="3517"/>
      <c r="Q16" s="1151">
        <f t="shared" si="6"/>
        <v>0</v>
      </c>
      <c r="R16" s="1568" t="s">
        <v>8</v>
      </c>
      <c r="S16" s="1569">
        <f t="shared" si="0"/>
        <v>100</v>
      </c>
      <c r="T16" s="1568" t="s">
        <v>8</v>
      </c>
      <c r="U16" s="1569">
        <f t="shared" si="1"/>
        <v>100</v>
      </c>
      <c r="V16" s="1568" t="s">
        <v>8</v>
      </c>
      <c r="W16" s="1569">
        <f t="shared" si="2"/>
        <v>100</v>
      </c>
      <c r="X16" s="1570"/>
      <c r="Y16" s="3474"/>
      <c r="Z16" s="1150">
        <f t="shared" si="7"/>
        <v>0</v>
      </c>
      <c r="AA16" s="1571">
        <f>D16/F16</f>
        <v>1</v>
      </c>
      <c r="AB16" s="1571">
        <f>D16/H16</f>
        <v>1</v>
      </c>
      <c r="AC16" s="1571">
        <f>D16/J16</f>
        <v>1</v>
      </c>
    </row>
    <row r="17" spans="1:29" ht="57">
      <c r="A17" s="2937" t="s">
        <v>2757</v>
      </c>
      <c r="B17" s="923" t="s">
        <v>295</v>
      </c>
      <c r="C17" s="869" t="str">
        <f>估价对象房地状况!C15</f>
        <v>周边居住用地比例、居住小区规模和社区发展完善程度</v>
      </c>
      <c r="D17" s="552">
        <v>100</v>
      </c>
      <c r="E17" s="553"/>
      <c r="F17" s="552">
        <f>SUMIF(90:90,E18,91:91)-SUMIF(90:90,C18,91:91)+100</f>
        <v>100</v>
      </c>
      <c r="G17" s="553"/>
      <c r="H17" s="552">
        <f>SUMIF(90:90,G18,91:91)-SUMIF(90:90,C18,91:91)+100</f>
        <v>100</v>
      </c>
      <c r="I17" s="555"/>
      <c r="J17" s="552">
        <f>SUMIF(90:90,I18,91:91)-SUMIF(90:90,C18,91:91)+100</f>
        <v>100</v>
      </c>
      <c r="K17" s="538">
        <v>3</v>
      </c>
      <c r="L17" s="2143"/>
      <c r="M17" s="2133"/>
      <c r="N17" s="2133"/>
      <c r="O17" s="2142"/>
      <c r="P17" s="3519" t="s">
        <v>541</v>
      </c>
      <c r="Q17" s="1572" t="str">
        <f t="shared" si="6"/>
        <v>居住社区成熟度</v>
      </c>
      <c r="R17" s="1573" t="s">
        <v>8</v>
      </c>
      <c r="S17" s="1574">
        <f t="shared" si="0"/>
        <v>100</v>
      </c>
      <c r="T17" s="1573" t="s">
        <v>8</v>
      </c>
      <c r="U17" s="1574">
        <f t="shared" si="1"/>
        <v>100</v>
      </c>
      <c r="V17" s="1573" t="s">
        <v>8</v>
      </c>
      <c r="W17" s="1574">
        <f t="shared" si="2"/>
        <v>100</v>
      </c>
      <c r="X17" s="1567"/>
      <c r="Y17" s="3519" t="s">
        <v>541</v>
      </c>
      <c r="Z17" s="1575" t="str">
        <f t="shared" si="7"/>
        <v>居住社区成熟度</v>
      </c>
      <c r="AA17" s="1576">
        <f t="shared" si="3"/>
        <v>1</v>
      </c>
      <c r="AB17" s="1576">
        <f t="shared" si="4"/>
        <v>1</v>
      </c>
      <c r="AC17" s="1576">
        <f t="shared" si="5"/>
        <v>1</v>
      </c>
    </row>
    <row r="18" spans="1:29" ht="20.25">
      <c r="A18" s="535"/>
      <c r="B18" s="871"/>
      <c r="C18" s="578" t="s">
        <v>3261</v>
      </c>
      <c r="D18" s="558"/>
      <c r="E18" s="557" t="s">
        <v>3261</v>
      </c>
      <c r="F18" s="558"/>
      <c r="G18" s="557" t="s">
        <v>3261</v>
      </c>
      <c r="H18" s="562"/>
      <c r="I18" s="557" t="s">
        <v>3261</v>
      </c>
      <c r="J18" s="558"/>
      <c r="K18" s="534"/>
      <c r="L18" s="2143"/>
      <c r="M18" s="2133"/>
      <c r="N18" s="2133"/>
      <c r="O18" s="2142"/>
      <c r="P18" s="3520"/>
      <c r="Q18" s="1572"/>
      <c r="R18" s="1573"/>
      <c r="S18" s="1574"/>
      <c r="T18" s="1573"/>
      <c r="U18" s="1574"/>
      <c r="V18" s="1573"/>
      <c r="W18" s="1574"/>
      <c r="X18" s="1567"/>
      <c r="Y18" s="3520"/>
      <c r="Z18" s="1575"/>
      <c r="AA18" s="1576">
        <v>1</v>
      </c>
      <c r="AB18" s="1576">
        <v>1</v>
      </c>
      <c r="AC18" s="1576">
        <v>1</v>
      </c>
    </row>
    <row r="19" spans="1:29" ht="28.5">
      <c r="A19" s="535"/>
      <c r="B19" s="873" t="s">
        <v>542</v>
      </c>
      <c r="C19" s="901" t="str">
        <f>估价对象房地状况!C16</f>
        <v>XX商圈，周边商业氛围，人流量</v>
      </c>
      <c r="D19" s="562">
        <v>100</v>
      </c>
      <c r="E19" s="564"/>
      <c r="F19" s="562">
        <f>SUMIF(92:92,E20,93:93)-SUMIF(92:92,C20,93:93)+100</f>
        <v>100</v>
      </c>
      <c r="G19" s="564"/>
      <c r="H19" s="567">
        <f>SUMIF(92:92,G20,93:93)-SUMIF(92:92,C20,93:93)+100</f>
        <v>100</v>
      </c>
      <c r="I19" s="566"/>
      <c r="J19" s="567">
        <f>SUMIF(92:92,I20,93:93)-SUMIF(92:92,C20,93:93)+100</f>
        <v>100</v>
      </c>
      <c r="K19" s="538">
        <v>2</v>
      </c>
      <c r="L19" s="2143"/>
      <c r="M19" s="2133"/>
      <c r="N19" s="2133"/>
      <c r="O19" s="2142"/>
      <c r="P19" s="3520"/>
      <c r="Q19" s="1572" t="str">
        <f>B19</f>
        <v>商业繁华度</v>
      </c>
      <c r="R19" s="1573" t="s">
        <v>8</v>
      </c>
      <c r="S19" s="1574">
        <f>F19</f>
        <v>100</v>
      </c>
      <c r="T19" s="1573" t="s">
        <v>8</v>
      </c>
      <c r="U19" s="1574">
        <f>H19</f>
        <v>100</v>
      </c>
      <c r="V19" s="1573" t="s">
        <v>8</v>
      </c>
      <c r="W19" s="1574">
        <f>J19</f>
        <v>100</v>
      </c>
      <c r="X19" s="1567"/>
      <c r="Y19" s="3520"/>
      <c r="Z19" s="1575" t="str">
        <f>Q19</f>
        <v>商业繁华度</v>
      </c>
      <c r="AA19" s="1576">
        <f t="shared" si="3"/>
        <v>1</v>
      </c>
      <c r="AB19" s="1576">
        <f t="shared" si="4"/>
        <v>1</v>
      </c>
      <c r="AC19" s="1576">
        <f t="shared" si="5"/>
        <v>1</v>
      </c>
    </row>
    <row r="20" spans="1:29" ht="20.25">
      <c r="A20" s="535"/>
      <c r="B20" s="597"/>
      <c r="C20" s="875" t="s">
        <v>3261</v>
      </c>
      <c r="D20" s="562"/>
      <c r="E20" s="569" t="s">
        <v>3261</v>
      </c>
      <c r="F20" s="562"/>
      <c r="G20" s="569" t="s">
        <v>3261</v>
      </c>
      <c r="H20" s="558"/>
      <c r="I20" s="569" t="s">
        <v>3261</v>
      </c>
      <c r="J20" s="558"/>
      <c r="K20" s="534"/>
      <c r="L20" s="2143"/>
      <c r="M20" s="2133"/>
      <c r="N20" s="2133"/>
      <c r="O20" s="2142"/>
      <c r="P20" s="3520"/>
      <c r="Q20" s="1572"/>
      <c r="R20" s="1573"/>
      <c r="S20" s="1574"/>
      <c r="T20" s="1573"/>
      <c r="U20" s="1574"/>
      <c r="V20" s="1573"/>
      <c r="W20" s="1574"/>
      <c r="X20" s="1567"/>
      <c r="Y20" s="3520"/>
      <c r="Z20" s="1575"/>
      <c r="AA20" s="1576">
        <v>1</v>
      </c>
      <c r="AB20" s="1576">
        <v>1</v>
      </c>
      <c r="AC20" s="1576">
        <v>1</v>
      </c>
    </row>
    <row r="21" spans="1:29" ht="20.25" hidden="1">
      <c r="A21" s="535"/>
      <c r="B21" s="873" t="s">
        <v>543</v>
      </c>
      <c r="C21" s="901">
        <f>估价对象房地状况!C17</f>
        <v>0</v>
      </c>
      <c r="D21" s="567">
        <v>100</v>
      </c>
      <c r="E21" s="572"/>
      <c r="F21" s="567">
        <f>SUMIF(94:94,E22,95:95)-SUMIF(94:94,C22,95:95)+100</f>
        <v>100</v>
      </c>
      <c r="G21" s="572"/>
      <c r="H21" s="562">
        <f>SUMIF(94:94,G22,95:95)-SUMIF(94:94,C22,95:95)+100</f>
        <v>100</v>
      </c>
      <c r="I21" s="574"/>
      <c r="J21" s="562">
        <f>SUMIF(94:94,I22,95:95)-SUMIF(94:94,C22,95:95)+100</f>
        <v>100</v>
      </c>
      <c r="K21" s="538"/>
      <c r="L21" s="2143"/>
      <c r="M21" s="2133"/>
      <c r="N21" s="2133"/>
      <c r="O21" s="2142"/>
      <c r="P21" s="3520"/>
      <c r="Q21" s="1572" t="str">
        <f>B21</f>
        <v>办公集聚程度</v>
      </c>
      <c r="R21" s="1573" t="s">
        <v>8</v>
      </c>
      <c r="S21" s="1574">
        <f>F21</f>
        <v>100</v>
      </c>
      <c r="T21" s="1573" t="s">
        <v>8</v>
      </c>
      <c r="U21" s="1574">
        <f>H21</f>
        <v>100</v>
      </c>
      <c r="V21" s="1573" t="s">
        <v>8</v>
      </c>
      <c r="W21" s="1574">
        <f>J21</f>
        <v>100</v>
      </c>
      <c r="X21" s="1567"/>
      <c r="Y21" s="3520"/>
      <c r="Z21" s="1575" t="str">
        <f>Q21</f>
        <v>办公集聚程度</v>
      </c>
      <c r="AA21" s="1576">
        <f t="shared" si="3"/>
        <v>1</v>
      </c>
      <c r="AB21" s="1576">
        <f t="shared" si="4"/>
        <v>1</v>
      </c>
      <c r="AC21" s="1576">
        <f t="shared" si="5"/>
        <v>1</v>
      </c>
    </row>
    <row r="22" spans="1:29" ht="20.25" hidden="1">
      <c r="A22" s="535"/>
      <c r="B22" s="597"/>
      <c r="C22" s="578"/>
      <c r="D22" s="558"/>
      <c r="E22" s="559"/>
      <c r="F22" s="558"/>
      <c r="G22" s="559"/>
      <c r="H22" s="558"/>
      <c r="I22" s="561"/>
      <c r="J22" s="558"/>
      <c r="K22" s="534"/>
      <c r="L22" s="2143"/>
      <c r="M22" s="2133"/>
      <c r="N22" s="2133"/>
      <c r="O22" s="2142"/>
      <c r="P22" s="3520"/>
      <c r="Q22" s="1572"/>
      <c r="R22" s="1573"/>
      <c r="S22" s="1574"/>
      <c r="T22" s="1573"/>
      <c r="U22" s="1574"/>
      <c r="V22" s="1573"/>
      <c r="W22" s="1574"/>
      <c r="X22" s="1567"/>
      <c r="Y22" s="3520"/>
      <c r="Z22" s="1575"/>
      <c r="AA22" s="1576">
        <v>1</v>
      </c>
      <c r="AB22" s="1576">
        <v>1</v>
      </c>
      <c r="AC22" s="1576">
        <v>1</v>
      </c>
    </row>
    <row r="23" spans="1:29" ht="71.25">
      <c r="A23" s="535"/>
      <c r="B23" s="873" t="s">
        <v>544</v>
      </c>
      <c r="C23" s="874" t="str">
        <f>估价对象房地状况!C18</f>
        <v>周边道路状况、公共交通通达情况、停车便捷程度（大理荒草坝机场</v>
      </c>
      <c r="D23" s="562">
        <v>100</v>
      </c>
      <c r="E23" s="564"/>
      <c r="F23" s="567">
        <f>SUMIF(96:96,E24,97:97)-SUMIF(96:96,C24,97:97)+100</f>
        <v>100</v>
      </c>
      <c r="G23" s="564"/>
      <c r="H23" s="562">
        <f>SUMIF(96:96,G24,97:97)-SUMIF(96:96,C24,97:97)+100</f>
        <v>100</v>
      </c>
      <c r="I23" s="566"/>
      <c r="J23" s="562">
        <f>SUMIF(96:96,I24,97:97)-SUMIF(96:96,C24,97:97)+100</f>
        <v>100</v>
      </c>
      <c r="K23" s="538">
        <v>5</v>
      </c>
      <c r="L23" s="2143"/>
      <c r="M23" s="2133"/>
      <c r="N23" s="2133"/>
      <c r="O23" s="2142"/>
      <c r="P23" s="3520"/>
      <c r="Q23" s="1572" t="str">
        <f>B23</f>
        <v>交通便捷度</v>
      </c>
      <c r="R23" s="1573" t="s">
        <v>8</v>
      </c>
      <c r="S23" s="1574">
        <f>F23</f>
        <v>100</v>
      </c>
      <c r="T23" s="1573" t="s">
        <v>8</v>
      </c>
      <c r="U23" s="1574">
        <f>H23</f>
        <v>100</v>
      </c>
      <c r="V23" s="1573" t="s">
        <v>8</v>
      </c>
      <c r="W23" s="1574">
        <f>J23</f>
        <v>100</v>
      </c>
      <c r="X23" s="1567"/>
      <c r="Y23" s="3520"/>
      <c r="Z23" s="1575" t="str">
        <f>Q23</f>
        <v>交通便捷度</v>
      </c>
      <c r="AA23" s="1576">
        <f t="shared" si="3"/>
        <v>1</v>
      </c>
      <c r="AB23" s="1576">
        <f t="shared" si="4"/>
        <v>1</v>
      </c>
      <c r="AC23" s="1576">
        <f t="shared" si="5"/>
        <v>1</v>
      </c>
    </row>
    <row r="24" spans="1:29" ht="20.25">
      <c r="A24" s="535"/>
      <c r="B24" s="923"/>
      <c r="C24" s="578" t="s">
        <v>3238</v>
      </c>
      <c r="D24" s="558"/>
      <c r="E24" s="559" t="s">
        <v>3238</v>
      </c>
      <c r="F24" s="558"/>
      <c r="G24" s="559" t="s">
        <v>3238</v>
      </c>
      <c r="H24" s="558"/>
      <c r="I24" s="561" t="s">
        <v>3238</v>
      </c>
      <c r="J24" s="558"/>
      <c r="K24" s="534"/>
      <c r="L24" s="2143"/>
      <c r="M24" s="2133"/>
      <c r="N24" s="2133"/>
      <c r="O24" s="2142"/>
      <c r="P24" s="3520"/>
      <c r="Q24" s="1572"/>
      <c r="R24" s="1573"/>
      <c r="S24" s="1574"/>
      <c r="T24" s="1573"/>
      <c r="U24" s="1574"/>
      <c r="V24" s="1573"/>
      <c r="W24" s="1574"/>
      <c r="X24" s="1567"/>
      <c r="Y24" s="3520"/>
      <c r="Z24" s="1575"/>
      <c r="AA24" s="1576">
        <v>1</v>
      </c>
      <c r="AB24" s="1576">
        <v>1</v>
      </c>
      <c r="AC24" s="1576">
        <v>1</v>
      </c>
    </row>
    <row r="25" spans="1:29" ht="27">
      <c r="A25" s="518"/>
      <c r="B25" s="873" t="s">
        <v>545</v>
      </c>
      <c r="C25" s="874">
        <f>估价对象房地状况!C19</f>
        <v>0</v>
      </c>
      <c r="D25" s="562">
        <v>100</v>
      </c>
      <c r="E25" s="564"/>
      <c r="F25" s="567">
        <f>SUMIF(98:98,E26,99:99)-SUMIF(98:98,C26,99:99)+100</f>
        <v>100</v>
      </c>
      <c r="G25" s="564"/>
      <c r="H25" s="562">
        <f>SUMIF(98:98,G26,99:99)-SUMIF(98:98,C26,99:99)+100</f>
        <v>100</v>
      </c>
      <c r="I25" s="566"/>
      <c r="J25" s="562">
        <f>SUMIF(98:98,I26,99:99)-SUMIF(98:98,C26,99:99)+100</f>
        <v>100</v>
      </c>
      <c r="K25" s="538">
        <v>5</v>
      </c>
      <c r="L25" s="2143"/>
      <c r="M25" s="2133"/>
      <c r="N25" s="2133"/>
      <c r="O25" s="2142"/>
      <c r="P25" s="3520"/>
      <c r="Q25" s="1572" t="str">
        <f t="shared" ref="Q25:Q39" si="8">B25</f>
        <v>区域土地利用方向</v>
      </c>
      <c r="R25" s="1573" t="s">
        <v>8</v>
      </c>
      <c r="S25" s="1574">
        <f>F25</f>
        <v>100</v>
      </c>
      <c r="T25" s="1573" t="s">
        <v>8</v>
      </c>
      <c r="U25" s="1574">
        <f>H25</f>
        <v>100</v>
      </c>
      <c r="V25" s="1573" t="s">
        <v>8</v>
      </c>
      <c r="W25" s="1574">
        <f>J25</f>
        <v>100</v>
      </c>
      <c r="X25" s="1567"/>
      <c r="Y25" s="3520"/>
      <c r="Z25" s="1575" t="str">
        <f>Q25</f>
        <v>区域土地利用方向</v>
      </c>
      <c r="AA25" s="1576">
        <f t="shared" si="3"/>
        <v>1</v>
      </c>
      <c r="AB25" s="1576">
        <f t="shared" si="4"/>
        <v>1</v>
      </c>
      <c r="AC25" s="1576">
        <f t="shared" si="5"/>
        <v>1</v>
      </c>
    </row>
    <row r="26" spans="1:29" ht="20.25">
      <c r="A26" s="518"/>
      <c r="B26" s="597"/>
      <c r="C26" s="578" t="s">
        <v>3229</v>
      </c>
      <c r="D26" s="558"/>
      <c r="E26" s="557" t="s">
        <v>3229</v>
      </c>
      <c r="F26" s="558"/>
      <c r="G26" s="557" t="s">
        <v>3229</v>
      </c>
      <c r="H26" s="558"/>
      <c r="I26" s="557" t="s">
        <v>3229</v>
      </c>
      <c r="J26" s="558"/>
      <c r="K26" s="534"/>
      <c r="L26" s="2143"/>
      <c r="M26" s="2133"/>
      <c r="N26" s="2133"/>
      <c r="O26" s="2142"/>
      <c r="P26" s="3520"/>
      <c r="Q26" s="1572"/>
      <c r="R26" s="1573"/>
      <c r="S26" s="1574"/>
      <c r="T26" s="1573"/>
      <c r="U26" s="1574"/>
      <c r="V26" s="1573"/>
      <c r="W26" s="1574"/>
      <c r="X26" s="1567"/>
      <c r="Y26" s="3520"/>
      <c r="Z26" s="1575"/>
      <c r="AA26" s="1576"/>
      <c r="AB26" s="1576"/>
      <c r="AC26" s="1576"/>
    </row>
    <row r="27" spans="1:29" ht="27">
      <c r="A27" s="518"/>
      <c r="B27" s="923" t="s">
        <v>546</v>
      </c>
      <c r="C27" s="901" t="str">
        <f>估价对象房地状况!C20</f>
        <v>洱海</v>
      </c>
      <c r="D27" s="562">
        <v>100</v>
      </c>
      <c r="E27" s="564"/>
      <c r="F27" s="562">
        <f>SUMIF(100:100,E28,101:101)-SUMIF(100:100,C28,101:101)+100</f>
        <v>100</v>
      </c>
      <c r="G27" s="564"/>
      <c r="H27" s="562">
        <f>SUMIF(100:100,G28,101:101)-SUMIF(100:100,C28,101:101)+100</f>
        <v>100</v>
      </c>
      <c r="I27" s="566"/>
      <c r="J27" s="562">
        <f>SUMIF(100:100,I28,101:101)-SUMIF(100:100,C28,101:101)+100</f>
        <v>95</v>
      </c>
      <c r="K27" s="538">
        <v>5</v>
      </c>
      <c r="L27" s="2143"/>
      <c r="M27" s="2133"/>
      <c r="N27" s="2133"/>
      <c r="O27" s="2142"/>
      <c r="P27" s="3520"/>
      <c r="Q27" s="1572" t="str">
        <f t="shared" si="8"/>
        <v>自然及人文环境状况</v>
      </c>
      <c r="R27" s="1573" t="s">
        <v>8</v>
      </c>
      <c r="S27" s="1574">
        <f>F27</f>
        <v>100</v>
      </c>
      <c r="T27" s="1573" t="s">
        <v>8</v>
      </c>
      <c r="U27" s="1574">
        <f>H27</f>
        <v>100</v>
      </c>
      <c r="V27" s="1573" t="s">
        <v>8</v>
      </c>
      <c r="W27" s="1574">
        <f>J27</f>
        <v>95</v>
      </c>
      <c r="X27" s="1567"/>
      <c r="Y27" s="3520"/>
      <c r="Z27" s="1575" t="str">
        <f>Q27</f>
        <v>自然及人文环境状况</v>
      </c>
      <c r="AA27" s="1576">
        <f t="shared" si="3"/>
        <v>1</v>
      </c>
      <c r="AB27" s="1576">
        <f t="shared" si="4"/>
        <v>1</v>
      </c>
      <c r="AC27" s="1576">
        <f t="shared" si="5"/>
        <v>1.0526315789473684</v>
      </c>
    </row>
    <row r="28" spans="1:29" ht="20.25">
      <c r="A28" s="518"/>
      <c r="B28" s="597"/>
      <c r="C28" s="578" t="s">
        <v>3229</v>
      </c>
      <c r="D28" s="558"/>
      <c r="E28" s="557" t="s">
        <v>3229</v>
      </c>
      <c r="F28" s="558"/>
      <c r="G28" s="557" t="s">
        <v>3229</v>
      </c>
      <c r="H28" s="558"/>
      <c r="I28" s="557" t="s">
        <v>3238</v>
      </c>
      <c r="J28" s="558"/>
      <c r="K28" s="534"/>
      <c r="L28" s="2143"/>
      <c r="M28" s="2133"/>
      <c r="N28" s="2133"/>
      <c r="O28" s="2142"/>
      <c r="P28" s="3520"/>
      <c r="Q28" s="1572"/>
      <c r="R28" s="1573"/>
      <c r="S28" s="1574"/>
      <c r="T28" s="1573"/>
      <c r="U28" s="1574"/>
      <c r="V28" s="1573"/>
      <c r="W28" s="1574"/>
      <c r="X28" s="1567"/>
      <c r="Y28" s="3520"/>
      <c r="Z28" s="1575"/>
      <c r="AA28" s="1576">
        <v>1</v>
      </c>
      <c r="AB28" s="1576">
        <v>1</v>
      </c>
      <c r="AC28" s="1576">
        <v>1</v>
      </c>
    </row>
    <row r="29" spans="1:29" s="1220" customFormat="1" ht="63.75" customHeight="1">
      <c r="A29" s="579"/>
      <c r="B29" s="2618" t="s">
        <v>2550</v>
      </c>
      <c r="C29" s="874" t="str">
        <f>估价对象房地状况!C21</f>
        <v>大理技师学院 与较成熟区域距离5-6公里</v>
      </c>
      <c r="D29" s="562">
        <v>100</v>
      </c>
      <c r="E29" s="564"/>
      <c r="F29" s="562">
        <f>SUMIF(102:102,E30,103:103)-SUMIF(102:102,C30,103:103)+100</f>
        <v>100</v>
      </c>
      <c r="G29" s="564"/>
      <c r="H29" s="562">
        <f>SUMIF(102:102,G30,103:103)-SUMIF(102:102,C30,103:103)+100</f>
        <v>100</v>
      </c>
      <c r="I29" s="566"/>
      <c r="J29" s="562">
        <f>SUMIF(102:102,I30,103:103)-SUMIF(102:102,C30,103:103)+100</f>
        <v>100</v>
      </c>
      <c r="K29" s="538">
        <v>5</v>
      </c>
      <c r="L29" s="2136"/>
      <c r="M29" s="2133"/>
      <c r="N29" s="2133"/>
      <c r="O29" s="2138"/>
      <c r="P29" s="3520"/>
      <c r="Q29" s="1151" t="str">
        <f t="shared" si="8"/>
        <v>公共配套设施</v>
      </c>
      <c r="R29" s="1568" t="s">
        <v>8</v>
      </c>
      <c r="S29" s="1569">
        <f>F29</f>
        <v>100</v>
      </c>
      <c r="T29" s="1568" t="s">
        <v>8</v>
      </c>
      <c r="U29" s="1569">
        <f>H29</f>
        <v>100</v>
      </c>
      <c r="V29" s="1568" t="s">
        <v>8</v>
      </c>
      <c r="W29" s="1569">
        <f>J29</f>
        <v>100</v>
      </c>
      <c r="X29" s="1570"/>
      <c r="Y29" s="3520"/>
      <c r="Z29" s="1150" t="str">
        <f>Q29</f>
        <v>公共配套设施</v>
      </c>
      <c r="AA29" s="1576">
        <f>D29/F29</f>
        <v>1</v>
      </c>
      <c r="AB29" s="1576">
        <f>D29/H29</f>
        <v>1</v>
      </c>
      <c r="AC29" s="1576">
        <f>D29/J29</f>
        <v>1</v>
      </c>
    </row>
    <row r="30" spans="1:29" s="1220" customFormat="1" ht="20.25">
      <c r="A30" s="579"/>
      <c r="B30" s="597"/>
      <c r="C30" s="2617" t="s">
        <v>3261</v>
      </c>
      <c r="D30" s="558"/>
      <c r="E30" s="581" t="s">
        <v>3261</v>
      </c>
      <c r="F30" s="558"/>
      <c r="G30" s="581" t="s">
        <v>3261</v>
      </c>
      <c r="H30" s="558"/>
      <c r="I30" s="581" t="s">
        <v>3261</v>
      </c>
      <c r="J30" s="558"/>
      <c r="K30" s="534"/>
      <c r="L30" s="2136"/>
      <c r="M30" s="2133"/>
      <c r="N30" s="2133"/>
      <c r="O30" s="2138"/>
      <c r="P30" s="3520"/>
      <c r="Q30" s="1151"/>
      <c r="R30" s="1568"/>
      <c r="S30" s="1569"/>
      <c r="T30" s="1568"/>
      <c r="U30" s="1569"/>
      <c r="V30" s="1568"/>
      <c r="W30" s="1569"/>
      <c r="X30" s="1570"/>
      <c r="Y30" s="3520"/>
      <c r="Z30" s="1150"/>
      <c r="AA30" s="1576">
        <v>1</v>
      </c>
      <c r="AB30" s="1576">
        <v>1</v>
      </c>
      <c r="AC30" s="1576">
        <v>1</v>
      </c>
    </row>
    <row r="31" spans="1:29" s="1220" customFormat="1" ht="48" customHeight="1">
      <c r="A31" s="579"/>
      <c r="B31" s="2618" t="s">
        <v>2551</v>
      </c>
      <c r="C31" s="874">
        <f>估价对象房地状况!C22</f>
        <v>0</v>
      </c>
      <c r="D31" s="562">
        <v>100</v>
      </c>
      <c r="E31" s="564"/>
      <c r="F31" s="562">
        <f>SUMIF(104:104,E32,105:105)-SUMIF(104:104,C32,105:105)+100</f>
        <v>100</v>
      </c>
      <c r="G31" s="564"/>
      <c r="H31" s="562">
        <f>SUMIF(104:104,G32,105:105)-SUMIF(104:104,C32,105:105)+100</f>
        <v>100</v>
      </c>
      <c r="I31" s="566"/>
      <c r="J31" s="562">
        <f>SUMIF(104:104,I32,105:105)-SUMIF(104:104,C32,105:105)+100</f>
        <v>100</v>
      </c>
      <c r="K31" s="538">
        <v>1</v>
      </c>
      <c r="L31" s="2136"/>
      <c r="M31" s="2133"/>
      <c r="N31" s="2133"/>
      <c r="O31" s="2138"/>
      <c r="P31" s="3520"/>
      <c r="Q31" s="2603" t="str">
        <f t="shared" ref="Q31" si="9">B31</f>
        <v>基础设施水平</v>
      </c>
      <c r="R31" s="1568" t="s">
        <v>8</v>
      </c>
      <c r="S31" s="1569">
        <f>F31</f>
        <v>100</v>
      </c>
      <c r="T31" s="1568" t="s">
        <v>8</v>
      </c>
      <c r="U31" s="1569">
        <f>H31</f>
        <v>100</v>
      </c>
      <c r="V31" s="1568" t="s">
        <v>8</v>
      </c>
      <c r="W31" s="1569">
        <f>J31</f>
        <v>100</v>
      </c>
      <c r="X31" s="1570"/>
      <c r="Y31" s="3520"/>
      <c r="Z31" s="2600" t="str">
        <f>Q31</f>
        <v>基础设施水平</v>
      </c>
      <c r="AA31" s="1576">
        <f>D31/F31</f>
        <v>1</v>
      </c>
      <c r="AB31" s="1576">
        <f>D31/H31</f>
        <v>1</v>
      </c>
      <c r="AC31" s="1576">
        <f>D31/J31</f>
        <v>1</v>
      </c>
    </row>
    <row r="32" spans="1:29" s="1220" customFormat="1" ht="20.25">
      <c r="A32" s="579"/>
      <c r="B32" s="597"/>
      <c r="C32" s="2617" t="s">
        <v>3237</v>
      </c>
      <c r="D32" s="558"/>
      <c r="E32" s="581" t="s">
        <v>3237</v>
      </c>
      <c r="F32" s="558"/>
      <c r="G32" s="581" t="s">
        <v>3237</v>
      </c>
      <c r="H32" s="558"/>
      <c r="I32" s="581" t="s">
        <v>3237</v>
      </c>
      <c r="J32" s="558"/>
      <c r="K32" s="534"/>
      <c r="L32" s="2136"/>
      <c r="M32" s="2133"/>
      <c r="N32" s="2133"/>
      <c r="O32" s="2138"/>
      <c r="P32" s="3520"/>
      <c r="Q32" s="2603"/>
      <c r="R32" s="1568"/>
      <c r="S32" s="1569"/>
      <c r="T32" s="1568"/>
      <c r="U32" s="1569"/>
      <c r="V32" s="1568"/>
      <c r="W32" s="1569"/>
      <c r="X32" s="1570"/>
      <c r="Y32" s="3520"/>
      <c r="Z32" s="2600"/>
      <c r="AA32" s="1576">
        <v>1</v>
      </c>
      <c r="AB32" s="1576">
        <v>1</v>
      </c>
      <c r="AC32" s="1576">
        <v>1</v>
      </c>
    </row>
    <row r="33" spans="1:29" ht="12" hidden="1" customHeight="1">
      <c r="A33" s="535"/>
      <c r="B33" s="597" t="s">
        <v>548</v>
      </c>
      <c r="C33" s="585"/>
      <c r="D33" s="543">
        <v>100</v>
      </c>
      <c r="E33" s="582"/>
      <c r="F33" s="543">
        <f>SUMIF(106:106,E33,107:107)-SUMIF(106:106,C33,107:107)+100</f>
        <v>100</v>
      </c>
      <c r="G33" s="582"/>
      <c r="H33" s="543">
        <f>SUMIF(106:106,G33,107:107)-SUMIF(106:106,C33,107:107)+100</f>
        <v>100</v>
      </c>
      <c r="I33" s="582"/>
      <c r="J33" s="543">
        <f>SUMIF(106:106,I33,107:107)-SUMIF(106:106,C33,107:107)+100</f>
        <v>100</v>
      </c>
      <c r="K33" s="538"/>
      <c r="L33" s="2143"/>
      <c r="M33" s="2133"/>
      <c r="N33" s="2133"/>
      <c r="O33" s="2142"/>
      <c r="P33" s="3520"/>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520"/>
      <c r="Z33" s="1575" t="str">
        <f t="shared" ref="Z33:Z47" si="13">Q33</f>
        <v>临街状况</v>
      </c>
      <c r="AA33" s="1576">
        <f t="shared" si="3"/>
        <v>1</v>
      </c>
      <c r="AB33" s="1576">
        <f t="shared" si="4"/>
        <v>1</v>
      </c>
      <c r="AC33" s="1576">
        <f t="shared" si="5"/>
        <v>1</v>
      </c>
    </row>
    <row r="34" spans="1:29" ht="27">
      <c r="A34" s="535"/>
      <c r="B34" s="923" t="s">
        <v>549</v>
      </c>
      <c r="C34" s="3237" t="s">
        <v>3287</v>
      </c>
      <c r="D34" s="562">
        <v>100</v>
      </c>
      <c r="E34" s="3205" t="s">
        <v>3299</v>
      </c>
      <c r="F34" s="562">
        <f>SUMIF(108:108,E35,109:109)-SUMIF(108:108,C35,109:109)+100</f>
        <v>100</v>
      </c>
      <c r="G34" s="3205" t="s">
        <v>3307</v>
      </c>
      <c r="H34" s="562">
        <f>SUMIF(108:108,G35,109:109)-SUMIF(108:108,C35,109:109)+100</f>
        <v>100</v>
      </c>
      <c r="I34" s="3237" t="s">
        <v>3300</v>
      </c>
      <c r="J34" s="562">
        <f>SUMIF(108:108,I35,109:109)-SUMIF(108:108,C35,109:109)+100</f>
        <v>100</v>
      </c>
      <c r="K34" s="538">
        <v>1</v>
      </c>
      <c r="L34" s="2143"/>
      <c r="M34" s="2133"/>
      <c r="N34" s="2133"/>
      <c r="O34" s="2142"/>
      <c r="P34" s="3520"/>
      <c r="Q34" s="1572" t="str">
        <f t="shared" si="8"/>
        <v>毗邻道路的类型与等级</v>
      </c>
      <c r="R34" s="1573" t="s">
        <v>8</v>
      </c>
      <c r="S34" s="1574">
        <f t="shared" si="10"/>
        <v>100</v>
      </c>
      <c r="T34" s="1573" t="s">
        <v>8</v>
      </c>
      <c r="U34" s="1574">
        <f t="shared" si="11"/>
        <v>100</v>
      </c>
      <c r="V34" s="1573" t="s">
        <v>8</v>
      </c>
      <c r="W34" s="1574">
        <f t="shared" si="12"/>
        <v>100</v>
      </c>
      <c r="X34" s="1567"/>
      <c r="Y34" s="3520"/>
      <c r="Z34" s="1575" t="str">
        <f t="shared" si="13"/>
        <v>毗邻道路的类型与等级</v>
      </c>
      <c r="AA34" s="1576">
        <f t="shared" si="3"/>
        <v>1</v>
      </c>
      <c r="AB34" s="1576">
        <f t="shared" si="4"/>
        <v>1</v>
      </c>
      <c r="AC34" s="1576">
        <f t="shared" si="5"/>
        <v>1</v>
      </c>
    </row>
    <row r="35" spans="1:29" ht="21" thickBot="1">
      <c r="A35" s="535"/>
      <c r="B35" s="597"/>
      <c r="C35" s="3246" t="s">
        <v>3284</v>
      </c>
      <c r="D35" s="3247"/>
      <c r="E35" s="557" t="s">
        <v>3284</v>
      </c>
      <c r="F35" s="558"/>
      <c r="G35" s="557" t="s">
        <v>3284</v>
      </c>
      <c r="H35" s="558"/>
      <c r="I35" s="578" t="s">
        <v>3284</v>
      </c>
      <c r="J35" s="558"/>
      <c r="K35" s="583"/>
      <c r="L35" s="2143"/>
      <c r="M35" s="2133"/>
      <c r="N35" s="2133"/>
      <c r="O35" s="2142"/>
      <c r="P35" s="3520"/>
      <c r="Q35" s="1572"/>
      <c r="R35" s="1573"/>
      <c r="S35" s="1574"/>
      <c r="T35" s="1573"/>
      <c r="U35" s="1574"/>
      <c r="V35" s="1573"/>
      <c r="W35" s="1574"/>
      <c r="X35" s="1567"/>
      <c r="Y35" s="3520"/>
      <c r="Z35" s="1575"/>
      <c r="AA35" s="1576">
        <v>1</v>
      </c>
      <c r="AB35" s="1576">
        <v>1</v>
      </c>
      <c r="AC35" s="1576">
        <v>1</v>
      </c>
    </row>
    <row r="36" spans="1:29" ht="20.25" hidden="1">
      <c r="A36" s="535"/>
      <c r="B36" s="584" t="s">
        <v>550</v>
      </c>
      <c r="C36" s="3245"/>
      <c r="D36" s="560">
        <v>100</v>
      </c>
      <c r="E36" s="585"/>
      <c r="F36" s="543">
        <f>SUMIF(110:110,E36,111:111)-SUMIF(110:110,C36,111:111)+100</f>
        <v>100</v>
      </c>
      <c r="G36" s="582"/>
      <c r="H36" s="543">
        <f>SUMIF(110:110,G36,111:111)-SUMIF(110:110,C36,111:111)+100</f>
        <v>100</v>
      </c>
      <c r="I36" s="585"/>
      <c r="J36" s="543">
        <f>SUMIF(110:110,I36,111:111)-SUMIF(110:110,C36,111:111)+100</f>
        <v>100</v>
      </c>
      <c r="K36" s="586"/>
      <c r="L36" s="2143"/>
      <c r="M36" s="2133"/>
      <c r="N36" s="2133"/>
      <c r="O36" s="2142"/>
      <c r="P36" s="3520"/>
      <c r="Q36" s="1572" t="str">
        <f t="shared" si="8"/>
        <v>土地级别</v>
      </c>
      <c r="R36" s="1573" t="s">
        <v>8</v>
      </c>
      <c r="S36" s="1574">
        <f t="shared" si="10"/>
        <v>100</v>
      </c>
      <c r="T36" s="1573" t="s">
        <v>8</v>
      </c>
      <c r="U36" s="1574">
        <f t="shared" si="11"/>
        <v>100</v>
      </c>
      <c r="V36" s="1573" t="s">
        <v>8</v>
      </c>
      <c r="W36" s="1574">
        <f t="shared" si="12"/>
        <v>100</v>
      </c>
      <c r="X36" s="1567"/>
      <c r="Y36" s="3520"/>
      <c r="Z36" s="1575" t="str">
        <f t="shared" si="13"/>
        <v>土地级别</v>
      </c>
      <c r="AA36" s="1576">
        <f t="shared" si="3"/>
        <v>1</v>
      </c>
      <c r="AB36" s="1576">
        <f t="shared" si="4"/>
        <v>1</v>
      </c>
      <c r="AC36" s="1576">
        <f t="shared" si="5"/>
        <v>1</v>
      </c>
    </row>
    <row r="37" spans="1:29" ht="20.25" hidden="1">
      <c r="A37" s="518"/>
      <c r="B37" s="587"/>
      <c r="C37" s="588"/>
      <c r="D37" s="577">
        <v>100</v>
      </c>
      <c r="E37" s="545"/>
      <c r="F37" s="543">
        <f>SUMIF(112:112,E37,113:113)-SUMIF(112:112,C37,113:113)+100</f>
        <v>100</v>
      </c>
      <c r="G37" s="588"/>
      <c r="H37" s="543">
        <f>SUMIF(112:112,G37,113:113)-SUMIF(112:112,C37,113:113)+100</f>
        <v>100</v>
      </c>
      <c r="I37" s="545"/>
      <c r="J37" s="543">
        <f>SUMIF(112:112,I37,113:113)-SUMIF(112:112,C37,113:113)+100</f>
        <v>100</v>
      </c>
      <c r="K37" s="583"/>
      <c r="L37" s="2143"/>
      <c r="M37" s="2133"/>
      <c r="N37" s="2133"/>
      <c r="O37" s="2142"/>
      <c r="P37" s="3520"/>
      <c r="Q37" s="1572">
        <f t="shared" si="8"/>
        <v>0</v>
      </c>
      <c r="R37" s="1573" t="s">
        <v>8</v>
      </c>
      <c r="S37" s="1574">
        <f t="shared" si="10"/>
        <v>100</v>
      </c>
      <c r="T37" s="1573" t="s">
        <v>8</v>
      </c>
      <c r="U37" s="1574">
        <f t="shared" si="11"/>
        <v>100</v>
      </c>
      <c r="V37" s="1573" t="s">
        <v>8</v>
      </c>
      <c r="W37" s="1574">
        <f t="shared" si="12"/>
        <v>100</v>
      </c>
      <c r="X37" s="1567"/>
      <c r="Y37" s="3520"/>
      <c r="Z37" s="1575">
        <f t="shared" si="13"/>
        <v>0</v>
      </c>
      <c r="AA37" s="1576">
        <f t="shared" si="3"/>
        <v>1</v>
      </c>
      <c r="AB37" s="1576">
        <f t="shared" si="4"/>
        <v>1</v>
      </c>
      <c r="AC37" s="1576">
        <f t="shared" si="5"/>
        <v>1</v>
      </c>
    </row>
    <row r="38" spans="1:29" ht="20.25" hidden="1">
      <c r="A38" s="589"/>
      <c r="B38" s="590"/>
      <c r="C38" s="588"/>
      <c r="D38" s="577">
        <v>100</v>
      </c>
      <c r="E38" s="545"/>
      <c r="F38" s="543">
        <f>SUMIF(114:114,E39,115:115)-SUMIF(114:114,C39,115:115)+100</f>
        <v>100</v>
      </c>
      <c r="G38" s="588"/>
      <c r="H38" s="543">
        <f>SUMIF(114:114,G38,115:115)-SUMIF(114:114,C38,115:115)+100</f>
        <v>100</v>
      </c>
      <c r="I38" s="545"/>
      <c r="J38" s="543">
        <f>SUMIF(114:114,I38,115:115)-SUMIF(114:114,C38,115:115)+100</f>
        <v>100</v>
      </c>
      <c r="K38" s="583"/>
      <c r="L38" s="2143"/>
      <c r="M38" s="2133"/>
      <c r="N38" s="2133"/>
      <c r="O38" s="2142"/>
      <c r="P38" s="3521" t="s">
        <v>551</v>
      </c>
      <c r="Q38" s="1572">
        <f t="shared" si="8"/>
        <v>0</v>
      </c>
      <c r="R38" s="1573" t="s">
        <v>8</v>
      </c>
      <c r="S38" s="1574">
        <f t="shared" si="10"/>
        <v>100</v>
      </c>
      <c r="T38" s="1573" t="s">
        <v>8</v>
      </c>
      <c r="U38" s="1574">
        <f t="shared" si="11"/>
        <v>100</v>
      </c>
      <c r="V38" s="1573" t="s">
        <v>8</v>
      </c>
      <c r="W38" s="1574">
        <f t="shared" si="12"/>
        <v>100</v>
      </c>
      <c r="X38" s="1567"/>
      <c r="Y38" s="3522" t="s">
        <v>551</v>
      </c>
      <c r="Z38" s="1575">
        <f t="shared" si="13"/>
        <v>0</v>
      </c>
      <c r="AA38" s="1576">
        <f t="shared" si="3"/>
        <v>1</v>
      </c>
      <c r="AB38" s="1576">
        <f t="shared" si="4"/>
        <v>1</v>
      </c>
      <c r="AC38" s="1576">
        <f t="shared" si="5"/>
        <v>1</v>
      </c>
    </row>
    <row r="39" spans="1:29" s="1339" customFormat="1" ht="21" hidden="1" thickBot="1">
      <c r="A39" s="591"/>
      <c r="B39" s="592"/>
      <c r="C39" s="593"/>
      <c r="D39" s="742">
        <v>100</v>
      </c>
      <c r="E39" s="595"/>
      <c r="F39" s="549">
        <f>SUMIF(116:116,E39,117:117)-SUMIF(116:116,C39,117:117)+100</f>
        <v>100</v>
      </c>
      <c r="G39" s="743"/>
      <c r="H39" s="549">
        <f>SUMIF(116:116,G39,117:117)-SUMIF(116:116,C39,117:117)+100</f>
        <v>100</v>
      </c>
      <c r="I39" s="595"/>
      <c r="J39" s="549">
        <f>SUMIF(116:116,I39,117:117)-SUMIF(116:116,C39,117:117)+100</f>
        <v>100</v>
      </c>
      <c r="K39" s="583"/>
      <c r="L39" s="2141"/>
      <c r="M39" s="2133"/>
      <c r="N39" s="2133"/>
      <c r="O39" s="2144"/>
      <c r="P39" s="3522"/>
      <c r="Q39" s="1572">
        <f t="shared" si="8"/>
        <v>0</v>
      </c>
      <c r="R39" s="1577" t="s">
        <v>8</v>
      </c>
      <c r="S39" s="1578">
        <f t="shared" si="10"/>
        <v>100</v>
      </c>
      <c r="T39" s="1577" t="s">
        <v>8</v>
      </c>
      <c r="U39" s="1578">
        <f t="shared" si="11"/>
        <v>100</v>
      </c>
      <c r="V39" s="1577" t="s">
        <v>8</v>
      </c>
      <c r="W39" s="1578">
        <f t="shared" si="12"/>
        <v>100</v>
      </c>
      <c r="X39" s="1579"/>
      <c r="Y39" s="3522"/>
      <c r="Z39" s="1580">
        <f t="shared" si="13"/>
        <v>0</v>
      </c>
      <c r="AA39" s="1576">
        <f t="shared" si="3"/>
        <v>1</v>
      </c>
      <c r="AB39" s="1576">
        <f t="shared" si="4"/>
        <v>1</v>
      </c>
      <c r="AC39" s="1576">
        <f t="shared" si="5"/>
        <v>1</v>
      </c>
    </row>
    <row r="40" spans="1:29" ht="20.25">
      <c r="A40" s="2934" t="s">
        <v>2758</v>
      </c>
      <c r="B40" s="597" t="s">
        <v>553</v>
      </c>
      <c r="C40" s="3238"/>
      <c r="D40" s="599">
        <v>100</v>
      </c>
      <c r="E40" s="598">
        <f>土地案例!D5</f>
        <v>49457.58</v>
      </c>
      <c r="F40" s="599">
        <f>LOOKUP(E40,119:119,120:120)-LOOKUP(C40,119:119,120:120)+100</f>
        <v>100</v>
      </c>
      <c r="G40" s="598">
        <f>土地案例!D6</f>
        <v>185492.41</v>
      </c>
      <c r="H40" s="599">
        <f>LOOKUP(G40,119:119,120:120)-LOOKUP(C40,119:119,120:120)+100</f>
        <v>100</v>
      </c>
      <c r="I40" s="600">
        <f>土地案例!D15</f>
        <v>32969</v>
      </c>
      <c r="J40" s="599">
        <f>LOOKUP(I40,119:119,120:120)-LOOKUP(C40,119:119,120:120)+100</f>
        <v>100</v>
      </c>
      <c r="K40" s="583"/>
      <c r="L40" s="2143"/>
      <c r="M40" s="2133"/>
      <c r="N40" s="2133"/>
      <c r="O40" s="2142"/>
      <c r="P40" s="3522"/>
      <c r="Q40" s="1572" t="str">
        <f>B40</f>
        <v>宗地面积</v>
      </c>
      <c r="R40" s="1573" t="s">
        <v>8</v>
      </c>
      <c r="S40" s="1574">
        <f t="shared" si="10"/>
        <v>100</v>
      </c>
      <c r="T40" s="1573" t="s">
        <v>8</v>
      </c>
      <c r="U40" s="1574">
        <f t="shared" si="11"/>
        <v>100</v>
      </c>
      <c r="V40" s="1573" t="s">
        <v>8</v>
      </c>
      <c r="W40" s="1574">
        <f t="shared" si="12"/>
        <v>100</v>
      </c>
      <c r="X40" s="1567"/>
      <c r="Y40" s="3522"/>
      <c r="Z40" s="1575" t="str">
        <f t="shared" si="13"/>
        <v>宗地面积</v>
      </c>
      <c r="AA40" s="1576">
        <f t="shared" si="3"/>
        <v>1</v>
      </c>
      <c r="AB40" s="1576">
        <f t="shared" si="4"/>
        <v>1</v>
      </c>
      <c r="AC40" s="1576">
        <f t="shared" si="5"/>
        <v>1</v>
      </c>
    </row>
    <row r="41" spans="1:29" ht="20.25">
      <c r="A41" s="596"/>
      <c r="B41" s="530" t="s">
        <v>554</v>
      </c>
      <c r="C41" s="601" t="s">
        <v>3285</v>
      </c>
      <c r="D41" s="543">
        <v>100</v>
      </c>
      <c r="E41" s="601" t="s">
        <v>3285</v>
      </c>
      <c r="F41" s="543">
        <f>SUMIF(121:121,E41,122:122)-SUMIF(121:121,C41,122:122)+100</f>
        <v>100</v>
      </c>
      <c r="G41" s="601" t="s">
        <v>3285</v>
      </c>
      <c r="H41" s="543">
        <f>SUMIF(121:121,G41,122:122)-SUMIF(121:121,C41,122:122)+100</f>
        <v>100</v>
      </c>
      <c r="I41" s="601" t="s">
        <v>3285</v>
      </c>
      <c r="J41" s="543">
        <f>SUMIF(121:121,I41,122:122)-SUMIF(121:121,C41,122:122)+100</f>
        <v>100</v>
      </c>
      <c r="K41" s="586"/>
      <c r="L41" s="2143"/>
      <c r="M41" s="2133"/>
      <c r="N41" s="2133"/>
      <c r="O41" s="2142"/>
      <c r="P41" s="3522"/>
      <c r="Q41" s="1572" t="str">
        <f t="shared" ref="Q41:Q47" si="14">B41</f>
        <v>宗地形状</v>
      </c>
      <c r="R41" s="1573" t="s">
        <v>8</v>
      </c>
      <c r="S41" s="1574">
        <f t="shared" si="10"/>
        <v>100</v>
      </c>
      <c r="T41" s="1573" t="s">
        <v>8</v>
      </c>
      <c r="U41" s="1574">
        <f t="shared" si="11"/>
        <v>100</v>
      </c>
      <c r="V41" s="1573" t="s">
        <v>8</v>
      </c>
      <c r="W41" s="1574">
        <f t="shared" si="12"/>
        <v>100</v>
      </c>
      <c r="X41" s="1567"/>
      <c r="Y41" s="3522"/>
      <c r="Z41" s="1575" t="str">
        <f t="shared" si="13"/>
        <v>宗地形状</v>
      </c>
      <c r="AA41" s="1576">
        <f t="shared" si="3"/>
        <v>1</v>
      </c>
      <c r="AB41" s="1576">
        <f t="shared" si="4"/>
        <v>1</v>
      </c>
      <c r="AC41" s="1576">
        <f t="shared" si="5"/>
        <v>1</v>
      </c>
    </row>
    <row r="42" spans="1:29" ht="20.25" hidden="1">
      <c r="A42" s="596"/>
      <c r="B42" s="530" t="s">
        <v>555</v>
      </c>
      <c r="C42" s="601"/>
      <c r="D42" s="543">
        <v>100</v>
      </c>
      <c r="E42" s="601"/>
      <c r="F42" s="543">
        <f>SUMIF(123:123,E42,124:124)-SUMIF(123:123,C42,124:124)+100</f>
        <v>100</v>
      </c>
      <c r="G42" s="601"/>
      <c r="H42" s="543">
        <f>SUMIF(123:123,G42,124:124)-SUMIF(123:123,C42,124:124)+100</f>
        <v>100</v>
      </c>
      <c r="I42" s="601"/>
      <c r="J42" s="543">
        <f>SUMIF(123:123,I42,124:124)-SUMIF(123:123,C42,124:124)+100</f>
        <v>100</v>
      </c>
      <c r="K42" s="586"/>
      <c r="L42" s="2143"/>
      <c r="M42" s="2133"/>
      <c r="N42" s="2133"/>
      <c r="O42" s="2142"/>
      <c r="P42" s="3522"/>
      <c r="Q42" s="1572" t="str">
        <f t="shared" si="14"/>
        <v>临街宽度及深度</v>
      </c>
      <c r="R42" s="1573" t="s">
        <v>8</v>
      </c>
      <c r="S42" s="1574">
        <f t="shared" si="10"/>
        <v>100</v>
      </c>
      <c r="T42" s="1573" t="s">
        <v>8</v>
      </c>
      <c r="U42" s="1574">
        <f t="shared" si="11"/>
        <v>100</v>
      </c>
      <c r="V42" s="1573" t="s">
        <v>8</v>
      </c>
      <c r="W42" s="1574">
        <f t="shared" si="12"/>
        <v>100</v>
      </c>
      <c r="X42" s="1567"/>
      <c r="Y42" s="3522"/>
      <c r="Z42" s="1575" t="str">
        <f t="shared" si="13"/>
        <v>临街宽度及深度</v>
      </c>
      <c r="AA42" s="1576">
        <f t="shared" si="3"/>
        <v>1</v>
      </c>
      <c r="AB42" s="1576">
        <f t="shared" si="4"/>
        <v>1</v>
      </c>
      <c r="AC42" s="1576">
        <f t="shared" si="5"/>
        <v>1</v>
      </c>
    </row>
    <row r="43" spans="1:29" s="1220" customFormat="1" ht="20.25">
      <c r="A43" s="602"/>
      <c r="B43" s="1896" t="s">
        <v>2424</v>
      </c>
      <c r="C43" s="603" t="s">
        <v>3257</v>
      </c>
      <c r="D43" s="255">
        <v>100</v>
      </c>
      <c r="E43" s="603" t="s">
        <v>3257</v>
      </c>
      <c r="F43" s="543">
        <f>SUMIF(125:125,E43,126:126)-SUMIF(125:125,C43,126:126)+100</f>
        <v>100</v>
      </c>
      <c r="G43" s="603" t="s">
        <v>3257</v>
      </c>
      <c r="H43" s="543">
        <f>SUMIF(125:125,G43,126:126)-SUMIF(125:125,C43,126:126)+100</f>
        <v>100</v>
      </c>
      <c r="I43" s="603" t="s">
        <v>3257</v>
      </c>
      <c r="J43" s="543">
        <f>SUMIF(125:125,I43,126:126)-SUMIF(125:125,C43,126:126)+100</f>
        <v>100</v>
      </c>
      <c r="K43" s="586"/>
      <c r="L43" s="2136"/>
      <c r="M43" s="2133"/>
      <c r="N43" s="2133"/>
      <c r="O43" s="2138"/>
      <c r="P43" s="3522"/>
      <c r="Q43" s="1572" t="str">
        <f t="shared" si="14"/>
        <v>宗地开发程度</v>
      </c>
      <c r="R43" s="1568" t="s">
        <v>8</v>
      </c>
      <c r="S43" s="1569">
        <f t="shared" si="10"/>
        <v>100</v>
      </c>
      <c r="T43" s="1568" t="s">
        <v>8</v>
      </c>
      <c r="U43" s="1569">
        <f t="shared" si="11"/>
        <v>100</v>
      </c>
      <c r="V43" s="1568" t="s">
        <v>8</v>
      </c>
      <c r="W43" s="1569">
        <f t="shared" si="12"/>
        <v>100</v>
      </c>
      <c r="X43" s="1570"/>
      <c r="Y43" s="3522"/>
      <c r="Z43" s="1150" t="str">
        <f t="shared" si="13"/>
        <v>宗地开发程度</v>
      </c>
      <c r="AA43" s="1571">
        <f t="shared" si="3"/>
        <v>1</v>
      </c>
      <c r="AB43" s="1571">
        <f t="shared" si="4"/>
        <v>1</v>
      </c>
      <c r="AC43" s="1571">
        <f t="shared" si="5"/>
        <v>1</v>
      </c>
    </row>
    <row r="44" spans="1:29" ht="21" thickBot="1">
      <c r="A44" s="596"/>
      <c r="B44" s="530" t="s">
        <v>556</v>
      </c>
      <c r="C44" s="601" t="s">
        <v>3229</v>
      </c>
      <c r="D44" s="543">
        <v>100</v>
      </c>
      <c r="E44" s="601" t="s">
        <v>3229</v>
      </c>
      <c r="F44" s="543">
        <f>SUMIF(127:127,E44,128:128)-SUMIF(127:127,C44,128:128)+100</f>
        <v>100</v>
      </c>
      <c r="G44" s="601" t="s">
        <v>3229</v>
      </c>
      <c r="H44" s="543">
        <f>SUMIF(127:127,G44,128:128)-SUMIF(127:127,C44,128:128)+100</f>
        <v>100</v>
      </c>
      <c r="I44" s="601" t="s">
        <v>3229</v>
      </c>
      <c r="J44" s="543">
        <f>SUMIF(127:127,I44,128:128)-SUMIF(127:127,C44,128:128)+100</f>
        <v>100</v>
      </c>
      <c r="K44" s="586"/>
      <c r="L44" s="2143"/>
      <c r="M44" s="2133"/>
      <c r="N44" s="2133"/>
      <c r="O44" s="2142"/>
      <c r="P44" s="3522" t="s">
        <v>551</v>
      </c>
      <c r="Q44" s="1572" t="str">
        <f t="shared" si="14"/>
        <v>工程地质条件</v>
      </c>
      <c r="R44" s="1573" t="s">
        <v>8</v>
      </c>
      <c r="S44" s="1574">
        <f t="shared" si="10"/>
        <v>100</v>
      </c>
      <c r="T44" s="1573" t="s">
        <v>8</v>
      </c>
      <c r="U44" s="1574">
        <f t="shared" si="11"/>
        <v>100</v>
      </c>
      <c r="V44" s="1573" t="s">
        <v>8</v>
      </c>
      <c r="W44" s="1574">
        <f t="shared" si="12"/>
        <v>100</v>
      </c>
      <c r="X44" s="1567"/>
      <c r="Y44" s="3522" t="s">
        <v>551</v>
      </c>
      <c r="Z44" s="1575" t="str">
        <f t="shared" si="13"/>
        <v>工程地质条件</v>
      </c>
      <c r="AA44" s="1576">
        <f t="shared" si="3"/>
        <v>1</v>
      </c>
      <c r="AB44" s="1576">
        <f t="shared" si="4"/>
        <v>1</v>
      </c>
      <c r="AC44" s="1576">
        <f t="shared" si="5"/>
        <v>1</v>
      </c>
    </row>
    <row r="45" spans="1:29" ht="20.25" hidden="1">
      <c r="A45" s="596"/>
      <c r="B45" s="604"/>
      <c r="C45" s="545"/>
      <c r="D45" s="543">
        <v>100</v>
      </c>
      <c r="E45" s="545"/>
      <c r="F45" s="543">
        <f>SUMIF(129:129,E45,130:130)-SUMIF(129:129,C45,130:130)+100</f>
        <v>100</v>
      </c>
      <c r="G45" s="545"/>
      <c r="H45" s="543">
        <f>SUMIF(129:129,G45,130:130)-SUMIF(129:129,C45,130:130)+100</f>
        <v>100</v>
      </c>
      <c r="I45" s="544"/>
      <c r="J45" s="543">
        <f>SUMIF(129:129,I45,130:130)-SUMIF(129:129,C45,130:130)+100</f>
        <v>100</v>
      </c>
      <c r="K45" s="583"/>
      <c r="L45" s="2143"/>
      <c r="M45" s="2133"/>
      <c r="N45" s="2133"/>
      <c r="O45" s="2142"/>
      <c r="P45" s="3522"/>
      <c r="Q45" s="1572">
        <f t="shared" si="14"/>
        <v>0</v>
      </c>
      <c r="R45" s="1573" t="s">
        <v>8</v>
      </c>
      <c r="S45" s="1574">
        <f t="shared" si="10"/>
        <v>100</v>
      </c>
      <c r="T45" s="1573" t="s">
        <v>8</v>
      </c>
      <c r="U45" s="1574">
        <f t="shared" si="11"/>
        <v>100</v>
      </c>
      <c r="V45" s="1573" t="s">
        <v>8</v>
      </c>
      <c r="W45" s="1574">
        <f t="shared" si="12"/>
        <v>100</v>
      </c>
      <c r="X45" s="1567"/>
      <c r="Y45" s="3522"/>
      <c r="Z45" s="1575">
        <f t="shared" si="13"/>
        <v>0</v>
      </c>
      <c r="AA45" s="1576">
        <f t="shared" si="3"/>
        <v>1</v>
      </c>
      <c r="AB45" s="1576">
        <f t="shared" si="4"/>
        <v>1</v>
      </c>
      <c r="AC45" s="1576">
        <f t="shared" si="5"/>
        <v>1</v>
      </c>
    </row>
    <row r="46" spans="1:29" ht="20.25" hidden="1">
      <c r="A46" s="596"/>
      <c r="B46" s="604"/>
      <c r="C46" s="545"/>
      <c r="D46" s="543">
        <v>100</v>
      </c>
      <c r="E46" s="545"/>
      <c r="F46" s="543">
        <f>SUMIF(131:131,E46,132:132)-SUMIF(131:131,C46,132:132)+100</f>
        <v>100</v>
      </c>
      <c r="G46" s="545"/>
      <c r="H46" s="543">
        <f>SUMIF(131:131,G46,132:132)-SUMIF(131:131,C46,132:132)+100</f>
        <v>100</v>
      </c>
      <c r="I46" s="544"/>
      <c r="J46" s="543">
        <f>SUMIF(131:131,I46,132:132)-SUMIF(131:131,C46,132:132)+100</f>
        <v>100</v>
      </c>
      <c r="K46" s="583"/>
      <c r="L46" s="2143"/>
      <c r="M46" s="2133"/>
      <c r="N46" s="2133"/>
      <c r="O46" s="2142"/>
      <c r="P46" s="3522"/>
      <c r="Q46" s="1572">
        <f t="shared" si="14"/>
        <v>0</v>
      </c>
      <c r="R46" s="1573" t="s">
        <v>8</v>
      </c>
      <c r="S46" s="1574">
        <f t="shared" si="10"/>
        <v>100</v>
      </c>
      <c r="T46" s="1573" t="s">
        <v>8</v>
      </c>
      <c r="U46" s="1574">
        <f t="shared" si="11"/>
        <v>100</v>
      </c>
      <c r="V46" s="1573" t="s">
        <v>8</v>
      </c>
      <c r="W46" s="1574">
        <f t="shared" si="12"/>
        <v>100</v>
      </c>
      <c r="X46" s="1567"/>
      <c r="Y46" s="3522"/>
      <c r="Z46" s="1575">
        <f t="shared" si="13"/>
        <v>0</v>
      </c>
      <c r="AA46" s="1576">
        <f t="shared" si="3"/>
        <v>1</v>
      </c>
      <c r="AB46" s="1576">
        <f t="shared" si="4"/>
        <v>1</v>
      </c>
      <c r="AC46" s="1576">
        <f t="shared" si="5"/>
        <v>1</v>
      </c>
    </row>
    <row r="47" spans="1:29" s="1339" customFormat="1" ht="21" hidden="1" thickBot="1">
      <c r="A47" s="605"/>
      <c r="B47" s="604"/>
      <c r="C47" s="606"/>
      <c r="D47" s="607">
        <v>100</v>
      </c>
      <c r="E47" s="545"/>
      <c r="F47" s="549">
        <f>SUMIF(133:133,E47,134:134)-SUMIF(133:133,C47,134:134)+100</f>
        <v>100</v>
      </c>
      <c r="G47" s="545"/>
      <c r="H47" s="549">
        <f>SUMIF(133:133,G47,134:134)-SUMIF(133:133,C47,134:134)+100</f>
        <v>100</v>
      </c>
      <c r="I47" s="545"/>
      <c r="J47" s="549">
        <f>SUMIF(133:133,I47,134:134)-SUMIF(133:133,C47,134:134)+100</f>
        <v>100</v>
      </c>
      <c r="K47" s="608"/>
      <c r="L47" s="2141"/>
      <c r="M47" s="2133"/>
      <c r="N47" s="2133"/>
      <c r="O47" s="2144"/>
      <c r="P47" s="3522"/>
      <c r="Q47" s="1572">
        <f t="shared" si="14"/>
        <v>0</v>
      </c>
      <c r="R47" s="1577" t="s">
        <v>8</v>
      </c>
      <c r="S47" s="1578">
        <f t="shared" si="10"/>
        <v>100</v>
      </c>
      <c r="T47" s="1577" t="s">
        <v>8</v>
      </c>
      <c r="U47" s="1578">
        <f t="shared" si="11"/>
        <v>100</v>
      </c>
      <c r="V47" s="1577" t="s">
        <v>8</v>
      </c>
      <c r="W47" s="1578">
        <f t="shared" si="12"/>
        <v>100</v>
      </c>
      <c r="X47" s="1579"/>
      <c r="Y47" s="3522"/>
      <c r="Z47" s="1580">
        <f t="shared" si="13"/>
        <v>0</v>
      </c>
      <c r="AA47" s="1576">
        <f t="shared" si="3"/>
        <v>1</v>
      </c>
      <c r="AB47" s="1576">
        <f t="shared" si="4"/>
        <v>1</v>
      </c>
      <c r="AC47" s="1576">
        <f t="shared" si="5"/>
        <v>1</v>
      </c>
    </row>
    <row r="48" spans="1:29" ht="20.25">
      <c r="A48" s="609" t="s">
        <v>557</v>
      </c>
      <c r="B48" s="610" t="s">
        <v>3022</v>
      </c>
      <c r="C48" s="611" t="s">
        <v>1</v>
      </c>
      <c r="D48" s="612"/>
      <c r="E48" s="613">
        <v>900</v>
      </c>
      <c r="F48" s="614"/>
      <c r="G48" s="615">
        <v>998</v>
      </c>
      <c r="H48" s="616"/>
      <c r="I48" s="613">
        <v>930</v>
      </c>
      <c r="J48" s="616"/>
      <c r="K48" s="1340"/>
      <c r="L48" s="2145"/>
      <c r="M48" s="2133"/>
      <c r="N48" s="2133"/>
      <c r="O48" s="2146"/>
      <c r="P48" s="3517" t="str">
        <f>A48</f>
        <v>成交单价</v>
      </c>
      <c r="Q48" s="3517"/>
      <c r="R48" s="3531">
        <f>E48</f>
        <v>900</v>
      </c>
      <c r="S48" s="3531"/>
      <c r="T48" s="3531">
        <f>G48</f>
        <v>998</v>
      </c>
      <c r="U48" s="3531"/>
      <c r="V48" s="3531">
        <f>I48</f>
        <v>930</v>
      </c>
      <c r="W48" s="3531"/>
      <c r="X48" s="1559"/>
      <c r="Y48" s="1581"/>
      <c r="Z48" s="1559"/>
      <c r="AA48" s="1559"/>
      <c r="AB48" s="1559"/>
      <c r="AC48" s="1559"/>
    </row>
    <row r="49" spans="1:29" ht="21" thickBot="1">
      <c r="A49" s="617" t="s">
        <v>2696</v>
      </c>
      <c r="B49" s="618"/>
      <c r="C49" s="619">
        <f>R50</f>
        <v>881</v>
      </c>
      <c r="D49" s="620"/>
      <c r="E49" s="619">
        <f>R49</f>
        <v>775</v>
      </c>
      <c r="F49" s="621"/>
      <c r="G49" s="622">
        <f>T49</f>
        <v>988</v>
      </c>
      <c r="H49" s="620"/>
      <c r="I49" s="619">
        <f>V49</f>
        <v>881</v>
      </c>
      <c r="J49" s="620"/>
      <c r="K49" s="1341"/>
      <c r="L49" s="2145"/>
      <c r="M49" s="2133"/>
      <c r="N49" s="2133"/>
      <c r="O49" s="2146"/>
      <c r="P49" s="3517" t="str">
        <f>A49</f>
        <v>比较价格（元/平方米）</v>
      </c>
      <c r="Q49" s="3517"/>
      <c r="R49" s="3542">
        <f>ROUND(PRODUCT(R48,AA9:AA47),0)</f>
        <v>775</v>
      </c>
      <c r="S49" s="3542"/>
      <c r="T49" s="3542">
        <f>ROUND(PRODUCT(T48,AB9:AB47),0)</f>
        <v>988</v>
      </c>
      <c r="U49" s="3542"/>
      <c r="V49" s="3542">
        <f>ROUND(PRODUCT(V48,AC9:AC47),0)</f>
        <v>881</v>
      </c>
      <c r="W49" s="3542"/>
      <c r="X49" s="1559"/>
      <c r="Y49" s="1559"/>
      <c r="Z49" s="1559"/>
      <c r="AA49" s="1559"/>
      <c r="AB49" s="1559"/>
      <c r="AC49" s="1559"/>
    </row>
    <row r="50" spans="1:29" ht="21" thickBot="1">
      <c r="A50" s="623" t="s">
        <v>2930</v>
      </c>
      <c r="B50" s="624"/>
      <c r="C50" s="625">
        <f>R50</f>
        <v>881</v>
      </c>
      <c r="D50" s="625"/>
      <c r="E50" s="625"/>
      <c r="F50" s="625"/>
      <c r="G50" s="625"/>
      <c r="H50" s="625"/>
      <c r="I50" s="625"/>
      <c r="J50" s="625"/>
      <c r="K50" s="1342"/>
      <c r="L50" s="2145"/>
      <c r="M50" s="2133"/>
      <c r="N50" s="2133"/>
      <c r="O50" s="2146"/>
      <c r="P50" s="3539" t="str">
        <f>A50</f>
        <v>估价对象XX用房的比较价格（楼面单价，元/平方米）</v>
      </c>
      <c r="Q50" s="3540"/>
      <c r="R50" s="3541">
        <f>ROUND(AVERAGE(R49:V49),0)</f>
        <v>881</v>
      </c>
      <c r="S50" s="3541"/>
      <c r="T50" s="3541"/>
      <c r="U50" s="3541"/>
      <c r="V50" s="3541"/>
      <c r="W50" s="3541"/>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6" t="s">
        <v>558</v>
      </c>
      <c r="D53" s="627"/>
      <c r="E53" s="628">
        <f>IF(E48&lt;E49,E49/E48-1,E48/E49-1)</f>
        <v>0.16129032258064524</v>
      </c>
      <c r="F53" s="629" t="str">
        <f>IF(OR(E53&gt;=0.3,E53&lt;=-0.3),"超过30%","")</f>
        <v/>
      </c>
      <c r="G53" s="628">
        <f>IF(G48&lt;G49,G49/G48-1,G48/G49-1)</f>
        <v>1.0121457489878471E-2</v>
      </c>
      <c r="H53" s="629" t="str">
        <f>IF(OR(G53&gt;=0.3,G53&lt;=-0.3),"超过30%","")</f>
        <v/>
      </c>
      <c r="I53" s="628">
        <f>IF(I48&lt;I49,I49/I48-1,I48/I49-1)</f>
        <v>5.5618615209988675E-2</v>
      </c>
      <c r="J53" s="629"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6" t="s">
        <v>559</v>
      </c>
      <c r="D54" s="630"/>
      <c r="E54" s="628">
        <f>IF(E49&lt;G49,G49/E49-1,E49/G49-1)</f>
        <v>0.27483870967741941</v>
      </c>
      <c r="F54" s="629" t="str">
        <f>IF(OR(E54&gt;=0.2,E54&lt;=-0.2),"超过20%","")</f>
        <v>超过20%</v>
      </c>
      <c r="G54" s="628">
        <f>IF(G49&lt;I49,I49/G49-1,G49/I49-1)</f>
        <v>0.12145289443813856</v>
      </c>
      <c r="H54" s="629" t="str">
        <f>IF(OR(G54&gt;=0.2,G54&lt;=-0.2),"超过20%","")</f>
        <v/>
      </c>
      <c r="I54" s="628">
        <f>IF(I49&lt;E49,E49/I49-1,I49/E49-1)</f>
        <v>0.13677419354838705</v>
      </c>
      <c r="J54" s="629"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6" t="s">
        <v>560</v>
      </c>
      <c r="D55" s="630"/>
      <c r="E55" s="628">
        <f>IF(E48&lt;G48,G48/E48-1,E48/G48-1)</f>
        <v>0.10888888888888881</v>
      </c>
      <c r="F55" s="629" t="str">
        <f>IF(OR(E55&gt;=0.3,E55&lt;=-0.3),"超过30%","")</f>
        <v/>
      </c>
      <c r="G55" s="628">
        <f>IF(G48&lt;I48,I48/G48-1,G48/I48-1)</f>
        <v>7.3118279569892364E-2</v>
      </c>
      <c r="H55" s="629" t="str">
        <f>IF(OR(G55&gt;=0.3,G55&lt;=-0.3),"超过30%","")</f>
        <v/>
      </c>
      <c r="I55" s="628">
        <f>IF(I48&lt;E48,E48/I48-1,I48/E48-1)</f>
        <v>3.3333333333333437E-2</v>
      </c>
      <c r="J55" s="629"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31" t="s">
        <v>561</v>
      </c>
      <c r="B57" s="632" t="s">
        <v>562</v>
      </c>
      <c r="C57" s="1560" t="s">
        <v>1725</v>
      </c>
      <c r="D57" s="2228" t="s">
        <v>2293</v>
      </c>
      <c r="E57" s="633" t="s">
        <v>563</v>
      </c>
      <c r="F57" s="634" t="s">
        <v>564</v>
      </c>
      <c r="G57" s="3501" t="s">
        <v>2281</v>
      </c>
      <c r="H57" s="3502"/>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5" t="s">
        <v>565</v>
      </c>
      <c r="B58" s="636">
        <f>C50</f>
        <v>881</v>
      </c>
      <c r="C58" s="637">
        <v>1</v>
      </c>
      <c r="D58" s="2229">
        <v>1</v>
      </c>
      <c r="E58" s="637">
        <f>'数据-汇总表'!E8+'数据-汇总表'!E9</f>
        <v>114363</v>
      </c>
      <c r="F58" s="638">
        <f t="shared" ref="F58:F67" si="15">ROUND(B58*E58/10000,0)</f>
        <v>10075</v>
      </c>
      <c r="G58" s="3503"/>
      <c r="H58" s="3504"/>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9" t="s">
        <v>566</v>
      </c>
      <c r="B59" s="640">
        <f>ROUND($C$50*C59*D59,0)</f>
        <v>0</v>
      </c>
      <c r="C59" s="381">
        <f t="shared" ref="C59:C67" si="16">IF($C$57="北京市系数",I59,J59)</f>
        <v>0</v>
      </c>
      <c r="D59" s="2230">
        <v>0.25</v>
      </c>
      <c r="E59" s="641">
        <v>0</v>
      </c>
      <c r="F59" s="638">
        <f t="shared" si="15"/>
        <v>0</v>
      </c>
      <c r="G59" s="3505" t="s">
        <v>2282</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9" t="s">
        <v>567</v>
      </c>
      <c r="B60" s="640">
        <f t="shared" ref="B60:B67" si="17">ROUND($C$50*C60*D60,0)</f>
        <v>0</v>
      </c>
      <c r="C60" s="381">
        <f t="shared" si="16"/>
        <v>0</v>
      </c>
      <c r="D60" s="2230">
        <v>0.25</v>
      </c>
      <c r="E60" s="641">
        <v>0</v>
      </c>
      <c r="F60" s="638">
        <f t="shared" si="15"/>
        <v>0</v>
      </c>
      <c r="G60" s="3505"/>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9" t="s">
        <v>568</v>
      </c>
      <c r="B61" s="640">
        <f t="shared" si="17"/>
        <v>0</v>
      </c>
      <c r="C61" s="381">
        <f t="shared" si="16"/>
        <v>0</v>
      </c>
      <c r="D61" s="2230">
        <v>0.25</v>
      </c>
      <c r="E61" s="641">
        <v>0</v>
      </c>
      <c r="F61" s="638">
        <f t="shared" si="15"/>
        <v>0</v>
      </c>
      <c r="G61" s="3505"/>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9" t="s">
        <v>569</v>
      </c>
      <c r="B62" s="640">
        <f t="shared" si="17"/>
        <v>0</v>
      </c>
      <c r="C62" s="381">
        <f t="shared" si="16"/>
        <v>0</v>
      </c>
      <c r="D62" s="2230">
        <v>0.25</v>
      </c>
      <c r="E62" s="641">
        <v>0</v>
      </c>
      <c r="F62" s="638">
        <f t="shared" si="15"/>
        <v>0</v>
      </c>
      <c r="G62" s="3505"/>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40">
        <f t="shared" si="17"/>
        <v>0</v>
      </c>
      <c r="C63" s="381">
        <f t="shared" si="16"/>
        <v>0</v>
      </c>
      <c r="D63" s="2230">
        <v>0.25</v>
      </c>
      <c r="E63" s="643">
        <f>'数据-汇总表'!E11</f>
        <v>0</v>
      </c>
      <c r="F63" s="638">
        <f t="shared" si="15"/>
        <v>0</v>
      </c>
      <c r="G63" s="1946" t="s">
        <v>2283</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9" t="s">
        <v>570</v>
      </c>
      <c r="B64" s="640">
        <f t="shared" si="17"/>
        <v>0</v>
      </c>
      <c r="C64" s="381">
        <f t="shared" si="16"/>
        <v>0</v>
      </c>
      <c r="D64" s="2230">
        <v>0.25</v>
      </c>
      <c r="E64" s="643">
        <f>'数据-汇总表'!E12</f>
        <v>0</v>
      </c>
      <c r="F64" s="638">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9" t="s">
        <v>571</v>
      </c>
      <c r="B65" s="640">
        <f t="shared" si="17"/>
        <v>0</v>
      </c>
      <c r="C65" s="381">
        <f t="shared" si="16"/>
        <v>0</v>
      </c>
      <c r="D65" s="2230">
        <v>0.25</v>
      </c>
      <c r="E65" s="643">
        <f>'数据-汇总表'!E13</f>
        <v>0</v>
      </c>
      <c r="F65" s="638">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9" t="s">
        <v>572</v>
      </c>
      <c r="B66" s="640">
        <f t="shared" si="17"/>
        <v>0</v>
      </c>
      <c r="C66" s="381">
        <f t="shared" si="16"/>
        <v>0</v>
      </c>
      <c r="D66" s="2230">
        <v>0.25</v>
      </c>
      <c r="E66" s="643">
        <f>'数据-汇总表'!E14</f>
        <v>0</v>
      </c>
      <c r="F66" s="638">
        <f t="shared" si="15"/>
        <v>0</v>
      </c>
      <c r="G66" s="1946" t="s">
        <v>2282</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9" t="s">
        <v>573</v>
      </c>
      <c r="B67" s="640">
        <f t="shared" si="17"/>
        <v>0</v>
      </c>
      <c r="C67" s="381">
        <f t="shared" si="16"/>
        <v>0</v>
      </c>
      <c r="D67" s="2230">
        <v>0.25</v>
      </c>
      <c r="E67" s="643">
        <f>'数据-汇总表'!E15</f>
        <v>0</v>
      </c>
      <c r="F67" s="638">
        <f t="shared" si="15"/>
        <v>0</v>
      </c>
      <c r="G67" s="1948" t="s">
        <v>2283</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4" t="s">
        <v>574</v>
      </c>
      <c r="B68" s="645" t="s">
        <v>17</v>
      </c>
      <c r="C68" s="645" t="s">
        <v>18</v>
      </c>
      <c r="D68" s="645" t="s">
        <v>2294</v>
      </c>
      <c r="E68" s="645">
        <f>IF(B48="楼面地价",SUM(E58:E67),'数据-汇总表'!D3)</f>
        <v>76242</v>
      </c>
      <c r="F68" s="646">
        <f>IF(B48="楼面地价",SUM(F58:F67),ROUND(C50*E68/10000,0))</f>
        <v>6717</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6" t="str">
        <f>YEAR(C9)&amp;"-"&amp;MONTH(C9)&amp;"-1"</f>
        <v>2017-11-1</v>
      </c>
      <c r="D70" s="2826">
        <f>EDATE(C70,-3)</f>
        <v>42948</v>
      </c>
      <c r="E70" s="2826">
        <f t="shared" ref="E70:N70" si="18">EDATE(D70,-3)</f>
        <v>42856</v>
      </c>
      <c r="F70" s="2826">
        <f t="shared" si="18"/>
        <v>42767</v>
      </c>
      <c r="G70" s="2826">
        <f t="shared" si="18"/>
        <v>42675</v>
      </c>
      <c r="H70" s="2826">
        <f t="shared" si="18"/>
        <v>42583</v>
      </c>
      <c r="I70" s="2826">
        <f t="shared" si="18"/>
        <v>42491</v>
      </c>
      <c r="J70" s="2826">
        <f t="shared" si="18"/>
        <v>42401</v>
      </c>
      <c r="K70" s="2826">
        <f t="shared" si="18"/>
        <v>42309</v>
      </c>
      <c r="L70" s="2826">
        <f t="shared" si="18"/>
        <v>42217</v>
      </c>
      <c r="M70" s="2826">
        <f t="shared" si="18"/>
        <v>42125</v>
      </c>
      <c r="N70" s="2826">
        <f t="shared" si="18"/>
        <v>42036</v>
      </c>
      <c r="O70" s="2146"/>
      <c r="P70" s="2146"/>
      <c r="Q70" s="2146"/>
      <c r="R70" s="2146"/>
      <c r="S70" s="2146"/>
      <c r="T70" s="2146"/>
      <c r="U70" s="2146"/>
      <c r="V70" s="2146"/>
      <c r="W70" s="2146"/>
      <c r="X70" s="2146"/>
      <c r="Y70" s="2146"/>
      <c r="Z70" s="2146"/>
      <c r="AA70" s="2146"/>
      <c r="AB70" s="2146"/>
      <c r="AC70" s="2146"/>
    </row>
    <row r="71" spans="1:29" ht="21.75"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2534</v>
      </c>
      <c r="B72" s="2594"/>
      <c r="C72" s="2821" t="str">
        <f>YEAR(C70)&amp;"-"&amp;ROUNDUP(MONTH(C70)/3,0)</f>
        <v>2017-4</v>
      </c>
      <c r="D72" s="2828" t="str">
        <f>YEAR(D70)&amp;"-"&amp;ROUNDUP(MONTH(D70)/3,0)</f>
        <v>2017-3</v>
      </c>
      <c r="E72" s="2828" t="str">
        <f t="shared" ref="E72:N72" si="19">YEAR(E70)&amp;"-"&amp;ROUNDUP(MONTH(E70)/3,0)</f>
        <v>2017-2</v>
      </c>
      <c r="F72" s="2828" t="str">
        <f t="shared" si="19"/>
        <v>2017-1</v>
      </c>
      <c r="G72" s="2828" t="str">
        <f t="shared" si="19"/>
        <v>2016-4</v>
      </c>
      <c r="H72" s="2828" t="str">
        <f t="shared" si="19"/>
        <v>2016-3</v>
      </c>
      <c r="I72" s="2828" t="str">
        <f t="shared" si="19"/>
        <v>2016-2</v>
      </c>
      <c r="J72" s="2828" t="str">
        <f t="shared" si="19"/>
        <v>2016-1</v>
      </c>
      <c r="K72" s="2828" t="str">
        <f t="shared" si="19"/>
        <v>2015-4</v>
      </c>
      <c r="L72" s="2828" t="str">
        <f t="shared" si="19"/>
        <v>2015-3</v>
      </c>
      <c r="M72" s="2828" t="str">
        <f t="shared" si="19"/>
        <v>2015-2</v>
      </c>
      <c r="N72" s="2828" t="str">
        <f t="shared" si="19"/>
        <v>2015-1</v>
      </c>
      <c r="O72" s="2160"/>
      <c r="P72" s="2161"/>
      <c r="Q72" s="2162"/>
      <c r="R72" s="2162"/>
      <c r="S72" s="2162"/>
      <c r="T72" s="2162"/>
      <c r="U72" s="2162"/>
      <c r="V72" s="2162"/>
      <c r="W72" s="2162"/>
      <c r="X72" s="2162"/>
      <c r="Y72" s="2162"/>
      <c r="Z72" s="2162"/>
      <c r="AA72" s="2162"/>
      <c r="AB72" s="2162"/>
      <c r="AC72" s="2162"/>
    </row>
    <row r="73" spans="1:29" s="1220" customFormat="1" ht="27" customHeight="1">
      <c r="A73" s="2833" t="s">
        <v>923</v>
      </c>
      <c r="B73" s="482" t="str">
        <f>"北京市平均增长率"&amp;TEXT(SUMIF(基准地价!N21:N25,A73,基准地价!P21:P25),"0.00%")</f>
        <v>北京市平均增长率2.78%</v>
      </c>
      <c r="C73" s="895">
        <v>100</v>
      </c>
      <c r="D73" s="3201">
        <f>C73-$C$74</f>
        <v>100</v>
      </c>
      <c r="E73" s="3201">
        <f t="shared" ref="E73:N73" si="20">D73-$C$74</f>
        <v>100</v>
      </c>
      <c r="F73" s="3201">
        <f t="shared" si="20"/>
        <v>100</v>
      </c>
      <c r="G73" s="3201">
        <f t="shared" si="20"/>
        <v>100</v>
      </c>
      <c r="H73" s="3201">
        <f t="shared" si="20"/>
        <v>100</v>
      </c>
      <c r="I73" s="3201">
        <f t="shared" si="20"/>
        <v>100</v>
      </c>
      <c r="J73" s="3201">
        <f t="shared" si="20"/>
        <v>100</v>
      </c>
      <c r="K73" s="3201">
        <f t="shared" si="20"/>
        <v>100</v>
      </c>
      <c r="L73" s="3201">
        <f t="shared" si="20"/>
        <v>100</v>
      </c>
      <c r="M73" s="3201">
        <f t="shared" si="20"/>
        <v>100</v>
      </c>
      <c r="N73" s="3201">
        <f t="shared" si="20"/>
        <v>100</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3" t="s">
        <v>2650</v>
      </c>
      <c r="B74" s="2832"/>
      <c r="C74" s="2817">
        <v>0</v>
      </c>
      <c r="D74" s="2818"/>
      <c r="E74" s="2818"/>
      <c r="F74" s="2818"/>
      <c r="G74" s="2818"/>
      <c r="H74" s="2818"/>
      <c r="I74" s="2818"/>
      <c r="J74" s="2818"/>
      <c r="K74" s="2818"/>
      <c r="L74" s="2818"/>
      <c r="M74" s="2818"/>
      <c r="N74" s="2818"/>
      <c r="O74" s="2163"/>
      <c r="P74" s="2159"/>
      <c r="Q74" s="2159"/>
      <c r="R74" s="1994"/>
      <c r="S74" s="1994"/>
      <c r="T74" s="1994"/>
      <c r="U74" s="1994"/>
      <c r="V74" s="1994"/>
      <c r="W74" s="1994"/>
      <c r="X74" s="1994"/>
      <c r="Y74" s="1994"/>
      <c r="Z74" s="1994"/>
      <c r="AA74" s="1994"/>
      <c r="AB74" s="1994"/>
      <c r="AC74" s="1994"/>
    </row>
    <row r="75" spans="1:29" s="1220" customFormat="1" ht="15">
      <c r="A75" s="661" t="s">
        <v>532</v>
      </c>
      <c r="B75" s="650"/>
      <c r="C75" s="662" t="s">
        <v>577</v>
      </c>
      <c r="D75" s="663"/>
      <c r="E75" s="663"/>
      <c r="F75" s="663"/>
      <c r="G75" s="663"/>
      <c r="H75" s="663"/>
      <c r="I75" s="663"/>
      <c r="J75" s="663"/>
      <c r="K75" s="663"/>
      <c r="L75" s="664"/>
      <c r="M75" s="665"/>
      <c r="N75" s="2163"/>
      <c r="O75" s="2163"/>
      <c r="P75" s="2164"/>
      <c r="Q75" s="2159"/>
      <c r="R75" s="1994"/>
      <c r="S75" s="1994"/>
      <c r="T75" s="1994"/>
      <c r="U75" s="1994"/>
      <c r="V75" s="1994"/>
      <c r="W75" s="1994"/>
      <c r="X75" s="1994"/>
      <c r="Y75" s="1994"/>
      <c r="Z75" s="1994"/>
      <c r="AA75" s="1994"/>
      <c r="AB75" s="1994"/>
      <c r="AC75" s="1994"/>
    </row>
    <row r="76" spans="1:29" s="1220" customFormat="1" ht="15.75" thickBot="1">
      <c r="A76" s="661"/>
      <c r="B76" s="650"/>
      <c r="C76" s="651">
        <v>100</v>
      </c>
      <c r="D76" s="652"/>
      <c r="E76" s="652"/>
      <c r="F76" s="652"/>
      <c r="G76" s="652"/>
      <c r="H76" s="652"/>
      <c r="I76" s="652"/>
      <c r="J76" s="652"/>
      <c r="K76" s="652"/>
      <c r="L76" s="652"/>
      <c r="M76" s="654"/>
      <c r="N76" s="2163"/>
      <c r="O76" s="2163"/>
      <c r="P76" s="2159"/>
      <c r="Q76" s="2159"/>
      <c r="R76" s="1994"/>
      <c r="S76" s="1994"/>
      <c r="T76" s="1994"/>
      <c r="U76" s="1994"/>
      <c r="V76" s="1994"/>
      <c r="W76" s="1994"/>
      <c r="X76" s="1994"/>
      <c r="Y76" s="1994"/>
      <c r="Z76" s="1994"/>
      <c r="AA76" s="1994"/>
      <c r="AB76" s="1994"/>
      <c r="AC76" s="1994"/>
    </row>
    <row r="77" spans="1:29">
      <c r="A77" s="666" t="s">
        <v>578</v>
      </c>
      <c r="B77" s="667" t="s">
        <v>535</v>
      </c>
      <c r="C77" s="3198" t="s">
        <v>3228</v>
      </c>
      <c r="D77" s="600"/>
      <c r="E77" s="600"/>
      <c r="F77" s="600"/>
      <c r="G77" s="600"/>
      <c r="H77" s="600"/>
      <c r="I77" s="600"/>
      <c r="J77" s="600"/>
      <c r="K77" s="668"/>
      <c r="L77" s="669"/>
      <c r="M77" s="670"/>
      <c r="N77" s="2165"/>
      <c r="O77" s="2165"/>
      <c r="P77" s="2166"/>
      <c r="Q77" s="2159"/>
      <c r="R77" s="2146"/>
      <c r="S77" s="2146"/>
      <c r="T77" s="2146"/>
      <c r="U77" s="2146"/>
      <c r="V77" s="2146"/>
      <c r="W77" s="2146"/>
      <c r="X77" s="2146"/>
      <c r="Y77" s="2146"/>
      <c r="Z77" s="2146"/>
      <c r="AA77" s="2146"/>
      <c r="AB77" s="2146"/>
      <c r="AC77" s="2146"/>
    </row>
    <row r="78" spans="1:29" ht="15.75" thickBot="1">
      <c r="A78" s="671"/>
      <c r="B78" s="672"/>
      <c r="C78" s="673">
        <v>100</v>
      </c>
      <c r="D78" s="673"/>
      <c r="E78" s="673"/>
      <c r="F78" s="673"/>
      <c r="G78" s="673"/>
      <c r="H78" s="673"/>
      <c r="I78" s="673"/>
      <c r="J78" s="673"/>
      <c r="K78" s="673"/>
      <c r="L78" s="673"/>
      <c r="M78" s="674"/>
      <c r="N78" s="2167"/>
      <c r="O78" s="2167"/>
      <c r="P78" s="2166"/>
      <c r="Q78" s="2159"/>
      <c r="R78" s="2146"/>
      <c r="S78" s="2146"/>
      <c r="T78" s="2146"/>
      <c r="U78" s="2146"/>
      <c r="V78" s="2146"/>
      <c r="W78" s="2146"/>
      <c r="X78" s="2146"/>
      <c r="Y78" s="2146"/>
      <c r="Z78" s="2146"/>
      <c r="AA78" s="2146"/>
      <c r="AB78" s="2146"/>
      <c r="AC78" s="2146"/>
    </row>
    <row r="79" spans="1:29" ht="27.75" thickTop="1">
      <c r="A79" s="671"/>
      <c r="B79" s="675" t="s">
        <v>538</v>
      </c>
      <c r="C79" s="676"/>
      <c r="D79" s="676"/>
      <c r="E79" s="676"/>
      <c r="F79" s="676"/>
      <c r="G79" s="676"/>
      <c r="H79" s="676"/>
      <c r="I79" s="676"/>
      <c r="J79" s="676"/>
      <c r="K79" s="677"/>
      <c r="L79" s="678"/>
      <c r="M79" s="679"/>
      <c r="N79" s="2165"/>
      <c r="O79" s="2165"/>
      <c r="P79" s="2166"/>
      <c r="Q79" s="2159"/>
      <c r="R79" s="2146"/>
      <c r="S79" s="2146"/>
      <c r="T79" s="2146"/>
      <c r="U79" s="2146"/>
      <c r="V79" s="2146"/>
      <c r="W79" s="2146"/>
      <c r="X79" s="2146"/>
      <c r="Y79" s="2146"/>
      <c r="Z79" s="2146"/>
      <c r="AA79" s="2146"/>
      <c r="AB79" s="2146"/>
      <c r="AC79" s="2146"/>
    </row>
    <row r="80" spans="1:29" ht="15.75" thickBot="1">
      <c r="A80" s="671"/>
      <c r="B80" s="680"/>
      <c r="C80" s="681"/>
      <c r="D80" s="681"/>
      <c r="E80" s="681"/>
      <c r="F80" s="681"/>
      <c r="G80" s="681"/>
      <c r="H80" s="681"/>
      <c r="I80" s="681"/>
      <c r="J80" s="681"/>
      <c r="K80" s="681"/>
      <c r="L80" s="681"/>
      <c r="M80" s="682"/>
      <c r="N80" s="2167"/>
      <c r="O80" s="2167"/>
      <c r="P80" s="2166"/>
      <c r="Q80" s="2159"/>
      <c r="R80" s="2146"/>
      <c r="S80" s="2146"/>
      <c r="T80" s="2146"/>
      <c r="U80" s="2146"/>
      <c r="V80" s="2146"/>
      <c r="W80" s="2146"/>
      <c r="X80" s="2146"/>
      <c r="Y80" s="2146"/>
      <c r="Z80" s="2146"/>
      <c r="AA80" s="2146"/>
      <c r="AB80" s="2146"/>
      <c r="AC80" s="2146"/>
    </row>
    <row r="81" spans="1:29" ht="15.75" thickTop="1">
      <c r="A81" s="671"/>
      <c r="B81" s="683" t="s">
        <v>539</v>
      </c>
      <c r="C81" s="684" t="str">
        <f>C82&amp;"（含）"&amp;"-"&amp;D82</f>
        <v>1（含）-1.5</v>
      </c>
      <c r="D81" s="684" t="str">
        <f t="shared" ref="D81:L81" si="21">D82&amp;"（含）"&amp;"-"&amp;E82</f>
        <v>1.5（含）-2</v>
      </c>
      <c r="E81" s="684" t="str">
        <f t="shared" si="21"/>
        <v>2（含）-2.5</v>
      </c>
      <c r="F81" s="684" t="str">
        <f t="shared" si="21"/>
        <v>2.5（含）-3</v>
      </c>
      <c r="G81" s="684" t="str">
        <f t="shared" si="21"/>
        <v>3（含）-</v>
      </c>
      <c r="H81" s="684" t="str">
        <f t="shared" si="21"/>
        <v>（含）-</v>
      </c>
      <c r="I81" s="684" t="str">
        <f t="shared" si="21"/>
        <v>（含）-</v>
      </c>
      <c r="J81" s="684" t="str">
        <f t="shared" si="21"/>
        <v>（含）-</v>
      </c>
      <c r="K81" s="684" t="str">
        <f t="shared" si="21"/>
        <v>（含）-</v>
      </c>
      <c r="L81" s="684" t="str">
        <f t="shared" si="21"/>
        <v>（含）-</v>
      </c>
      <c r="M81" s="558"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71"/>
      <c r="B82" s="685"/>
      <c r="C82" s="544">
        <v>1</v>
      </c>
      <c r="D82" s="544">
        <v>1.5</v>
      </c>
      <c r="E82" s="544">
        <v>2</v>
      </c>
      <c r="F82" s="544">
        <v>2.5</v>
      </c>
      <c r="G82" s="544">
        <v>3</v>
      </c>
      <c r="H82" s="544"/>
      <c r="I82" s="544"/>
      <c r="J82" s="544"/>
      <c r="K82" s="686"/>
      <c r="L82" s="687"/>
      <c r="M82" s="688"/>
      <c r="N82" s="2165"/>
      <c r="O82" s="2165"/>
      <c r="P82" s="2166"/>
      <c r="Q82" s="2159"/>
      <c r="R82" s="2146"/>
      <c r="S82" s="2146"/>
      <c r="T82" s="2146"/>
      <c r="U82" s="2146"/>
      <c r="V82" s="2146"/>
      <c r="W82" s="2146"/>
      <c r="X82" s="2146"/>
      <c r="Y82" s="2146"/>
      <c r="Z82" s="2146"/>
      <c r="AA82" s="2146"/>
      <c r="AB82" s="2146"/>
      <c r="AC82" s="2146"/>
    </row>
    <row r="83" spans="1:29" ht="15.75" thickBot="1">
      <c r="A83" s="671"/>
      <c r="B83" s="672"/>
      <c r="C83" s="681">
        <v>100</v>
      </c>
      <c r="D83" s="681">
        <f>IF($B$48="单位面积地价",C83+$K13,C83-$K13)</f>
        <v>105</v>
      </c>
      <c r="E83" s="681">
        <f t="shared" ref="E83:M83" si="22">IF($B$48="单位面积地价",D83+$K13,D83-$K13)</f>
        <v>110</v>
      </c>
      <c r="F83" s="681">
        <f t="shared" si="22"/>
        <v>115</v>
      </c>
      <c r="G83" s="681">
        <f t="shared" si="22"/>
        <v>120</v>
      </c>
      <c r="H83" s="681">
        <f t="shared" si="22"/>
        <v>125</v>
      </c>
      <c r="I83" s="681">
        <f t="shared" si="22"/>
        <v>130</v>
      </c>
      <c r="J83" s="681">
        <f t="shared" si="22"/>
        <v>135</v>
      </c>
      <c r="K83" s="681">
        <f t="shared" si="22"/>
        <v>140</v>
      </c>
      <c r="L83" s="681">
        <f t="shared" si="22"/>
        <v>145</v>
      </c>
      <c r="M83" s="681">
        <f t="shared" si="22"/>
        <v>150</v>
      </c>
      <c r="N83" s="2167"/>
      <c r="O83" s="2167"/>
      <c r="P83" s="2166"/>
      <c r="Q83" s="2159"/>
      <c r="R83" s="2146"/>
      <c r="S83" s="2146"/>
      <c r="T83" s="2146"/>
      <c r="U83" s="2146"/>
      <c r="V83" s="2146"/>
      <c r="W83" s="2146"/>
      <c r="X83" s="2146"/>
      <c r="Y83" s="2146"/>
      <c r="Z83" s="2146"/>
      <c r="AA83" s="2146"/>
      <c r="AB83" s="2146"/>
      <c r="AC83" s="2146"/>
    </row>
    <row r="84" spans="1:29" s="1339" customFormat="1" ht="15.75" hidden="1" thickTop="1">
      <c r="A84" s="689"/>
      <c r="B84" s="675" t="str">
        <f>B14</f>
        <v>配建</v>
      </c>
      <c r="C84" s="690"/>
      <c r="D84" s="1375"/>
      <c r="E84" s="1376"/>
      <c r="F84" s="690"/>
      <c r="G84" s="690"/>
      <c r="H84" s="691"/>
      <c r="I84" s="691"/>
      <c r="J84" s="691"/>
      <c r="K84" s="691"/>
      <c r="L84" s="692"/>
      <c r="M84" s="693"/>
      <c r="N84" s="2168"/>
      <c r="O84" s="2168"/>
      <c r="P84" s="2169"/>
      <c r="Q84" s="2170"/>
      <c r="R84" s="2171"/>
      <c r="S84" s="2171"/>
      <c r="T84" s="2171"/>
      <c r="U84" s="2171"/>
      <c r="V84" s="2171"/>
      <c r="W84" s="2171"/>
      <c r="X84" s="2171"/>
      <c r="Y84" s="2171"/>
      <c r="Z84" s="2171"/>
      <c r="AA84" s="2171"/>
      <c r="AB84" s="2171"/>
      <c r="AC84" s="2171"/>
    </row>
    <row r="85" spans="1:29" s="1339" customFormat="1" ht="15.75" hidden="1" thickBot="1">
      <c r="A85" s="689"/>
      <c r="B85" s="680"/>
      <c r="C85" s="694"/>
      <c r="D85" s="673"/>
      <c r="E85" s="673"/>
      <c r="F85" s="673"/>
      <c r="G85" s="673"/>
      <c r="H85" s="673"/>
      <c r="I85" s="673"/>
      <c r="J85" s="673"/>
      <c r="K85" s="673"/>
      <c r="L85" s="673"/>
      <c r="M85" s="674"/>
      <c r="N85" s="2167"/>
      <c r="O85" s="2167"/>
      <c r="P85" s="2169"/>
      <c r="Q85" s="2170"/>
      <c r="R85" s="2171"/>
      <c r="S85" s="2171"/>
      <c r="T85" s="2171"/>
      <c r="U85" s="2171"/>
      <c r="V85" s="2171"/>
      <c r="W85" s="2171"/>
      <c r="X85" s="2171"/>
      <c r="Y85" s="2171"/>
      <c r="Z85" s="2171"/>
      <c r="AA85" s="2171"/>
      <c r="AB85" s="2171"/>
      <c r="AC85" s="2171"/>
    </row>
    <row r="86" spans="1:29" s="1339" customFormat="1" ht="15.75" hidden="1" thickTop="1">
      <c r="A86" s="689"/>
      <c r="B86" s="675">
        <f>B15</f>
        <v>0</v>
      </c>
      <c r="C86" s="690"/>
      <c r="D86" s="690"/>
      <c r="E86" s="690"/>
      <c r="F86" s="690"/>
      <c r="G86" s="690"/>
      <c r="H86" s="691"/>
      <c r="I86" s="691"/>
      <c r="J86" s="691"/>
      <c r="K86" s="691"/>
      <c r="L86" s="692"/>
      <c r="M86" s="693"/>
      <c r="N86" s="2168"/>
      <c r="O86" s="2168"/>
      <c r="P86" s="2172"/>
      <c r="Q86" s="2173"/>
      <c r="R86" s="2171"/>
      <c r="S86" s="2171"/>
      <c r="T86" s="2171"/>
      <c r="U86" s="2171"/>
      <c r="V86" s="2171"/>
      <c r="W86" s="2171"/>
      <c r="X86" s="2171"/>
      <c r="Y86" s="2171"/>
      <c r="Z86" s="2171"/>
      <c r="AA86" s="2171"/>
      <c r="AB86" s="2171"/>
      <c r="AC86" s="2171"/>
    </row>
    <row r="87" spans="1:29" s="1339" customFormat="1" ht="15.75" hidden="1" thickBot="1">
      <c r="A87" s="689"/>
      <c r="B87" s="680"/>
      <c r="C87" s="694"/>
      <c r="D87" s="694"/>
      <c r="E87" s="694"/>
      <c r="F87" s="694"/>
      <c r="G87" s="694"/>
      <c r="H87" s="695"/>
      <c r="I87" s="695"/>
      <c r="J87" s="695"/>
      <c r="K87" s="695"/>
      <c r="L87" s="695"/>
      <c r="M87" s="696"/>
      <c r="N87" s="2168"/>
      <c r="O87" s="2168"/>
      <c r="P87" s="2169"/>
      <c r="Q87" s="2170"/>
      <c r="R87" s="2171"/>
      <c r="S87" s="2171"/>
      <c r="T87" s="2171"/>
      <c r="U87" s="2171"/>
      <c r="V87" s="2171"/>
      <c r="W87" s="2171"/>
      <c r="X87" s="2171"/>
      <c r="Y87" s="2171"/>
      <c r="Z87" s="2171"/>
      <c r="AA87" s="2171"/>
      <c r="AB87" s="2171"/>
      <c r="AC87" s="2171"/>
    </row>
    <row r="88" spans="1:29" s="1339" customFormat="1" ht="15.75" hidden="1" thickTop="1">
      <c r="A88" s="689"/>
      <c r="B88" s="683">
        <f>B16</f>
        <v>0</v>
      </c>
      <c r="C88" s="663"/>
      <c r="D88" s="663"/>
      <c r="E88" s="663"/>
      <c r="F88" s="663"/>
      <c r="G88" s="663"/>
      <c r="H88" s="697"/>
      <c r="I88" s="697"/>
      <c r="J88" s="697"/>
      <c r="K88" s="697"/>
      <c r="L88" s="698"/>
      <c r="M88" s="699"/>
      <c r="N88" s="2168"/>
      <c r="O88" s="2168"/>
      <c r="P88" s="2174"/>
      <c r="Q88" s="2170"/>
      <c r="R88" s="2171"/>
      <c r="S88" s="2171"/>
      <c r="T88" s="2171"/>
      <c r="U88" s="2171"/>
      <c r="V88" s="2171"/>
      <c r="W88" s="2171"/>
      <c r="X88" s="2171"/>
      <c r="Y88" s="2171"/>
      <c r="Z88" s="2171"/>
      <c r="AA88" s="2171"/>
      <c r="AB88" s="2171"/>
      <c r="AC88" s="2171"/>
    </row>
    <row r="89" spans="1:29" s="1339" customFormat="1" ht="15.75" hidden="1" thickBot="1">
      <c r="A89" s="700"/>
      <c r="B89" s="701"/>
      <c r="C89" s="702"/>
      <c r="D89" s="702"/>
      <c r="E89" s="702"/>
      <c r="F89" s="702"/>
      <c r="G89" s="702"/>
      <c r="H89" s="703"/>
      <c r="I89" s="703"/>
      <c r="J89" s="703"/>
      <c r="K89" s="703"/>
      <c r="L89" s="703"/>
      <c r="M89" s="704"/>
      <c r="N89" s="2168"/>
      <c r="O89" s="2168"/>
      <c r="P89" s="2169"/>
      <c r="Q89" s="2170"/>
      <c r="R89" s="2171"/>
      <c r="S89" s="2171"/>
      <c r="T89" s="2171"/>
      <c r="U89" s="2171"/>
      <c r="V89" s="2171"/>
      <c r="W89" s="2171"/>
      <c r="X89" s="2171"/>
      <c r="Y89" s="2171"/>
      <c r="Z89" s="2171"/>
      <c r="AA89" s="2171"/>
      <c r="AB89" s="2171"/>
      <c r="AC89" s="2171"/>
    </row>
    <row r="90" spans="1:29" ht="15" thickTop="1">
      <c r="A90" s="666" t="s">
        <v>540</v>
      </c>
      <c r="B90" s="667" t="s">
        <v>579</v>
      </c>
      <c r="C90" s="705" t="s">
        <v>580</v>
      </c>
      <c r="D90" s="705" t="s">
        <v>581</v>
      </c>
      <c r="E90" s="705" t="s">
        <v>582</v>
      </c>
      <c r="F90" s="705" t="s">
        <v>583</v>
      </c>
      <c r="G90" s="705" t="s">
        <v>584</v>
      </c>
      <c r="H90" s="706"/>
      <c r="I90" s="706"/>
      <c r="J90" s="706"/>
      <c r="K90" s="707"/>
      <c r="L90" s="708"/>
      <c r="M90" s="709"/>
      <c r="N90" s="2165"/>
      <c r="O90" s="2165"/>
      <c r="P90" s="2175"/>
      <c r="Q90" s="2159"/>
      <c r="R90" s="2146"/>
      <c r="S90" s="2146"/>
      <c r="T90" s="2146"/>
      <c r="U90" s="2146"/>
      <c r="V90" s="2146"/>
      <c r="W90" s="2146"/>
      <c r="X90" s="2146"/>
      <c r="Y90" s="2146"/>
      <c r="Z90" s="2146"/>
      <c r="AA90" s="2146"/>
      <c r="AB90" s="2146"/>
      <c r="AC90" s="2146"/>
    </row>
    <row r="91" spans="1:29" ht="15.75" thickBot="1">
      <c r="A91" s="671"/>
      <c r="B91" s="680"/>
      <c r="C91" s="681">
        <v>100</v>
      </c>
      <c r="D91" s="681">
        <f>C91-$K17</f>
        <v>97</v>
      </c>
      <c r="E91" s="681">
        <f>D91-$K17</f>
        <v>94</v>
      </c>
      <c r="F91" s="681">
        <f>E91-$K17</f>
        <v>91</v>
      </c>
      <c r="G91" s="681">
        <f>F91-$K17</f>
        <v>88</v>
      </c>
      <c r="H91" s="681"/>
      <c r="I91" s="681"/>
      <c r="J91" s="681"/>
      <c r="K91" s="681"/>
      <c r="L91" s="681"/>
      <c r="M91" s="682"/>
      <c r="N91" s="2167"/>
      <c r="O91" s="2167"/>
      <c r="P91" s="2166"/>
      <c r="Q91" s="2159"/>
      <c r="R91" s="2146"/>
      <c r="S91" s="2146"/>
      <c r="T91" s="2146"/>
      <c r="U91" s="2146"/>
      <c r="V91" s="2146"/>
      <c r="W91" s="2146"/>
      <c r="X91" s="2146"/>
      <c r="Y91" s="2146"/>
      <c r="Z91" s="2146"/>
      <c r="AA91" s="2146"/>
      <c r="AB91" s="2146"/>
      <c r="AC91" s="2146"/>
    </row>
    <row r="92" spans="1:29" ht="15.75" thickTop="1">
      <c r="A92" s="671"/>
      <c r="B92" s="675" t="s">
        <v>585</v>
      </c>
      <c r="C92" s="710" t="s">
        <v>580</v>
      </c>
      <c r="D92" s="710" t="s">
        <v>581</v>
      </c>
      <c r="E92" s="710" t="s">
        <v>582</v>
      </c>
      <c r="F92" s="710" t="s">
        <v>583</v>
      </c>
      <c r="G92" s="710" t="s">
        <v>584</v>
      </c>
      <c r="H92" s="676"/>
      <c r="I92" s="676"/>
      <c r="J92" s="676"/>
      <c r="K92" s="677"/>
      <c r="L92" s="678"/>
      <c r="M92" s="679"/>
      <c r="N92" s="2165"/>
      <c r="O92" s="2165"/>
      <c r="P92" s="2166"/>
      <c r="Q92" s="2159"/>
      <c r="R92" s="2146"/>
      <c r="S92" s="2146"/>
      <c r="T92" s="2146"/>
      <c r="U92" s="2146"/>
      <c r="V92" s="2146"/>
      <c r="W92" s="2146"/>
      <c r="X92" s="2146"/>
      <c r="Y92" s="2146"/>
      <c r="Z92" s="2146"/>
      <c r="AA92" s="2146"/>
      <c r="AB92" s="2146"/>
      <c r="AC92" s="2146"/>
    </row>
    <row r="93" spans="1:29" ht="15.75" thickBot="1">
      <c r="A93" s="671"/>
      <c r="B93" s="680"/>
      <c r="C93" s="681">
        <v>100</v>
      </c>
      <c r="D93" s="681">
        <f>C93-$K19</f>
        <v>98</v>
      </c>
      <c r="E93" s="681">
        <f>D93-$K19</f>
        <v>96</v>
      </c>
      <c r="F93" s="681">
        <f>E93-$K19</f>
        <v>94</v>
      </c>
      <c r="G93" s="681">
        <f>F93-$K19</f>
        <v>92</v>
      </c>
      <c r="H93" s="681"/>
      <c r="I93" s="681"/>
      <c r="J93" s="681"/>
      <c r="K93" s="681"/>
      <c r="L93" s="681"/>
      <c r="M93" s="682"/>
      <c r="N93" s="2167"/>
      <c r="O93" s="2167"/>
      <c r="P93" s="2166"/>
      <c r="Q93" s="2159"/>
      <c r="R93" s="2146"/>
      <c r="S93" s="2146"/>
      <c r="T93" s="2146"/>
      <c r="U93" s="2146"/>
      <c r="V93" s="2146"/>
      <c r="W93" s="2146"/>
      <c r="X93" s="2146"/>
      <c r="Y93" s="2146"/>
      <c r="Z93" s="2146"/>
      <c r="AA93" s="2146"/>
      <c r="AB93" s="2146"/>
      <c r="AC93" s="2146"/>
    </row>
    <row r="94" spans="1:29" ht="15.75" thickTop="1">
      <c r="A94" s="671"/>
      <c r="B94" s="675" t="s">
        <v>586</v>
      </c>
      <c r="C94" s="710" t="s">
        <v>580</v>
      </c>
      <c r="D94" s="710" t="s">
        <v>581</v>
      </c>
      <c r="E94" s="710" t="s">
        <v>582</v>
      </c>
      <c r="F94" s="710" t="s">
        <v>583</v>
      </c>
      <c r="G94" s="710" t="s">
        <v>584</v>
      </c>
      <c r="H94" s="676"/>
      <c r="I94" s="676"/>
      <c r="J94" s="676"/>
      <c r="K94" s="677"/>
      <c r="L94" s="678"/>
      <c r="M94" s="679"/>
      <c r="N94" s="2165"/>
      <c r="O94" s="2165"/>
      <c r="P94" s="2166"/>
      <c r="Q94" s="2159"/>
      <c r="R94" s="2146"/>
      <c r="S94" s="2146"/>
      <c r="T94" s="2146"/>
      <c r="U94" s="2146"/>
      <c r="V94" s="2146"/>
      <c r="W94" s="2146"/>
      <c r="X94" s="2146"/>
      <c r="Y94" s="2146"/>
      <c r="Z94" s="2146"/>
      <c r="AA94" s="2146"/>
      <c r="AB94" s="2146"/>
      <c r="AC94" s="2146"/>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67"/>
      <c r="O95" s="2167"/>
      <c r="P95" s="2166"/>
      <c r="Q95" s="2159"/>
      <c r="R95" s="2146"/>
      <c r="S95" s="2146"/>
      <c r="T95" s="2146"/>
      <c r="U95" s="2146"/>
      <c r="V95" s="2146"/>
      <c r="W95" s="2146"/>
      <c r="X95" s="2146"/>
      <c r="Y95" s="2146"/>
      <c r="Z95" s="2146"/>
      <c r="AA95" s="2146"/>
      <c r="AB95" s="2146"/>
      <c r="AC95" s="2146"/>
    </row>
    <row r="96" spans="1:29" ht="15.75" thickTop="1">
      <c r="A96" s="671"/>
      <c r="B96" s="675" t="s">
        <v>587</v>
      </c>
      <c r="C96" s="710" t="s">
        <v>580</v>
      </c>
      <c r="D96" s="710" t="s">
        <v>581</v>
      </c>
      <c r="E96" s="710" t="s">
        <v>582</v>
      </c>
      <c r="F96" s="710" t="s">
        <v>583</v>
      </c>
      <c r="G96" s="710" t="s">
        <v>584</v>
      </c>
      <c r="H96" s="676"/>
      <c r="I96" s="676"/>
      <c r="J96" s="676"/>
      <c r="K96" s="677"/>
      <c r="L96" s="678"/>
      <c r="M96" s="679"/>
      <c r="N96" s="2165"/>
      <c r="O96" s="2165"/>
      <c r="P96" s="2166"/>
      <c r="Q96" s="2159"/>
      <c r="R96" s="2146"/>
      <c r="S96" s="2146"/>
      <c r="T96" s="2146"/>
      <c r="U96" s="2146"/>
      <c r="V96" s="2146"/>
      <c r="W96" s="2146"/>
      <c r="X96" s="2146"/>
      <c r="Y96" s="2146"/>
      <c r="Z96" s="2146"/>
      <c r="AA96" s="2146"/>
      <c r="AB96" s="2146"/>
      <c r="AC96" s="2146"/>
    </row>
    <row r="97" spans="1:29" ht="15.75" thickBot="1">
      <c r="A97" s="671"/>
      <c r="B97" s="680"/>
      <c r="C97" s="681">
        <v>100</v>
      </c>
      <c r="D97" s="681">
        <f>C97-$K23</f>
        <v>95</v>
      </c>
      <c r="E97" s="681">
        <f>D97-$K23</f>
        <v>90</v>
      </c>
      <c r="F97" s="681">
        <f>E97-$K23</f>
        <v>85</v>
      </c>
      <c r="G97" s="681">
        <f>F97-$K23</f>
        <v>80</v>
      </c>
      <c r="H97" s="681"/>
      <c r="I97" s="681"/>
      <c r="J97" s="681"/>
      <c r="K97" s="681"/>
      <c r="L97" s="681"/>
      <c r="M97" s="682"/>
      <c r="N97" s="2167"/>
      <c r="O97" s="2167"/>
      <c r="P97" s="2166"/>
      <c r="Q97" s="2159"/>
      <c r="R97" s="2146"/>
      <c r="S97" s="2146"/>
      <c r="T97" s="2146"/>
      <c r="U97" s="2146"/>
      <c r="V97" s="2146"/>
      <c r="W97" s="2146"/>
      <c r="X97" s="2146"/>
      <c r="Y97" s="2146"/>
      <c r="Z97" s="2146"/>
      <c r="AA97" s="2146"/>
      <c r="AB97" s="2146"/>
      <c r="AC97" s="2146"/>
    </row>
    <row r="98" spans="1:29" s="1220" customFormat="1" ht="27.75" thickTop="1">
      <c r="A98" s="711"/>
      <c r="B98" s="675" t="s">
        <v>588</v>
      </c>
      <c r="C98" s="710" t="s">
        <v>580</v>
      </c>
      <c r="D98" s="710" t="s">
        <v>581</v>
      </c>
      <c r="E98" s="710" t="s">
        <v>582</v>
      </c>
      <c r="F98" s="710" t="s">
        <v>583</v>
      </c>
      <c r="G98" s="710" t="s">
        <v>584</v>
      </c>
      <c r="H98" s="710"/>
      <c r="I98" s="710"/>
      <c r="J98" s="710"/>
      <c r="K98" s="710"/>
      <c r="L98" s="712"/>
      <c r="M98" s="713"/>
      <c r="N98" s="2163"/>
      <c r="O98" s="2163"/>
      <c r="P98" s="2166"/>
      <c r="Q98" s="2159"/>
      <c r="R98" s="1994"/>
      <c r="S98" s="1994"/>
      <c r="T98" s="1994"/>
      <c r="U98" s="1994"/>
      <c r="V98" s="1994"/>
      <c r="W98" s="1994"/>
      <c r="X98" s="1994"/>
      <c r="Y98" s="1994"/>
      <c r="Z98" s="1994"/>
      <c r="AA98" s="1994"/>
      <c r="AB98" s="1994"/>
      <c r="AC98" s="1994"/>
    </row>
    <row r="99" spans="1:29" s="1220" customFormat="1" ht="15.75" thickBot="1">
      <c r="A99" s="711"/>
      <c r="B99" s="680"/>
      <c r="C99" s="714">
        <v>100</v>
      </c>
      <c r="D99" s="681">
        <f>C99-$K25</f>
        <v>95</v>
      </c>
      <c r="E99" s="681">
        <f>D99-$K25</f>
        <v>90</v>
      </c>
      <c r="F99" s="681">
        <f>E99-$K25</f>
        <v>85</v>
      </c>
      <c r="G99" s="681">
        <f>F99-$K25</f>
        <v>80</v>
      </c>
      <c r="H99" s="681"/>
      <c r="I99" s="681"/>
      <c r="J99" s="681"/>
      <c r="K99" s="681"/>
      <c r="L99" s="681"/>
      <c r="M99" s="682"/>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11"/>
      <c r="B100" s="675" t="s">
        <v>589</v>
      </c>
      <c r="C100" s="705" t="s">
        <v>580</v>
      </c>
      <c r="D100" s="705" t="s">
        <v>581</v>
      </c>
      <c r="E100" s="705" t="s">
        <v>582</v>
      </c>
      <c r="F100" s="705" t="s">
        <v>583</v>
      </c>
      <c r="G100" s="705" t="s">
        <v>584</v>
      </c>
      <c r="H100" s="710"/>
      <c r="I100" s="710"/>
      <c r="J100" s="710"/>
      <c r="K100" s="710"/>
      <c r="L100" s="710"/>
      <c r="M100" s="713"/>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11"/>
      <c r="B101" s="680"/>
      <c r="C101" s="681">
        <v>100</v>
      </c>
      <c r="D101" s="681">
        <f>C101-$K27</f>
        <v>95</v>
      </c>
      <c r="E101" s="681">
        <f>D101-$K27</f>
        <v>90</v>
      </c>
      <c r="F101" s="681">
        <f>E101-$K27</f>
        <v>85</v>
      </c>
      <c r="G101" s="681">
        <f>F101-$K27</f>
        <v>80</v>
      </c>
      <c r="H101" s="681"/>
      <c r="I101" s="681"/>
      <c r="J101" s="681"/>
      <c r="K101" s="681"/>
      <c r="L101" s="681"/>
      <c r="M101" s="682"/>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9"/>
      <c r="B102" s="1897" t="s">
        <v>2550</v>
      </c>
      <c r="C102" s="705" t="s">
        <v>580</v>
      </c>
      <c r="D102" s="705" t="s">
        <v>581</v>
      </c>
      <c r="E102" s="705" t="s">
        <v>582</v>
      </c>
      <c r="F102" s="705" t="s">
        <v>583</v>
      </c>
      <c r="G102" s="705" t="s">
        <v>584</v>
      </c>
      <c r="H102" s="715"/>
      <c r="I102" s="715"/>
      <c r="J102" s="715"/>
      <c r="K102" s="715"/>
      <c r="L102" s="716"/>
      <c r="M102" s="717"/>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9"/>
      <c r="B103" s="680"/>
      <c r="C103" s="681">
        <v>100</v>
      </c>
      <c r="D103" s="681">
        <f>C103-$K29</f>
        <v>95</v>
      </c>
      <c r="E103" s="681">
        <f>D103-$K29</f>
        <v>90</v>
      </c>
      <c r="F103" s="681">
        <f>E103-$K29</f>
        <v>85</v>
      </c>
      <c r="G103" s="681">
        <f>F103-$K29</f>
        <v>80</v>
      </c>
      <c r="H103" s="718"/>
      <c r="I103" s="718"/>
      <c r="J103" s="718"/>
      <c r="K103" s="718"/>
      <c r="L103" s="718"/>
      <c r="M103" s="719"/>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9"/>
      <c r="B104" s="2622" t="s">
        <v>2552</v>
      </c>
      <c r="C104" s="2623" t="s">
        <v>2553</v>
      </c>
      <c r="D104" s="2623" t="s">
        <v>2554</v>
      </c>
      <c r="E104" s="2623" t="s">
        <v>2555</v>
      </c>
      <c r="F104" s="2623" t="s">
        <v>2556</v>
      </c>
      <c r="G104" s="2623" t="s">
        <v>2557</v>
      </c>
      <c r="H104" s="715"/>
      <c r="I104" s="715"/>
      <c r="J104" s="715"/>
      <c r="K104" s="715"/>
      <c r="L104" s="715"/>
      <c r="M104" s="717"/>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9"/>
      <c r="B105" s="683"/>
      <c r="C105" s="681">
        <v>100</v>
      </c>
      <c r="D105" s="681">
        <f>C105-$K31</f>
        <v>99</v>
      </c>
      <c r="E105" s="681">
        <f>D105-$K31</f>
        <v>98</v>
      </c>
      <c r="F105" s="681">
        <f>E105-$K31</f>
        <v>97</v>
      </c>
      <c r="G105" s="681">
        <f>F105-$K31</f>
        <v>96</v>
      </c>
      <c r="H105" s="685"/>
      <c r="I105" s="685"/>
      <c r="J105" s="685"/>
      <c r="K105" s="685"/>
      <c r="L105" s="685"/>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65"/>
      <c r="O106" s="2165"/>
      <c r="P106" s="2166"/>
      <c r="Q106" s="2159"/>
      <c r="R106" s="2146"/>
      <c r="S106" s="2146"/>
      <c r="T106" s="2146"/>
      <c r="U106" s="2146"/>
      <c r="V106" s="2146"/>
      <c r="W106" s="2146"/>
      <c r="X106" s="2146"/>
      <c r="Y106" s="2146"/>
      <c r="Z106" s="2146"/>
      <c r="AA106" s="2146"/>
      <c r="AB106" s="2146"/>
      <c r="AC106" s="2146"/>
    </row>
    <row r="107" spans="1:29" ht="15.75" thickBot="1">
      <c r="A107" s="671"/>
      <c r="B107" s="680"/>
      <c r="C107" s="681">
        <v>100</v>
      </c>
      <c r="D107" s="681">
        <f>C107-$K33</f>
        <v>100</v>
      </c>
      <c r="E107" s="681">
        <f t="shared" ref="E107:M107" si="23">D107-$K33</f>
        <v>100</v>
      </c>
      <c r="F107" s="681">
        <f t="shared" si="23"/>
        <v>100</v>
      </c>
      <c r="G107" s="681">
        <f t="shared" si="23"/>
        <v>100</v>
      </c>
      <c r="H107" s="681">
        <f t="shared" si="23"/>
        <v>100</v>
      </c>
      <c r="I107" s="681">
        <f t="shared" si="23"/>
        <v>100</v>
      </c>
      <c r="J107" s="681">
        <f t="shared" si="23"/>
        <v>100</v>
      </c>
      <c r="K107" s="681">
        <f t="shared" si="23"/>
        <v>100</v>
      </c>
      <c r="L107" s="681">
        <f t="shared" si="23"/>
        <v>100</v>
      </c>
      <c r="M107" s="681">
        <f t="shared" si="23"/>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71"/>
      <c r="B108" s="675" t="s">
        <v>549</v>
      </c>
      <c r="C108" s="3199" t="s">
        <v>3233</v>
      </c>
      <c r="D108" s="3199" t="s">
        <v>3234</v>
      </c>
      <c r="E108" s="3199" t="s">
        <v>3235</v>
      </c>
      <c r="F108" s="3199" t="s">
        <v>3236</v>
      </c>
      <c r="G108" s="690"/>
      <c r="H108" s="720"/>
      <c r="I108" s="720"/>
      <c r="J108" s="720"/>
      <c r="K108" s="721"/>
      <c r="L108" s="722"/>
      <c r="M108" s="723"/>
      <c r="N108" s="2165"/>
      <c r="O108" s="2165"/>
      <c r="P108" s="2166"/>
      <c r="Q108" s="2159"/>
      <c r="R108" s="2146"/>
      <c r="S108" s="2146"/>
      <c r="T108" s="2146"/>
      <c r="U108" s="2146"/>
      <c r="V108" s="2146"/>
      <c r="W108" s="2146"/>
      <c r="X108" s="2146"/>
      <c r="Y108" s="2146"/>
      <c r="Z108" s="2146"/>
      <c r="AA108" s="2146"/>
      <c r="AB108" s="2146"/>
      <c r="AC108" s="2146"/>
    </row>
    <row r="109" spans="1:29" ht="15.75" thickBot="1">
      <c r="A109" s="671"/>
      <c r="B109" s="680"/>
      <c r="C109" s="681">
        <v>100</v>
      </c>
      <c r="D109" s="681">
        <f>C109-$K34</f>
        <v>99</v>
      </c>
      <c r="E109" s="681">
        <f t="shared" ref="E109:M109" si="24">D109-$K34</f>
        <v>98</v>
      </c>
      <c r="F109" s="681">
        <f t="shared" si="24"/>
        <v>97</v>
      </c>
      <c r="G109" s="681">
        <f t="shared" si="24"/>
        <v>96</v>
      </c>
      <c r="H109" s="681">
        <f t="shared" si="24"/>
        <v>95</v>
      </c>
      <c r="I109" s="681">
        <f t="shared" si="24"/>
        <v>94</v>
      </c>
      <c r="J109" s="681">
        <f t="shared" si="24"/>
        <v>93</v>
      </c>
      <c r="K109" s="681">
        <f t="shared" si="24"/>
        <v>92</v>
      </c>
      <c r="L109" s="681">
        <f t="shared" si="24"/>
        <v>91</v>
      </c>
      <c r="M109" s="681">
        <f t="shared" si="24"/>
        <v>90</v>
      </c>
      <c r="N109" s="2167"/>
      <c r="O109" s="2167"/>
      <c r="P109" s="2166"/>
      <c r="Q109" s="2159"/>
      <c r="R109" s="2146"/>
      <c r="S109" s="2146"/>
      <c r="T109" s="2146"/>
      <c r="U109" s="2146"/>
      <c r="V109" s="2146"/>
      <c r="W109" s="2146"/>
      <c r="X109" s="2146"/>
      <c r="Y109" s="2146"/>
      <c r="Z109" s="2146"/>
      <c r="AA109" s="2146"/>
      <c r="AB109" s="2146"/>
      <c r="AC109" s="2146"/>
    </row>
    <row r="110" spans="1:29" ht="15.75" hidden="1" thickTop="1">
      <c r="A110" s="671"/>
      <c r="B110" s="675" t="s">
        <v>550</v>
      </c>
      <c r="C110" s="720"/>
      <c r="D110" s="720"/>
      <c r="E110" s="720"/>
      <c r="F110" s="720"/>
      <c r="G110" s="720"/>
      <c r="H110" s="720"/>
      <c r="I110" s="720"/>
      <c r="J110" s="720"/>
      <c r="K110" s="721"/>
      <c r="L110" s="722"/>
      <c r="M110" s="723"/>
      <c r="N110" s="2165"/>
      <c r="O110" s="2165"/>
      <c r="P110" s="2166"/>
      <c r="Q110" s="2159"/>
      <c r="R110" s="2146"/>
      <c r="S110" s="2146"/>
      <c r="T110" s="2146"/>
      <c r="U110" s="2146"/>
      <c r="V110" s="2146"/>
      <c r="W110" s="2146"/>
      <c r="X110" s="2146"/>
      <c r="Y110" s="2146"/>
      <c r="Z110" s="2146"/>
      <c r="AA110" s="2146"/>
      <c r="AB110" s="2146"/>
      <c r="AC110" s="2146"/>
    </row>
    <row r="111" spans="1:29" ht="15.75" hidden="1" thickBot="1">
      <c r="A111" s="671"/>
      <c r="B111" s="680"/>
      <c r="C111" s="681">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71"/>
      <c r="B112" s="683">
        <f>B37</f>
        <v>0</v>
      </c>
      <c r="C112" s="690"/>
      <c r="D112" s="690"/>
      <c r="E112" s="690"/>
      <c r="F112" s="690"/>
      <c r="G112" s="724"/>
      <c r="H112" s="724"/>
      <c r="I112" s="724"/>
      <c r="J112" s="724"/>
      <c r="K112" s="725"/>
      <c r="L112" s="726"/>
      <c r="M112" s="727"/>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71"/>
      <c r="B113" s="701"/>
      <c r="C113" s="694"/>
      <c r="D113" s="694"/>
      <c r="E113" s="694"/>
      <c r="F113" s="694"/>
      <c r="G113" s="728"/>
      <c r="H113" s="728"/>
      <c r="I113" s="728"/>
      <c r="J113" s="728"/>
      <c r="K113" s="728"/>
      <c r="L113" s="728"/>
      <c r="M113" s="729"/>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9"/>
      <c r="B114" s="675">
        <f>B38</f>
        <v>0</v>
      </c>
      <c r="C114" s="663"/>
      <c r="D114" s="663"/>
      <c r="E114" s="663"/>
      <c r="F114" s="663"/>
      <c r="G114" s="720"/>
      <c r="H114" s="720"/>
      <c r="I114" s="720"/>
      <c r="J114" s="720"/>
      <c r="K114" s="721"/>
      <c r="L114" s="722"/>
      <c r="M114" s="723"/>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71"/>
      <c r="B115" s="680"/>
      <c r="C115" s="702"/>
      <c r="D115" s="702"/>
      <c r="E115" s="702"/>
      <c r="F115" s="702"/>
      <c r="G115" s="673"/>
      <c r="H115" s="673"/>
      <c r="I115" s="673"/>
      <c r="J115" s="673"/>
      <c r="K115" s="673"/>
      <c r="L115" s="673"/>
      <c r="M115" s="674"/>
      <c r="N115" s="2167"/>
      <c r="O115" s="2167"/>
      <c r="P115" s="2166"/>
      <c r="Q115" s="2159"/>
      <c r="R115" s="2146"/>
      <c r="S115" s="2146"/>
      <c r="T115" s="2146"/>
      <c r="U115" s="2146"/>
      <c r="V115" s="2146"/>
      <c r="W115" s="2146"/>
      <c r="X115" s="2146"/>
      <c r="Y115" s="2146"/>
      <c r="Z115" s="2146"/>
      <c r="AA115" s="2146"/>
      <c r="AB115" s="2146"/>
      <c r="AC115" s="2146"/>
    </row>
    <row r="116" spans="1:29" s="1339" customFormat="1" ht="15" hidden="1" thickTop="1">
      <c r="A116" s="730"/>
      <c r="B116" s="731">
        <f>B39</f>
        <v>0</v>
      </c>
      <c r="C116" s="732"/>
      <c r="D116" s="732"/>
      <c r="E116" s="732"/>
      <c r="F116" s="732"/>
      <c r="G116" s="732"/>
      <c r="H116" s="732"/>
      <c r="I116" s="732"/>
      <c r="J116" s="733"/>
      <c r="K116" s="733"/>
      <c r="L116" s="734"/>
      <c r="M116" s="735"/>
      <c r="N116" s="2168"/>
      <c r="O116" s="2168"/>
      <c r="P116" s="2169"/>
      <c r="Q116" s="2170"/>
      <c r="R116" s="2171"/>
      <c r="S116" s="2171"/>
      <c r="T116" s="2171"/>
      <c r="U116" s="2171"/>
      <c r="V116" s="2171"/>
      <c r="W116" s="2171"/>
      <c r="X116" s="2171"/>
      <c r="Y116" s="2171"/>
      <c r="Z116" s="2171"/>
      <c r="AA116" s="2171"/>
      <c r="AB116" s="2171"/>
      <c r="AC116" s="2171"/>
    </row>
    <row r="117" spans="1:29" s="1339" customFormat="1" ht="15.75" hidden="1" thickBot="1">
      <c r="A117" s="689"/>
      <c r="B117" s="683"/>
      <c r="C117" s="652"/>
      <c r="D117" s="594"/>
      <c r="E117" s="594"/>
      <c r="F117" s="594"/>
      <c r="G117" s="594"/>
      <c r="H117" s="594"/>
      <c r="I117" s="594"/>
      <c r="J117" s="594"/>
      <c r="K117" s="594"/>
      <c r="L117" s="594"/>
      <c r="M117" s="736"/>
      <c r="N117" s="2167"/>
      <c r="O117" s="2167"/>
      <c r="P117" s="2169"/>
      <c r="Q117" s="2170"/>
      <c r="R117" s="2171"/>
      <c r="S117" s="2171"/>
      <c r="T117" s="2171"/>
      <c r="U117" s="2171"/>
      <c r="V117" s="2171"/>
      <c r="W117" s="2171"/>
      <c r="X117" s="2171"/>
      <c r="Y117" s="2171"/>
      <c r="Z117" s="2171"/>
      <c r="AA117" s="2171"/>
      <c r="AB117" s="2171"/>
      <c r="AC117" s="2171"/>
    </row>
    <row r="118" spans="1:29" ht="15" thickTop="1">
      <c r="A118" s="666" t="s">
        <v>552</v>
      </c>
      <c r="B118" s="667" t="s">
        <v>594</v>
      </c>
      <c r="C118" s="706" t="str">
        <f t="shared" ref="C118:L118" si="26">C119&amp;"(含)"&amp;"-"&amp;D119</f>
        <v>0(含)-</v>
      </c>
      <c r="D118" s="706" t="str">
        <f t="shared" si="26"/>
        <v>(含)-</v>
      </c>
      <c r="E118" s="706" t="str">
        <f t="shared" si="26"/>
        <v>(含)-</v>
      </c>
      <c r="F118" s="706" t="str">
        <f t="shared" si="26"/>
        <v>(含)-</v>
      </c>
      <c r="G118" s="706" t="str">
        <f t="shared" si="26"/>
        <v>(含)-</v>
      </c>
      <c r="H118" s="706" t="str">
        <f t="shared" si="26"/>
        <v>(含)-</v>
      </c>
      <c r="I118" s="706" t="str">
        <f t="shared" si="26"/>
        <v>(含)-</v>
      </c>
      <c r="J118" s="3119" t="str">
        <f t="shared" si="26"/>
        <v>(含)-</v>
      </c>
      <c r="K118" s="3119" t="str">
        <f t="shared" si="26"/>
        <v>(含)-</v>
      </c>
      <c r="L118" s="3120" t="str">
        <f t="shared" si="26"/>
        <v>(含)-</v>
      </c>
      <c r="M118" s="312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71"/>
      <c r="B119" s="683"/>
      <c r="C119" s="732">
        <v>0</v>
      </c>
      <c r="D119" s="732"/>
      <c r="E119" s="732"/>
      <c r="F119" s="732"/>
      <c r="G119" s="732"/>
      <c r="H119" s="732"/>
      <c r="I119" s="732"/>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71"/>
      <c r="B120" s="680"/>
      <c r="C120" s="702">
        <v>100</v>
      </c>
      <c r="D120" s="728"/>
      <c r="E120" s="728"/>
      <c r="F120" s="728"/>
      <c r="G120" s="728"/>
      <c r="H120" s="728"/>
      <c r="I120" s="728"/>
      <c r="J120" s="728"/>
      <c r="K120" s="728"/>
      <c r="L120" s="728"/>
      <c r="M120" s="729"/>
      <c r="N120" s="2167"/>
      <c r="O120" s="2167"/>
      <c r="P120" s="2166"/>
      <c r="Q120" s="2159"/>
      <c r="R120" s="2146"/>
      <c r="S120" s="2146"/>
      <c r="T120" s="2146"/>
      <c r="U120" s="2146"/>
      <c r="V120" s="2146"/>
      <c r="W120" s="2146"/>
      <c r="X120" s="2146"/>
      <c r="Y120" s="2146"/>
      <c r="Z120" s="2146"/>
      <c r="AA120" s="2146"/>
      <c r="AB120" s="2146"/>
      <c r="AC120" s="2146"/>
    </row>
    <row r="121" spans="1:29" ht="15" thickTop="1">
      <c r="A121" s="737"/>
      <c r="B121" s="675" t="s">
        <v>595</v>
      </c>
      <c r="C121" s="3200" t="s">
        <v>3232</v>
      </c>
      <c r="D121" s="720"/>
      <c r="E121" s="720"/>
      <c r="F121" s="720"/>
      <c r="G121" s="720"/>
      <c r="H121" s="720"/>
      <c r="I121" s="720"/>
      <c r="J121" s="720"/>
      <c r="K121" s="721"/>
      <c r="L121" s="722"/>
      <c r="M121" s="723"/>
      <c r="N121" s="2165"/>
      <c r="O121" s="2165"/>
      <c r="P121" s="2166"/>
      <c r="Q121" s="2159"/>
      <c r="R121" s="2146"/>
      <c r="S121" s="2146"/>
      <c r="T121" s="2146"/>
      <c r="U121" s="2146"/>
      <c r="V121" s="2146"/>
      <c r="W121" s="2146"/>
      <c r="X121" s="2146"/>
      <c r="Y121" s="2146"/>
      <c r="Z121" s="2146"/>
      <c r="AA121" s="2146"/>
      <c r="AB121" s="2146"/>
      <c r="AC121" s="2146"/>
    </row>
    <row r="122" spans="1:29" ht="15.75" thickBot="1">
      <c r="A122" s="671"/>
      <c r="B122" s="680"/>
      <c r="C122" s="681">
        <v>100</v>
      </c>
      <c r="D122" s="681">
        <f t="shared" ref="D122:M122" si="27">C122-$K41</f>
        <v>100</v>
      </c>
      <c r="E122" s="681">
        <f t="shared" si="27"/>
        <v>100</v>
      </c>
      <c r="F122" s="681">
        <f t="shared" si="27"/>
        <v>100</v>
      </c>
      <c r="G122" s="681">
        <f t="shared" si="27"/>
        <v>100</v>
      </c>
      <c r="H122" s="681">
        <f t="shared" si="27"/>
        <v>100</v>
      </c>
      <c r="I122" s="681">
        <f t="shared" si="27"/>
        <v>100</v>
      </c>
      <c r="J122" s="681">
        <f t="shared" si="27"/>
        <v>100</v>
      </c>
      <c r="K122" s="681">
        <f t="shared" si="27"/>
        <v>100</v>
      </c>
      <c r="L122" s="681">
        <f t="shared" si="27"/>
        <v>100</v>
      </c>
      <c r="M122" s="682">
        <f t="shared" si="27"/>
        <v>100</v>
      </c>
      <c r="N122" s="2167"/>
      <c r="O122" s="2167"/>
      <c r="P122" s="2166"/>
      <c r="Q122" s="2159"/>
      <c r="R122" s="2146"/>
      <c r="S122" s="2146"/>
      <c r="T122" s="2146"/>
      <c r="U122" s="2146"/>
      <c r="V122" s="2146"/>
      <c r="W122" s="2146"/>
      <c r="X122" s="2146"/>
      <c r="Y122" s="2146"/>
      <c r="Z122" s="2146"/>
      <c r="AA122" s="2146"/>
      <c r="AB122" s="2146"/>
      <c r="AC122" s="2146"/>
    </row>
    <row r="123" spans="1:29" ht="15" hidden="1" thickTop="1">
      <c r="A123" s="737"/>
      <c r="B123" s="675" t="s">
        <v>596</v>
      </c>
      <c r="C123" s="690"/>
      <c r="D123" s="690"/>
      <c r="E123" s="690"/>
      <c r="F123" s="720"/>
      <c r="G123" s="720"/>
      <c r="H123" s="720"/>
      <c r="I123" s="720"/>
      <c r="J123" s="720"/>
      <c r="K123" s="721"/>
      <c r="L123" s="722"/>
      <c r="M123" s="723"/>
      <c r="N123" s="2165"/>
      <c r="O123" s="2165"/>
      <c r="P123" s="2166"/>
      <c r="Q123" s="2159"/>
      <c r="R123" s="2146"/>
      <c r="S123" s="2146"/>
      <c r="T123" s="2146"/>
      <c r="U123" s="2146"/>
      <c r="V123" s="2146"/>
      <c r="W123" s="2146"/>
      <c r="X123" s="2146"/>
      <c r="Y123" s="2146"/>
      <c r="Z123" s="2146"/>
      <c r="AA123" s="2146"/>
      <c r="AB123" s="2146"/>
      <c r="AC123" s="2146"/>
    </row>
    <row r="124" spans="1:29" ht="15.75" hidden="1" thickBot="1">
      <c r="A124" s="671"/>
      <c r="B124" s="680"/>
      <c r="C124" s="681">
        <v>100</v>
      </c>
      <c r="D124" s="681">
        <f t="shared" ref="D124:M124" si="28">C124-$K42</f>
        <v>100</v>
      </c>
      <c r="E124" s="681">
        <f t="shared" si="28"/>
        <v>100</v>
      </c>
      <c r="F124" s="681">
        <f t="shared" si="28"/>
        <v>100</v>
      </c>
      <c r="G124" s="681">
        <f t="shared" si="28"/>
        <v>100</v>
      </c>
      <c r="H124" s="681">
        <f t="shared" si="28"/>
        <v>100</v>
      </c>
      <c r="I124" s="681">
        <f t="shared" si="28"/>
        <v>100</v>
      </c>
      <c r="J124" s="681">
        <f t="shared" si="28"/>
        <v>100</v>
      </c>
      <c r="K124" s="681">
        <f t="shared" si="28"/>
        <v>100</v>
      </c>
      <c r="L124" s="681">
        <f t="shared" si="28"/>
        <v>100</v>
      </c>
      <c r="M124" s="682">
        <f t="shared" si="28"/>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30"/>
      <c r="B125" s="1897" t="s">
        <v>2425</v>
      </c>
      <c r="C125" s="1375" t="s">
        <v>3231</v>
      </c>
      <c r="D125" s="1375"/>
      <c r="E125" s="1375"/>
      <c r="F125" s="1375"/>
      <c r="G125" s="1375"/>
      <c r="H125" s="720"/>
      <c r="I125" s="720"/>
      <c r="J125" s="720"/>
      <c r="K125" s="721"/>
      <c r="L125" s="722"/>
      <c r="M125" s="723"/>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9"/>
      <c r="B126" s="680"/>
      <c r="C126" s="681">
        <v>100</v>
      </c>
      <c r="D126" s="681">
        <f>C126-$K43</f>
        <v>100</v>
      </c>
      <c r="E126" s="681">
        <f t="shared" ref="E126:M126" si="29">D126-$K43</f>
        <v>100</v>
      </c>
      <c r="F126" s="681">
        <f t="shared" si="29"/>
        <v>100</v>
      </c>
      <c r="G126" s="681">
        <f t="shared" si="29"/>
        <v>100</v>
      </c>
      <c r="H126" s="681">
        <f t="shared" si="29"/>
        <v>100</v>
      </c>
      <c r="I126" s="681">
        <f t="shared" si="29"/>
        <v>100</v>
      </c>
      <c r="J126" s="681">
        <f t="shared" si="29"/>
        <v>100</v>
      </c>
      <c r="K126" s="681">
        <f t="shared" si="29"/>
        <v>100</v>
      </c>
      <c r="L126" s="681">
        <f t="shared" si="29"/>
        <v>100</v>
      </c>
      <c r="M126" s="682">
        <f t="shared" si="29"/>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7"/>
      <c r="B127" s="675" t="s">
        <v>597</v>
      </c>
      <c r="C127" s="3199" t="s">
        <v>3230</v>
      </c>
      <c r="D127" s="690"/>
      <c r="E127" s="720"/>
      <c r="F127" s="720"/>
      <c r="G127" s="720"/>
      <c r="H127" s="720"/>
      <c r="I127" s="720"/>
      <c r="J127" s="720"/>
      <c r="K127" s="721"/>
      <c r="L127" s="722"/>
      <c r="M127" s="723"/>
      <c r="N127" s="2165"/>
      <c r="O127" s="2165"/>
      <c r="P127" s="2166"/>
      <c r="Q127" s="2159"/>
      <c r="R127" s="2146"/>
      <c r="S127" s="2146"/>
      <c r="T127" s="2146"/>
      <c r="U127" s="2146"/>
      <c r="V127" s="2146"/>
      <c r="W127" s="2146"/>
      <c r="X127" s="2146"/>
      <c r="Y127" s="2146"/>
      <c r="Z127" s="2146"/>
      <c r="AA127" s="2146"/>
      <c r="AB127" s="2146"/>
      <c r="AC127" s="2146"/>
    </row>
    <row r="128" spans="1:29" ht="15.75" thickBot="1">
      <c r="A128" s="671"/>
      <c r="B128" s="680"/>
      <c r="C128" s="681">
        <v>100</v>
      </c>
      <c r="D128" s="681">
        <f t="shared" ref="D128:M128" si="30">C128-$K44</f>
        <v>100</v>
      </c>
      <c r="E128" s="681">
        <f t="shared" si="30"/>
        <v>100</v>
      </c>
      <c r="F128" s="681">
        <f t="shared" si="30"/>
        <v>100</v>
      </c>
      <c r="G128" s="681">
        <f t="shared" si="30"/>
        <v>100</v>
      </c>
      <c r="H128" s="681">
        <f t="shared" si="30"/>
        <v>100</v>
      </c>
      <c r="I128" s="681">
        <f t="shared" si="30"/>
        <v>100</v>
      </c>
      <c r="J128" s="681">
        <f t="shared" si="30"/>
        <v>100</v>
      </c>
      <c r="K128" s="681">
        <f t="shared" si="30"/>
        <v>100</v>
      </c>
      <c r="L128" s="681">
        <f t="shared" si="30"/>
        <v>100</v>
      </c>
      <c r="M128" s="682">
        <f t="shared" si="30"/>
        <v>100</v>
      </c>
      <c r="N128" s="2167"/>
      <c r="O128" s="2167"/>
      <c r="P128" s="2166"/>
      <c r="Q128" s="2159"/>
      <c r="R128" s="2146"/>
      <c r="S128" s="2146"/>
      <c r="T128" s="2146"/>
      <c r="U128" s="2146"/>
      <c r="V128" s="2146"/>
      <c r="W128" s="2146"/>
      <c r="X128" s="2146"/>
      <c r="Y128" s="2146"/>
      <c r="Z128" s="2146"/>
      <c r="AA128" s="2146"/>
      <c r="AB128" s="2146"/>
      <c r="AC128" s="2146"/>
    </row>
    <row r="129" spans="1:29" ht="15" hidden="1" thickTop="1">
      <c r="A129" s="737"/>
      <c r="B129" s="675">
        <f>B45</f>
        <v>0</v>
      </c>
      <c r="C129" s="690"/>
      <c r="D129" s="690"/>
      <c r="E129" s="690"/>
      <c r="F129" s="690"/>
      <c r="G129" s="690"/>
      <c r="H129" s="720"/>
      <c r="I129" s="720"/>
      <c r="J129" s="720"/>
      <c r="K129" s="721"/>
      <c r="L129" s="722"/>
      <c r="M129" s="723"/>
      <c r="N129" s="2165"/>
      <c r="O129" s="2165"/>
      <c r="P129" s="2166"/>
      <c r="Q129" s="2159"/>
      <c r="R129" s="2146"/>
      <c r="S129" s="2146"/>
      <c r="T129" s="2146"/>
      <c r="U129" s="2146"/>
      <c r="V129" s="2146"/>
      <c r="W129" s="2146"/>
      <c r="X129" s="2146"/>
      <c r="Y129" s="2146"/>
      <c r="Z129" s="2146"/>
      <c r="AA129" s="2146"/>
      <c r="AB129" s="2146"/>
      <c r="AC129" s="2146"/>
    </row>
    <row r="130" spans="1:29" ht="15.75" hidden="1" thickBot="1">
      <c r="A130" s="671"/>
      <c r="B130" s="680"/>
      <c r="C130" s="694"/>
      <c r="D130" s="694"/>
      <c r="E130" s="694"/>
      <c r="F130" s="694"/>
      <c r="G130" s="673"/>
      <c r="H130" s="673"/>
      <c r="I130" s="673"/>
      <c r="J130" s="673"/>
      <c r="K130" s="673"/>
      <c r="L130" s="673"/>
      <c r="M130" s="674"/>
      <c r="N130" s="2167"/>
      <c r="O130" s="2167"/>
      <c r="P130" s="2166"/>
      <c r="Q130" s="2159"/>
      <c r="R130" s="2146"/>
      <c r="S130" s="2146"/>
      <c r="T130" s="2146"/>
      <c r="U130" s="2146"/>
      <c r="V130" s="2146"/>
      <c r="W130" s="2146"/>
      <c r="X130" s="2146"/>
      <c r="Y130" s="2146"/>
      <c r="Z130" s="2146"/>
      <c r="AA130" s="2146"/>
      <c r="AB130" s="2146"/>
      <c r="AC130" s="2146"/>
    </row>
    <row r="131" spans="1:29" ht="15" hidden="1" thickTop="1">
      <c r="A131" s="737"/>
      <c r="B131" s="675">
        <f>B46</f>
        <v>0</v>
      </c>
      <c r="C131" s="663"/>
      <c r="D131" s="663"/>
      <c r="E131" s="663"/>
      <c r="F131" s="663"/>
      <c r="G131" s="720"/>
      <c r="H131" s="720"/>
      <c r="I131" s="720"/>
      <c r="J131" s="720"/>
      <c r="K131" s="721"/>
      <c r="L131" s="722"/>
      <c r="M131" s="723"/>
      <c r="N131" s="2165"/>
      <c r="O131" s="2165"/>
      <c r="P131" s="2166"/>
      <c r="Q131" s="2159"/>
      <c r="R131" s="2146"/>
      <c r="S131" s="2146"/>
      <c r="T131" s="2146"/>
      <c r="U131" s="2146"/>
      <c r="V131" s="2146"/>
      <c r="W131" s="2146"/>
      <c r="X131" s="2146"/>
      <c r="Y131" s="2146"/>
      <c r="Z131" s="2146"/>
      <c r="AA131" s="2146"/>
      <c r="AB131" s="2146"/>
      <c r="AC131" s="2146"/>
    </row>
    <row r="132" spans="1:29" ht="15.75" hidden="1" thickBot="1">
      <c r="A132" s="671"/>
      <c r="B132" s="680"/>
      <c r="C132" s="702"/>
      <c r="D132" s="702"/>
      <c r="E132" s="702"/>
      <c r="F132" s="702"/>
      <c r="G132" s="673"/>
      <c r="H132" s="673"/>
      <c r="I132" s="673"/>
      <c r="J132" s="673"/>
      <c r="K132" s="673"/>
      <c r="L132" s="673"/>
      <c r="M132" s="674"/>
      <c r="N132" s="2167"/>
      <c r="O132" s="2167"/>
      <c r="P132" s="2166"/>
      <c r="Q132" s="2159"/>
      <c r="R132" s="2146"/>
      <c r="S132" s="2146"/>
      <c r="T132" s="2146"/>
      <c r="U132" s="2146"/>
      <c r="V132" s="2146"/>
      <c r="W132" s="2146"/>
      <c r="X132" s="2146"/>
      <c r="Y132" s="2146"/>
      <c r="Z132" s="2146"/>
      <c r="AA132" s="2146"/>
      <c r="AB132" s="2146"/>
      <c r="AC132" s="2146"/>
    </row>
    <row r="133" spans="1:29" s="1339" customFormat="1" ht="15" hidden="1" thickTop="1">
      <c r="A133" s="730"/>
      <c r="B133" s="675">
        <f>B47</f>
        <v>0</v>
      </c>
      <c r="C133" s="663"/>
      <c r="D133" s="663"/>
      <c r="E133" s="663"/>
      <c r="F133" s="663"/>
      <c r="G133" s="691"/>
      <c r="H133" s="691"/>
      <c r="I133" s="691"/>
      <c r="J133" s="691"/>
      <c r="K133" s="691"/>
      <c r="L133" s="692"/>
      <c r="M133" s="693"/>
      <c r="N133" s="2168"/>
      <c r="O133" s="2168"/>
      <c r="P133" s="2169"/>
      <c r="Q133" s="2170"/>
      <c r="R133" s="2171"/>
      <c r="S133" s="2171"/>
      <c r="T133" s="2171"/>
      <c r="U133" s="2171"/>
      <c r="V133" s="2171"/>
      <c r="W133" s="2171"/>
      <c r="X133" s="2171"/>
      <c r="Y133" s="2171"/>
      <c r="Z133" s="2171"/>
      <c r="AA133" s="2171"/>
      <c r="AB133" s="2171"/>
      <c r="AC133" s="2171"/>
    </row>
    <row r="134" spans="1:29" s="1339" customFormat="1" ht="15.75" hidden="1" thickBot="1">
      <c r="A134" s="700"/>
      <c r="B134" s="738"/>
      <c r="C134" s="702"/>
      <c r="D134" s="702"/>
      <c r="E134" s="702"/>
      <c r="F134" s="702"/>
      <c r="G134" s="728"/>
      <c r="H134" s="728"/>
      <c r="I134" s="728"/>
      <c r="J134" s="728"/>
      <c r="K134" s="728"/>
      <c r="L134" s="728"/>
      <c r="M134" s="729"/>
      <c r="N134" s="2168"/>
      <c r="O134" s="2168"/>
      <c r="P134" s="2169"/>
      <c r="Q134" s="2170"/>
      <c r="R134" s="2171"/>
      <c r="S134" s="2171"/>
      <c r="T134" s="2171"/>
      <c r="U134" s="2171"/>
      <c r="V134" s="2171"/>
      <c r="W134" s="2171"/>
      <c r="X134" s="2171"/>
      <c r="Y134" s="2171"/>
      <c r="Z134" s="2171"/>
      <c r="AA134" s="2171"/>
      <c r="AB134" s="2171"/>
      <c r="AC134" s="2171"/>
    </row>
    <row r="135" spans="1:29" s="1587" customFormat="1" ht="15" thickTop="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I3" sqref="I3:L5"/>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517</v>
      </c>
      <c r="B1" s="506"/>
      <c r="C1" s="507" t="s">
        <v>598</v>
      </c>
      <c r="D1" s="508" t="s">
        <v>519</v>
      </c>
      <c r="E1" s="739"/>
      <c r="F1" s="740"/>
      <c r="G1" s="739"/>
      <c r="H1" s="739"/>
      <c r="I1" s="739"/>
      <c r="J1" s="739"/>
      <c r="K1" s="741"/>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6" t="s">
        <v>467</v>
      </c>
      <c r="B2" s="511"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3"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31"/>
      <c r="AC3" s="431"/>
    </row>
    <row r="4" spans="1:29" s="1336" customFormat="1" ht="28.5" customHeight="1">
      <c r="A4" s="514" t="s">
        <v>521</v>
      </c>
      <c r="B4" s="430"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31"/>
    </row>
    <row r="5" spans="1:29" s="1336" customFormat="1" ht="28.5" customHeight="1" thickBot="1">
      <c r="A5" s="432"/>
      <c r="B5" s="433" t="e">
        <f>ROUND(B2/('数据-汇总表'!D3/666.67),0)</f>
        <v>#DIV/0!</v>
      </c>
      <c r="C5" s="434"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31"/>
    </row>
    <row r="6" spans="1:29" ht="15">
      <c r="A6" s="515" t="s">
        <v>522</v>
      </c>
      <c r="B6" s="516"/>
      <c r="C6" s="3523" t="s">
        <v>523</v>
      </c>
      <c r="D6" s="3524"/>
      <c r="E6" s="3548" t="s">
        <v>524</v>
      </c>
      <c r="F6" s="3549"/>
      <c r="G6" s="3523" t="s">
        <v>525</v>
      </c>
      <c r="H6" s="3524"/>
      <c r="I6" s="3523" t="s">
        <v>526</v>
      </c>
      <c r="J6" s="3524"/>
      <c r="K6" s="517" t="s">
        <v>527</v>
      </c>
      <c r="L6" s="2134"/>
      <c r="M6" s="2135"/>
      <c r="N6" s="2135"/>
      <c r="O6" s="2135"/>
      <c r="P6" s="3525" t="s">
        <v>528</v>
      </c>
      <c r="Q6" s="3526"/>
      <c r="R6" s="3511" t="s">
        <v>524</v>
      </c>
      <c r="S6" s="3512"/>
      <c r="T6" s="3511" t="s">
        <v>525</v>
      </c>
      <c r="U6" s="3512"/>
      <c r="V6" s="3531" t="s">
        <v>526</v>
      </c>
      <c r="W6" s="3531"/>
      <c r="X6" s="1567"/>
      <c r="Y6" s="3511" t="s">
        <v>528</v>
      </c>
      <c r="Z6" s="3512"/>
      <c r="AA6" s="3506" t="s">
        <v>524</v>
      </c>
      <c r="AB6" s="3507" t="s">
        <v>525</v>
      </c>
      <c r="AC6" s="3506" t="s">
        <v>526</v>
      </c>
    </row>
    <row r="7" spans="1:29" ht="15">
      <c r="A7" s="518"/>
      <c r="B7" s="519"/>
      <c r="C7" s="3534" t="s">
        <v>2924</v>
      </c>
      <c r="D7" s="3535"/>
      <c r="E7" s="3550" t="s">
        <v>2925</v>
      </c>
      <c r="F7" s="3551"/>
      <c r="G7" s="3534" t="s">
        <v>2926</v>
      </c>
      <c r="H7" s="3535"/>
      <c r="I7" s="3534" t="s">
        <v>2927</v>
      </c>
      <c r="J7" s="3535"/>
      <c r="K7" s="517"/>
      <c r="L7" s="2134"/>
      <c r="M7" s="2135"/>
      <c r="N7" s="2135"/>
      <c r="O7" s="2135"/>
      <c r="P7" s="3527"/>
      <c r="Q7" s="3528"/>
      <c r="R7" s="3513"/>
      <c r="S7" s="3514"/>
      <c r="T7" s="3513"/>
      <c r="U7" s="3514"/>
      <c r="V7" s="3531"/>
      <c r="W7" s="3531"/>
      <c r="X7" s="1567"/>
      <c r="Y7" s="3513"/>
      <c r="Z7" s="3514"/>
      <c r="AA7" s="3507"/>
      <c r="AB7" s="3507"/>
      <c r="AC7" s="3507"/>
    </row>
    <row r="8" spans="1:29" ht="15.75" thickBot="1">
      <c r="A8" s="520"/>
      <c r="B8" s="521"/>
      <c r="C8" s="3532" t="s">
        <v>2928</v>
      </c>
      <c r="D8" s="3533"/>
      <c r="E8" s="3552" t="s">
        <v>2928</v>
      </c>
      <c r="F8" s="3553"/>
      <c r="G8" s="3532" t="s">
        <v>2928</v>
      </c>
      <c r="H8" s="3533"/>
      <c r="I8" s="3532" t="s">
        <v>2928</v>
      </c>
      <c r="J8" s="3533"/>
      <c r="K8" s="517" t="s">
        <v>529</v>
      </c>
      <c r="L8" s="2134"/>
      <c r="M8" s="2135"/>
      <c r="N8" s="2135"/>
      <c r="O8" s="2135"/>
      <c r="P8" s="3529"/>
      <c r="Q8" s="3530"/>
      <c r="R8" s="3513"/>
      <c r="S8" s="3514"/>
      <c r="T8" s="3515"/>
      <c r="U8" s="3516"/>
      <c r="V8" s="3531"/>
      <c r="W8" s="3531"/>
      <c r="X8" s="1567"/>
      <c r="Y8" s="3515"/>
      <c r="Z8" s="3516"/>
      <c r="AA8" s="3508"/>
      <c r="AB8" s="3508"/>
      <c r="AC8" s="3508"/>
    </row>
    <row r="9" spans="1:29" s="1220" customFormat="1" ht="15.75" thickBot="1">
      <c r="A9" s="2939"/>
      <c r="B9" s="2946" t="s">
        <v>530</v>
      </c>
      <c r="C9" s="522">
        <f>'数据-取费表'!B2</f>
        <v>43052</v>
      </c>
      <c r="D9" s="523">
        <v>100</v>
      </c>
      <c r="E9" s="524"/>
      <c r="F9" s="525">
        <f>SUMIF(67:67,YEAR(E9)&amp;"-"&amp;INT((MONTH(E9)+2)/3),68:68)</f>
        <v>0</v>
      </c>
      <c r="G9" s="526"/>
      <c r="H9" s="523">
        <f>SUMIF(67:67,YEAR(G9)&amp;"-"&amp;INT((MONTH(G9)+2)/3),68:68)</f>
        <v>0</v>
      </c>
      <c r="I9" s="526"/>
      <c r="J9" s="523">
        <f>SUMIF(67:67,YEAR(I9)&amp;"-"&amp;INT((MONTH(I9)+2)/3),68:68)</f>
        <v>0</v>
      </c>
      <c r="K9" s="527"/>
      <c r="L9" s="2136"/>
      <c r="M9" s="2137"/>
      <c r="N9" s="2137"/>
      <c r="O9" s="2137"/>
      <c r="P9" s="3509" t="s">
        <v>531</v>
      </c>
      <c r="Q9" s="3518"/>
      <c r="R9" s="1568" t="s">
        <v>8</v>
      </c>
      <c r="S9" s="1569">
        <f t="shared" ref="S9:S17" si="0">F9</f>
        <v>0</v>
      </c>
      <c r="T9" s="1568" t="s">
        <v>8</v>
      </c>
      <c r="U9" s="1569">
        <f t="shared" ref="U9:U17" si="1">H9</f>
        <v>0</v>
      </c>
      <c r="V9" s="1568" t="s">
        <v>8</v>
      </c>
      <c r="W9" s="1569">
        <f t="shared" ref="W9:W17" si="2">J9</f>
        <v>0</v>
      </c>
      <c r="X9" s="1570"/>
      <c r="Y9" s="3509" t="s">
        <v>531</v>
      </c>
      <c r="Z9" s="3510"/>
      <c r="AA9" s="1571" t="e">
        <f>D9/F9</f>
        <v>#DIV/0!</v>
      </c>
      <c r="AB9" s="1571" t="e">
        <f>D9/H9</f>
        <v>#DIV/0!</v>
      </c>
      <c r="AC9" s="1571" t="e">
        <f>D9/J9</f>
        <v>#DIV/0!</v>
      </c>
    </row>
    <row r="10" spans="1:29" s="1220" customFormat="1" ht="15.75" thickBot="1">
      <c r="A10" s="2940"/>
      <c r="B10" s="2947"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6"/>
      <c r="M10" s="2137"/>
      <c r="N10" s="2137"/>
      <c r="O10" s="2137"/>
      <c r="P10" s="3509" t="s">
        <v>534</v>
      </c>
      <c r="Q10" s="3510"/>
      <c r="R10" s="1568" t="s">
        <v>8</v>
      </c>
      <c r="S10" s="1569">
        <f t="shared" si="0"/>
        <v>0</v>
      </c>
      <c r="T10" s="1568" t="s">
        <v>8</v>
      </c>
      <c r="U10" s="1569">
        <f t="shared" si="1"/>
        <v>0</v>
      </c>
      <c r="V10" s="1568" t="s">
        <v>8</v>
      </c>
      <c r="W10" s="1569">
        <f t="shared" si="2"/>
        <v>0</v>
      </c>
      <c r="X10" s="1570"/>
      <c r="Y10" s="3509" t="s">
        <v>534</v>
      </c>
      <c r="Z10" s="3510"/>
      <c r="AA10" s="1571" t="e">
        <f t="shared" ref="AA10:AA42" si="3">D10/F10</f>
        <v>#DIV/0!</v>
      </c>
      <c r="AB10" s="1571" t="e">
        <f t="shared" ref="AB10:AB42" si="4">D10/H10</f>
        <v>#DIV/0!</v>
      </c>
      <c r="AC10" s="1571" t="e">
        <f t="shared" ref="AC10:AC42" si="5">D10/J10</f>
        <v>#DIV/0!</v>
      </c>
    </row>
    <row r="11" spans="1:29" s="1220" customFormat="1" ht="15">
      <c r="A11" s="2941"/>
      <c r="B11" s="2948" t="s">
        <v>2759</v>
      </c>
      <c r="C11" s="529"/>
      <c r="D11" s="254">
        <v>100</v>
      </c>
      <c r="E11" s="529"/>
      <c r="F11" s="254">
        <f>SUMIF(72:72,E11,73:73)-SUMIF(72:72,C11,73:73)+100</f>
        <v>100</v>
      </c>
      <c r="G11" s="529"/>
      <c r="H11" s="254">
        <f>SUMIF(72:72,G11,73:73)-SUMIF(72:72,C11,73:73)+100</f>
        <v>100</v>
      </c>
      <c r="I11" s="529"/>
      <c r="J11" s="254">
        <f>SUMIF(72:72,I11,73:73)-SUMIF(72:72,C11,73:73)+100</f>
        <v>100</v>
      </c>
      <c r="K11" s="527"/>
      <c r="L11" s="2136"/>
      <c r="M11" s="2137"/>
      <c r="N11" s="2137"/>
      <c r="O11" s="2138"/>
      <c r="P11" s="3517" t="s">
        <v>536</v>
      </c>
      <c r="Q11" s="1151" t="str">
        <f t="shared" ref="Q11:Q17" si="6">B11</f>
        <v>用途</v>
      </c>
      <c r="R11" s="1568" t="s">
        <v>8</v>
      </c>
      <c r="S11" s="1569">
        <f t="shared" si="0"/>
        <v>100</v>
      </c>
      <c r="T11" s="1568" t="s">
        <v>8</v>
      </c>
      <c r="U11" s="1569">
        <f t="shared" si="1"/>
        <v>100</v>
      </c>
      <c r="V11" s="1568" t="s">
        <v>8</v>
      </c>
      <c r="W11" s="1569">
        <f t="shared" si="2"/>
        <v>100</v>
      </c>
      <c r="X11" s="1570"/>
      <c r="Y11" s="3474" t="s">
        <v>537</v>
      </c>
      <c r="Z11" s="1150" t="str">
        <f t="shared" ref="Z11:Z17" si="7">Q11</f>
        <v>用途</v>
      </c>
      <c r="AA11" s="1571">
        <f t="shared" si="3"/>
        <v>1</v>
      </c>
      <c r="AB11" s="1571">
        <f t="shared" si="4"/>
        <v>1</v>
      </c>
      <c r="AC11" s="1571">
        <f t="shared" si="5"/>
        <v>1</v>
      </c>
    </row>
    <row r="12" spans="1:29" s="1338" customFormat="1" ht="27">
      <c r="A12" s="2942"/>
      <c r="B12" s="2947" t="s">
        <v>2760</v>
      </c>
      <c r="C12" s="531"/>
      <c r="D12" s="255">
        <v>100</v>
      </c>
      <c r="E12" s="531"/>
      <c r="F12" s="255">
        <f>ROUND(100/'数据-取费表'!G16,0)</f>
        <v>101</v>
      </c>
      <c r="G12" s="531"/>
      <c r="H12" s="255">
        <f>ROUND(100/'数据-取费表'!G16,0)</f>
        <v>101</v>
      </c>
      <c r="I12" s="531"/>
      <c r="J12" s="255">
        <f>ROUND(100/'数据-取费表'!G16,0)</f>
        <v>101</v>
      </c>
      <c r="K12" s="534"/>
      <c r="L12" s="2139"/>
      <c r="M12" s="2179"/>
      <c r="N12" s="2179"/>
      <c r="O12" s="2140"/>
      <c r="P12" s="3517"/>
      <c r="Q12" s="1151" t="str">
        <f t="shared" si="6"/>
        <v>土地使用年限（年）</v>
      </c>
      <c r="R12" s="1568" t="s">
        <v>8</v>
      </c>
      <c r="S12" s="1569">
        <f t="shared" si="0"/>
        <v>101</v>
      </c>
      <c r="T12" s="1568" t="s">
        <v>8</v>
      </c>
      <c r="U12" s="1569">
        <f t="shared" si="1"/>
        <v>101</v>
      </c>
      <c r="V12" s="1568" t="s">
        <v>8</v>
      </c>
      <c r="W12" s="1569">
        <f t="shared" si="2"/>
        <v>101</v>
      </c>
      <c r="X12" s="1570"/>
      <c r="Y12" s="3474"/>
      <c r="Z12" s="1150" t="str">
        <f t="shared" si="7"/>
        <v>土地使用年限（年）</v>
      </c>
      <c r="AA12" s="1571">
        <f t="shared" si="3"/>
        <v>0.99009900990099009</v>
      </c>
      <c r="AB12" s="1571">
        <f t="shared" si="4"/>
        <v>0.99009900990099009</v>
      </c>
      <c r="AC12" s="1571">
        <f t="shared" si="5"/>
        <v>0.99009900990099009</v>
      </c>
    </row>
    <row r="13" spans="1:29" ht="15">
      <c r="A13" s="2943"/>
      <c r="B13" s="2947" t="s">
        <v>2761</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1"/>
      <c r="M13" s="2135"/>
      <c r="N13" s="2135"/>
      <c r="O13" s="2142"/>
      <c r="P13" s="3517"/>
      <c r="Q13" s="1151" t="str">
        <f t="shared" si="6"/>
        <v>容积率</v>
      </c>
      <c r="R13" s="1568" t="s">
        <v>8</v>
      </c>
      <c r="S13" s="1569" t="e">
        <f t="shared" si="0"/>
        <v>#N/A</v>
      </c>
      <c r="T13" s="1568" t="s">
        <v>8</v>
      </c>
      <c r="U13" s="1569" t="e">
        <f t="shared" si="1"/>
        <v>#N/A</v>
      </c>
      <c r="V13" s="1568" t="s">
        <v>8</v>
      </c>
      <c r="W13" s="1569" t="e">
        <f t="shared" si="2"/>
        <v>#N/A</v>
      </c>
      <c r="X13" s="1570"/>
      <c r="Y13" s="3474"/>
      <c r="Z13" s="1150" t="str">
        <f t="shared" si="7"/>
        <v>容积率</v>
      </c>
      <c r="AA13" s="1571" t="e">
        <f t="shared" si="3"/>
        <v>#N/A</v>
      </c>
      <c r="AB13" s="1571" t="e">
        <f t="shared" si="4"/>
        <v>#N/A</v>
      </c>
      <c r="AC13" s="1571" t="e">
        <f t="shared" si="5"/>
        <v>#N/A</v>
      </c>
    </row>
    <row r="14" spans="1:29" s="1220" customFormat="1" ht="15">
      <c r="A14" s="2944"/>
      <c r="B14" s="2950">
        <v>111</v>
      </c>
      <c r="C14" s="531"/>
      <c r="D14" s="541">
        <v>100</v>
      </c>
      <c r="E14" s="544"/>
      <c r="F14" s="255">
        <f>SUMIF(79:79,E14,80:80)-SUMIF(79:79,C14,80:80)+100</f>
        <v>100</v>
      </c>
      <c r="G14" s="545"/>
      <c r="H14" s="255">
        <f>SUMIF(79:79,G14,80:80)-SUMIF(79:79,C14,80:80)+100</f>
        <v>100</v>
      </c>
      <c r="I14" s="544"/>
      <c r="J14" s="255">
        <f>SUMIF(79:79,I14,80:80)-SUMIF(79:79,C14,80:80)+100</f>
        <v>100</v>
      </c>
      <c r="K14" s="534"/>
      <c r="L14" s="2136"/>
      <c r="M14" s="2137"/>
      <c r="N14" s="2137"/>
      <c r="O14" s="2138"/>
      <c r="P14" s="3517"/>
      <c r="Q14" s="1151">
        <f t="shared" si="6"/>
        <v>111</v>
      </c>
      <c r="R14" s="1568" t="s">
        <v>8</v>
      </c>
      <c r="S14" s="1569">
        <f t="shared" si="0"/>
        <v>100</v>
      </c>
      <c r="T14" s="1568" t="s">
        <v>8</v>
      </c>
      <c r="U14" s="1569">
        <f t="shared" si="1"/>
        <v>100</v>
      </c>
      <c r="V14" s="1568" t="s">
        <v>8</v>
      </c>
      <c r="W14" s="1569">
        <f t="shared" si="2"/>
        <v>100</v>
      </c>
      <c r="X14" s="1570"/>
      <c r="Y14" s="3474"/>
      <c r="Z14" s="1150">
        <f t="shared" si="7"/>
        <v>111</v>
      </c>
      <c r="AA14" s="1571">
        <f>D14/F14</f>
        <v>1</v>
      </c>
      <c r="AB14" s="1571">
        <f>D14/H14</f>
        <v>1</v>
      </c>
      <c r="AC14" s="1571">
        <f>D14/J14</f>
        <v>1</v>
      </c>
    </row>
    <row r="15" spans="1:29" ht="15">
      <c r="A15" s="2944"/>
      <c r="B15" s="2950">
        <v>111</v>
      </c>
      <c r="C15" s="542"/>
      <c r="D15" s="543">
        <v>100</v>
      </c>
      <c r="E15" s="544"/>
      <c r="F15" s="255">
        <f>SUMIF(81:81,E15,82:82)-SUMIF(81:81,C15,82:82)+100</f>
        <v>100</v>
      </c>
      <c r="G15" s="545"/>
      <c r="H15" s="543">
        <f>SUMIF(81:81,G15,82:82)-SUMIF(81:81,C15,82:82)+100</f>
        <v>100</v>
      </c>
      <c r="I15" s="544"/>
      <c r="J15" s="543">
        <f>SUMIF(81:81,I15,82:82)-SUMIF(81:81,C15,82:82)+100</f>
        <v>100</v>
      </c>
      <c r="K15" s="534"/>
      <c r="L15" s="2143"/>
      <c r="M15" s="2135"/>
      <c r="N15" s="2135"/>
      <c r="O15" s="2142"/>
      <c r="P15" s="3517"/>
      <c r="Q15" s="1151">
        <f t="shared" si="6"/>
        <v>111</v>
      </c>
      <c r="R15" s="1568" t="s">
        <v>8</v>
      </c>
      <c r="S15" s="1569">
        <f t="shared" si="0"/>
        <v>100</v>
      </c>
      <c r="T15" s="1568" t="s">
        <v>8</v>
      </c>
      <c r="U15" s="1569">
        <f t="shared" si="1"/>
        <v>100</v>
      </c>
      <c r="V15" s="1568" t="s">
        <v>8</v>
      </c>
      <c r="W15" s="1569">
        <f t="shared" si="2"/>
        <v>100</v>
      </c>
      <c r="X15" s="1570"/>
      <c r="Y15" s="3474"/>
      <c r="Z15" s="1150">
        <f t="shared" si="7"/>
        <v>111</v>
      </c>
      <c r="AA15" s="1571">
        <f t="shared" si="3"/>
        <v>1</v>
      </c>
      <c r="AB15" s="1571">
        <f t="shared" si="4"/>
        <v>1</v>
      </c>
      <c r="AC15" s="1571">
        <f t="shared" si="5"/>
        <v>1</v>
      </c>
    </row>
    <row r="16" spans="1:29" ht="15.75" thickBot="1">
      <c r="A16" s="2945"/>
      <c r="B16" s="2951">
        <v>111</v>
      </c>
      <c r="C16" s="548"/>
      <c r="D16" s="549">
        <v>100</v>
      </c>
      <c r="E16" s="544"/>
      <c r="F16" s="549">
        <f>SUMIF(83:83,E16,84:84)-SUMIF(83:83,C16,84:84)+100</f>
        <v>100</v>
      </c>
      <c r="G16" s="545"/>
      <c r="H16" s="549">
        <f>SUMIF(83:83,G16,84:84)-SUMIF(83:83,C16,84:84)+100</f>
        <v>100</v>
      </c>
      <c r="I16" s="544"/>
      <c r="J16" s="549">
        <f>SUMIF(83:83,I16,84:84)-SUMIF(83:83,C16,84:84)+100</f>
        <v>100</v>
      </c>
      <c r="K16" s="534"/>
      <c r="L16" s="2143"/>
      <c r="M16" s="2135"/>
      <c r="N16" s="2135"/>
      <c r="O16" s="2142"/>
      <c r="P16" s="3517"/>
      <c r="Q16" s="1151">
        <f t="shared" si="6"/>
        <v>111</v>
      </c>
      <c r="R16" s="1568" t="s">
        <v>8</v>
      </c>
      <c r="S16" s="1569">
        <f t="shared" si="0"/>
        <v>100</v>
      </c>
      <c r="T16" s="1568" t="s">
        <v>8</v>
      </c>
      <c r="U16" s="1569">
        <f t="shared" si="1"/>
        <v>100</v>
      </c>
      <c r="V16" s="1568" t="s">
        <v>8</v>
      </c>
      <c r="W16" s="1569">
        <f t="shared" si="2"/>
        <v>100</v>
      </c>
      <c r="X16" s="1570"/>
      <c r="Y16" s="3474"/>
      <c r="Z16" s="1150">
        <f t="shared" si="7"/>
        <v>111</v>
      </c>
      <c r="AA16" s="1571">
        <f t="shared" si="3"/>
        <v>1</v>
      </c>
      <c r="AB16" s="1571">
        <f t="shared" si="4"/>
        <v>1</v>
      </c>
      <c r="AC16" s="1571">
        <f t="shared" si="5"/>
        <v>1</v>
      </c>
    </row>
    <row r="17" spans="1:29" ht="15">
      <c r="A17" s="2937" t="s">
        <v>2757</v>
      </c>
      <c r="B17" s="166" t="s">
        <v>599</v>
      </c>
      <c r="C17" s="922">
        <f>估价对象房地状况!G15</f>
        <v>0</v>
      </c>
      <c r="D17" s="552">
        <v>100</v>
      </c>
      <c r="E17" s="553"/>
      <c r="F17" s="552">
        <f>SUMIF(85:85,E18,86:86)-SUMIF(85:85,C18,86:86)+100</f>
        <v>100</v>
      </c>
      <c r="G17" s="553"/>
      <c r="H17" s="552">
        <f>SUMIF(85:85,G18,86:86)-SUMIF(85:85,C18,86:86)+100</f>
        <v>100</v>
      </c>
      <c r="I17" s="555"/>
      <c r="J17" s="552">
        <f>SUMIF(85:85,I18,86:86)-SUMIF(85:85,C18,86:86)+100</f>
        <v>100</v>
      </c>
      <c r="K17" s="538"/>
      <c r="L17" s="2143"/>
      <c r="M17" s="2135"/>
      <c r="N17" s="2135"/>
      <c r="O17" s="2142"/>
      <c r="P17" s="3519" t="s">
        <v>541</v>
      </c>
      <c r="Q17" s="1572" t="str">
        <f t="shared" si="6"/>
        <v>产业集聚程度</v>
      </c>
      <c r="R17" s="1573" t="s">
        <v>8</v>
      </c>
      <c r="S17" s="1574">
        <f t="shared" si="0"/>
        <v>100</v>
      </c>
      <c r="T17" s="1573" t="s">
        <v>8</v>
      </c>
      <c r="U17" s="1574">
        <f t="shared" si="1"/>
        <v>100</v>
      </c>
      <c r="V17" s="1573" t="s">
        <v>8</v>
      </c>
      <c r="W17" s="1574">
        <f t="shared" si="2"/>
        <v>100</v>
      </c>
      <c r="X17" s="1567"/>
      <c r="Y17" s="3519" t="s">
        <v>541</v>
      </c>
      <c r="Z17" s="1575" t="str">
        <f t="shared" si="7"/>
        <v>产业集聚程度</v>
      </c>
      <c r="AA17" s="1576">
        <f t="shared" si="3"/>
        <v>1</v>
      </c>
      <c r="AB17" s="1576">
        <f t="shared" si="4"/>
        <v>1</v>
      </c>
      <c r="AC17" s="1576">
        <f t="shared" si="5"/>
        <v>1</v>
      </c>
    </row>
    <row r="18" spans="1:29" ht="15">
      <c r="A18" s="535"/>
      <c r="B18" s="871"/>
      <c r="C18" s="578"/>
      <c r="D18" s="558"/>
      <c r="E18" s="557"/>
      <c r="F18" s="558"/>
      <c r="G18" s="557"/>
      <c r="H18" s="562"/>
      <c r="I18" s="557"/>
      <c r="J18" s="558"/>
      <c r="K18" s="534"/>
      <c r="L18" s="2143"/>
      <c r="M18" s="2135"/>
      <c r="N18" s="2135"/>
      <c r="O18" s="2142"/>
      <c r="P18" s="3520"/>
      <c r="Q18" s="1572"/>
      <c r="R18" s="1573"/>
      <c r="S18" s="1574"/>
      <c r="T18" s="1573"/>
      <c r="U18" s="1574"/>
      <c r="V18" s="1573"/>
      <c r="W18" s="1574"/>
      <c r="X18" s="1567"/>
      <c r="Y18" s="3520"/>
      <c r="Z18" s="1575"/>
      <c r="AA18" s="1576">
        <v>1</v>
      </c>
      <c r="AB18" s="1576">
        <v>1</v>
      </c>
      <c r="AC18" s="1576">
        <v>1</v>
      </c>
    </row>
    <row r="19" spans="1:29" ht="15">
      <c r="A19" s="535"/>
      <c r="B19" s="873" t="s">
        <v>544</v>
      </c>
      <c r="C19" s="874">
        <f>估价对象房地状况!G16</f>
        <v>0</v>
      </c>
      <c r="D19" s="562">
        <v>100</v>
      </c>
      <c r="E19" s="564"/>
      <c r="F19" s="567">
        <f>SUMIF(87:87,E20,88:88)-SUMIF(87:87,C20,88:88)+100</f>
        <v>100</v>
      </c>
      <c r="G19" s="564"/>
      <c r="H19" s="567">
        <f>SUMIF(87:87,G20,88:88)-SUMIF(87:87,C20,88:88)+100</f>
        <v>100</v>
      </c>
      <c r="I19" s="566"/>
      <c r="J19" s="562">
        <f>SUMIF(87:87,I20,88:88)-SUMIF(87:87,C20,88:88)+100</f>
        <v>100</v>
      </c>
      <c r="K19" s="538"/>
      <c r="L19" s="2143"/>
      <c r="M19" s="2135"/>
      <c r="N19" s="2135"/>
      <c r="O19" s="2142"/>
      <c r="P19" s="3520"/>
      <c r="Q19" s="1572" t="str">
        <f>B19</f>
        <v>交通便捷度</v>
      </c>
      <c r="R19" s="1573" t="s">
        <v>8</v>
      </c>
      <c r="S19" s="1574">
        <f>F19</f>
        <v>100</v>
      </c>
      <c r="T19" s="1573" t="s">
        <v>8</v>
      </c>
      <c r="U19" s="1574">
        <f>H19</f>
        <v>100</v>
      </c>
      <c r="V19" s="1573" t="s">
        <v>8</v>
      </c>
      <c r="W19" s="1574">
        <f>J19</f>
        <v>100</v>
      </c>
      <c r="X19" s="1567"/>
      <c r="Y19" s="3520"/>
      <c r="Z19" s="1575" t="str">
        <f>Q19</f>
        <v>交通便捷度</v>
      </c>
      <c r="AA19" s="1576">
        <f t="shared" si="3"/>
        <v>1</v>
      </c>
      <c r="AB19" s="1576">
        <f t="shared" si="4"/>
        <v>1</v>
      </c>
      <c r="AC19" s="1576">
        <f t="shared" si="5"/>
        <v>1</v>
      </c>
    </row>
    <row r="20" spans="1:29" ht="15">
      <c r="A20" s="535"/>
      <c r="B20" s="923"/>
      <c r="C20" s="578"/>
      <c r="D20" s="558"/>
      <c r="E20" s="559"/>
      <c r="F20" s="558"/>
      <c r="G20" s="559"/>
      <c r="H20" s="558"/>
      <c r="I20" s="561"/>
      <c r="J20" s="558"/>
      <c r="K20" s="534"/>
      <c r="L20" s="2143"/>
      <c r="M20" s="2135"/>
      <c r="N20" s="2135"/>
      <c r="O20" s="2142"/>
      <c r="P20" s="3520"/>
      <c r="Q20" s="1572"/>
      <c r="R20" s="1573"/>
      <c r="S20" s="1574"/>
      <c r="T20" s="1573"/>
      <c r="U20" s="1574"/>
      <c r="V20" s="1573"/>
      <c r="W20" s="1574"/>
      <c r="X20" s="1567"/>
      <c r="Y20" s="3520"/>
      <c r="Z20" s="1575"/>
      <c r="AA20" s="1576">
        <v>1</v>
      </c>
      <c r="AB20" s="1576">
        <v>1</v>
      </c>
      <c r="AC20" s="1576">
        <v>1</v>
      </c>
    </row>
    <row r="21" spans="1:29" ht="27">
      <c r="A21" s="518"/>
      <c r="B21" s="873" t="s">
        <v>545</v>
      </c>
      <c r="C21" s="874">
        <f>估价对象房地状况!G17</f>
        <v>0</v>
      </c>
      <c r="D21" s="562">
        <v>100</v>
      </c>
      <c r="E21" s="564"/>
      <c r="F21" s="565">
        <f>SUMIF(89:89,E22,90:90)-SUMIF(89:89,C22,90:90)+100</f>
        <v>100</v>
      </c>
      <c r="G21" s="566"/>
      <c r="H21" s="565">
        <f>SUMIF(89:89,G22,90:90)-SUMIF(89:89,C22,90:90)+100</f>
        <v>100</v>
      </c>
      <c r="I21" s="566"/>
      <c r="J21" s="565">
        <f>SUMIF(89:89,I22,90:90)-SUMIF(89:89,C22,90:90)+100</f>
        <v>100</v>
      </c>
      <c r="K21" s="1008"/>
      <c r="L21" s="2143"/>
      <c r="M21" s="2135"/>
      <c r="N21" s="2135"/>
      <c r="O21" s="2142"/>
      <c r="P21" s="3520"/>
      <c r="Q21" s="1572" t="str">
        <f t="shared" ref="Q21:Q35" si="8">B21</f>
        <v>区域土地利用方向</v>
      </c>
      <c r="R21" s="1573" t="s">
        <v>8</v>
      </c>
      <c r="S21" s="1574">
        <f>F21</f>
        <v>100</v>
      </c>
      <c r="T21" s="1573" t="s">
        <v>8</v>
      </c>
      <c r="U21" s="1574">
        <f>H21</f>
        <v>100</v>
      </c>
      <c r="V21" s="1573" t="s">
        <v>8</v>
      </c>
      <c r="W21" s="1574">
        <f>J21</f>
        <v>100</v>
      </c>
      <c r="X21" s="1567"/>
      <c r="Y21" s="3520"/>
      <c r="Z21" s="1575" t="str">
        <f>Q21</f>
        <v>区域土地利用方向</v>
      </c>
      <c r="AA21" s="1576">
        <f t="shared" si="3"/>
        <v>1</v>
      </c>
      <c r="AB21" s="1576">
        <f t="shared" si="4"/>
        <v>1</v>
      </c>
      <c r="AC21" s="1576">
        <f t="shared" si="5"/>
        <v>1</v>
      </c>
    </row>
    <row r="22" spans="1:29" ht="15">
      <c r="A22" s="518"/>
      <c r="B22" s="597"/>
      <c r="C22" s="578"/>
      <c r="D22" s="558"/>
      <c r="E22" s="559"/>
      <c r="F22" s="560"/>
      <c r="G22" s="561"/>
      <c r="H22" s="560"/>
      <c r="I22" s="561"/>
      <c r="J22" s="560"/>
      <c r="K22" s="1348"/>
      <c r="L22" s="2143"/>
      <c r="M22" s="2135"/>
      <c r="N22" s="2135"/>
      <c r="O22" s="2142"/>
      <c r="P22" s="3520"/>
      <c r="Q22" s="1572"/>
      <c r="R22" s="1573"/>
      <c r="S22" s="1574"/>
      <c r="T22" s="1573"/>
      <c r="U22" s="1574"/>
      <c r="V22" s="1573"/>
      <c r="W22" s="1574"/>
      <c r="X22" s="1567"/>
      <c r="Y22" s="3520"/>
      <c r="Z22" s="1575"/>
      <c r="AA22" s="1576"/>
      <c r="AB22" s="1576"/>
      <c r="AC22" s="1576"/>
    </row>
    <row r="23" spans="1:29" ht="15">
      <c r="A23" s="518"/>
      <c r="B23" s="923" t="s">
        <v>600</v>
      </c>
      <c r="C23" s="874">
        <f>估价对象房地状况!G18</f>
        <v>0</v>
      </c>
      <c r="D23" s="562">
        <v>100</v>
      </c>
      <c r="E23" s="564"/>
      <c r="F23" s="562">
        <f>SUMIF(91:91,E24,92:92)-SUMIF(91:91,C24,92:92)+100</f>
        <v>100</v>
      </c>
      <c r="G23" s="564"/>
      <c r="H23" s="562">
        <f>SUMIF(91:91,G24,92:92)-SUMIF(91:91,C24,92:92)+100</f>
        <v>100</v>
      </c>
      <c r="I23" s="566"/>
      <c r="J23" s="562">
        <f>SUMIF(91:91,I24,92:92)-SUMIF(91:91,C24,92:92)+100</f>
        <v>100</v>
      </c>
      <c r="K23" s="538"/>
      <c r="L23" s="2143"/>
      <c r="M23" s="2135"/>
      <c r="N23" s="2135"/>
      <c r="O23" s="2142"/>
      <c r="P23" s="3520"/>
      <c r="Q23" s="1572" t="str">
        <f t="shared" si="8"/>
        <v>环境状况</v>
      </c>
      <c r="R23" s="1573" t="s">
        <v>8</v>
      </c>
      <c r="S23" s="1574">
        <f>F23</f>
        <v>100</v>
      </c>
      <c r="T23" s="1573" t="s">
        <v>8</v>
      </c>
      <c r="U23" s="1574">
        <f>H23</f>
        <v>100</v>
      </c>
      <c r="V23" s="1573" t="s">
        <v>8</v>
      </c>
      <c r="W23" s="1574">
        <f>J23</f>
        <v>100</v>
      </c>
      <c r="X23" s="1567"/>
      <c r="Y23" s="3520"/>
      <c r="Z23" s="1575" t="str">
        <f>Q23</f>
        <v>环境状况</v>
      </c>
      <c r="AA23" s="1576">
        <f t="shared" si="3"/>
        <v>1</v>
      </c>
      <c r="AB23" s="1576">
        <f t="shared" si="4"/>
        <v>1</v>
      </c>
      <c r="AC23" s="1576">
        <f t="shared" si="5"/>
        <v>1</v>
      </c>
    </row>
    <row r="24" spans="1:29" ht="15">
      <c r="A24" s="518"/>
      <c r="B24" s="597"/>
      <c r="C24" s="578"/>
      <c r="D24" s="558"/>
      <c r="E24" s="557"/>
      <c r="F24" s="558"/>
      <c r="G24" s="557"/>
      <c r="H24" s="558"/>
      <c r="I24" s="578"/>
      <c r="J24" s="558"/>
      <c r="K24" s="534"/>
      <c r="L24" s="2143"/>
      <c r="M24" s="2135"/>
      <c r="N24" s="2135"/>
      <c r="O24" s="2142"/>
      <c r="P24" s="3520"/>
      <c r="Q24" s="1572"/>
      <c r="R24" s="1573"/>
      <c r="S24" s="1574"/>
      <c r="T24" s="1573"/>
      <c r="U24" s="1574"/>
      <c r="V24" s="1573"/>
      <c r="W24" s="1574"/>
      <c r="X24" s="1567"/>
      <c r="Y24" s="3520"/>
      <c r="Z24" s="1575"/>
      <c r="AA24" s="1576">
        <v>1</v>
      </c>
      <c r="AB24" s="1576">
        <v>1</v>
      </c>
      <c r="AC24" s="1576">
        <v>1</v>
      </c>
    </row>
    <row r="25" spans="1:29" s="1220" customFormat="1" ht="15">
      <c r="A25" s="579"/>
      <c r="B25" s="2618" t="s">
        <v>2550</v>
      </c>
      <c r="C25" s="874">
        <f>估价对象房地状况!G19</f>
        <v>0</v>
      </c>
      <c r="D25" s="562">
        <v>100</v>
      </c>
      <c r="E25" s="564"/>
      <c r="F25" s="562">
        <f>SUMIF(93:93,E26,94:94)-SUMIF(93:93,C26,94:94)+100</f>
        <v>100</v>
      </c>
      <c r="G25" s="564"/>
      <c r="H25" s="562">
        <f>SUMIF(93:93,G26,94:94)-SUMIF(93:93,C26,94:94)+100</f>
        <v>100</v>
      </c>
      <c r="I25" s="566"/>
      <c r="J25" s="562">
        <f>SUMIF(93:93,I26,94:94)-SUMIF(93:93,C26,94:94)+100</f>
        <v>100</v>
      </c>
      <c r="K25" s="538"/>
      <c r="L25" s="2136"/>
      <c r="M25" s="2137"/>
      <c r="N25" s="2137"/>
      <c r="O25" s="2138"/>
      <c r="P25" s="3520"/>
      <c r="Q25" s="1151" t="str">
        <f t="shared" si="8"/>
        <v>公共配套设施</v>
      </c>
      <c r="R25" s="1568" t="s">
        <v>8</v>
      </c>
      <c r="S25" s="1569">
        <f>F25</f>
        <v>100</v>
      </c>
      <c r="T25" s="1568" t="s">
        <v>8</v>
      </c>
      <c r="U25" s="1569">
        <f>H25</f>
        <v>100</v>
      </c>
      <c r="V25" s="1568" t="s">
        <v>8</v>
      </c>
      <c r="W25" s="1569">
        <f>J25</f>
        <v>100</v>
      </c>
      <c r="X25" s="1570"/>
      <c r="Y25" s="3520"/>
      <c r="Z25" s="1150" t="str">
        <f>Q25</f>
        <v>公共配套设施</v>
      </c>
      <c r="AA25" s="1576">
        <f>D25/F25</f>
        <v>1</v>
      </c>
      <c r="AB25" s="1576">
        <f>D25/H25</f>
        <v>1</v>
      </c>
      <c r="AC25" s="1576">
        <f>D25/J25</f>
        <v>1</v>
      </c>
    </row>
    <row r="26" spans="1:29" s="1220" customFormat="1" ht="15">
      <c r="A26" s="579"/>
      <c r="B26" s="597"/>
      <c r="C26" s="2617"/>
      <c r="D26" s="558"/>
      <c r="E26" s="557"/>
      <c r="F26" s="558"/>
      <c r="G26" s="557"/>
      <c r="H26" s="558"/>
      <c r="I26" s="578"/>
      <c r="J26" s="558"/>
      <c r="K26" s="534"/>
      <c r="L26" s="2136"/>
      <c r="M26" s="2137"/>
      <c r="N26" s="2137"/>
      <c r="O26" s="2138"/>
      <c r="P26" s="3520"/>
      <c r="Q26" s="1151"/>
      <c r="R26" s="1568"/>
      <c r="S26" s="1569"/>
      <c r="T26" s="1568"/>
      <c r="U26" s="1569"/>
      <c r="V26" s="1568"/>
      <c r="W26" s="1569"/>
      <c r="X26" s="1570"/>
      <c r="Y26" s="3520"/>
      <c r="Z26" s="1150"/>
      <c r="AA26" s="1571">
        <v>1</v>
      </c>
      <c r="AB26" s="1571">
        <v>1</v>
      </c>
      <c r="AC26" s="1571">
        <v>1</v>
      </c>
    </row>
    <row r="27" spans="1:29" s="1220" customFormat="1" ht="15">
      <c r="A27" s="579"/>
      <c r="B27" s="2618" t="s">
        <v>2551</v>
      </c>
      <c r="C27" s="874">
        <f>估价对象房地状况!G20</f>
        <v>0</v>
      </c>
      <c r="D27" s="562">
        <v>100</v>
      </c>
      <c r="E27" s="564"/>
      <c r="F27" s="562">
        <f>SUMIF(95:95,E28,96:96)-SUMIF(95:95,C28,96:96)+100</f>
        <v>100</v>
      </c>
      <c r="G27" s="564"/>
      <c r="H27" s="562">
        <f>SUMIF(95:95,G28,96:96)-SUMIF(95:95,C28,96:96)+100</f>
        <v>100</v>
      </c>
      <c r="I27" s="566"/>
      <c r="J27" s="562">
        <f>SUMIF(95:95,I28,96:96)-SUMIF(95:95,C28,96:96)+100</f>
        <v>100</v>
      </c>
      <c r="K27" s="538"/>
      <c r="L27" s="2136"/>
      <c r="M27" s="2137"/>
      <c r="N27" s="2137"/>
      <c r="O27" s="2138"/>
      <c r="P27" s="3520"/>
      <c r="Q27" s="2603" t="str">
        <f t="shared" ref="Q27" si="9">B27</f>
        <v>基础设施水平</v>
      </c>
      <c r="R27" s="1568" t="s">
        <v>8</v>
      </c>
      <c r="S27" s="1569">
        <f>F27</f>
        <v>100</v>
      </c>
      <c r="T27" s="1568" t="s">
        <v>8</v>
      </c>
      <c r="U27" s="1569">
        <f>H27</f>
        <v>100</v>
      </c>
      <c r="V27" s="1568" t="s">
        <v>8</v>
      </c>
      <c r="W27" s="1569">
        <f>J27</f>
        <v>100</v>
      </c>
      <c r="X27" s="1570"/>
      <c r="Y27" s="3520"/>
      <c r="Z27" s="2600" t="str">
        <f>Q27</f>
        <v>基础设施水平</v>
      </c>
      <c r="AA27" s="1576">
        <f>D27/F27</f>
        <v>1</v>
      </c>
      <c r="AB27" s="1576">
        <f>D27/H27</f>
        <v>1</v>
      </c>
      <c r="AC27" s="1576">
        <f>D27/J27</f>
        <v>1</v>
      </c>
    </row>
    <row r="28" spans="1:29" s="1220" customFormat="1" ht="15">
      <c r="A28" s="579"/>
      <c r="B28" s="597"/>
      <c r="C28" s="2617"/>
      <c r="D28" s="558"/>
      <c r="E28" s="581"/>
      <c r="F28" s="558"/>
      <c r="G28" s="581"/>
      <c r="H28" s="558"/>
      <c r="I28" s="581"/>
      <c r="J28" s="558"/>
      <c r="K28" s="534"/>
      <c r="L28" s="2136"/>
      <c r="M28" s="2137"/>
      <c r="N28" s="2137"/>
      <c r="O28" s="2138"/>
      <c r="P28" s="3520"/>
      <c r="Q28" s="2603"/>
      <c r="R28" s="1568"/>
      <c r="S28" s="1569"/>
      <c r="T28" s="1568"/>
      <c r="U28" s="1569"/>
      <c r="V28" s="1568"/>
      <c r="W28" s="1569"/>
      <c r="X28" s="1570"/>
      <c r="Y28" s="3520"/>
      <c r="Z28" s="2600"/>
      <c r="AA28" s="1571">
        <v>1</v>
      </c>
      <c r="AB28" s="1571">
        <v>1</v>
      </c>
      <c r="AC28" s="1571">
        <v>1</v>
      </c>
    </row>
    <row r="29" spans="1:29" ht="15">
      <c r="A29" s="535"/>
      <c r="B29" s="597" t="s">
        <v>548</v>
      </c>
      <c r="C29" s="585"/>
      <c r="D29" s="543">
        <v>100</v>
      </c>
      <c r="E29" s="582"/>
      <c r="F29" s="543">
        <f>SUMIF(97:97,E29,98:98)-SUMIF(97:97,C29,98:98)+100</f>
        <v>100</v>
      </c>
      <c r="G29" s="582"/>
      <c r="H29" s="543">
        <f>SUMIF(97:97,G29,98:98)-SUMIF(97:97,C29,98:98)+100</f>
        <v>100</v>
      </c>
      <c r="I29" s="582"/>
      <c r="J29" s="543">
        <f>SUMIF(97:97,I29,98:98)-SUMIF(97:97,C29,98:98)+100</f>
        <v>100</v>
      </c>
      <c r="K29" s="538"/>
      <c r="L29" s="2143"/>
      <c r="M29" s="2135"/>
      <c r="N29" s="2135"/>
      <c r="O29" s="2142"/>
      <c r="P29" s="3520"/>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520"/>
      <c r="Z29" s="1575" t="str">
        <f t="shared" ref="Z29:Z42" si="13">Q29</f>
        <v>临街状况</v>
      </c>
      <c r="AA29" s="1576">
        <f t="shared" si="3"/>
        <v>1</v>
      </c>
      <c r="AB29" s="1576">
        <f t="shared" si="4"/>
        <v>1</v>
      </c>
      <c r="AC29" s="1576">
        <f t="shared" si="5"/>
        <v>1</v>
      </c>
    </row>
    <row r="30" spans="1:29" ht="27">
      <c r="A30" s="535"/>
      <c r="B30" s="923" t="s">
        <v>549</v>
      </c>
      <c r="C30" s="2620">
        <f>估价对象房地状况!G22</f>
        <v>0</v>
      </c>
      <c r="D30" s="562">
        <v>100</v>
      </c>
      <c r="E30" s="564"/>
      <c r="F30" s="562">
        <f>SUMIF(99:99,E31,100:100)-SUMIF(99:99,C31,100:100)+100</f>
        <v>100</v>
      </c>
      <c r="G30" s="564"/>
      <c r="H30" s="562">
        <f>SUMIF(99:99,G31,100:100)-SUMIF(99:99,C31,100:100)+100</f>
        <v>100</v>
      </c>
      <c r="I30" s="566"/>
      <c r="J30" s="562">
        <f>SUMIF(99:99,I31,100:100)-SUMIF(99:99,C31,100:100)+100</f>
        <v>100</v>
      </c>
      <c r="K30" s="538"/>
      <c r="L30" s="2143"/>
      <c r="M30" s="2135"/>
      <c r="N30" s="2135"/>
      <c r="O30" s="2142"/>
      <c r="P30" s="3520"/>
      <c r="Q30" s="1572" t="str">
        <f t="shared" si="8"/>
        <v>毗邻道路的类型与等级</v>
      </c>
      <c r="R30" s="1573" t="s">
        <v>8</v>
      </c>
      <c r="S30" s="1574">
        <f t="shared" si="10"/>
        <v>100</v>
      </c>
      <c r="T30" s="1573" t="s">
        <v>8</v>
      </c>
      <c r="U30" s="1574">
        <f t="shared" si="11"/>
        <v>100</v>
      </c>
      <c r="V30" s="1573" t="s">
        <v>8</v>
      </c>
      <c r="W30" s="1574">
        <f t="shared" si="12"/>
        <v>100</v>
      </c>
      <c r="X30" s="1567"/>
      <c r="Y30" s="3520"/>
      <c r="Z30" s="1575" t="str">
        <f t="shared" si="13"/>
        <v>毗邻道路的类型与等级</v>
      </c>
      <c r="AA30" s="1576">
        <f t="shared" si="3"/>
        <v>1</v>
      </c>
      <c r="AB30" s="1576">
        <f t="shared" si="4"/>
        <v>1</v>
      </c>
      <c r="AC30" s="1576">
        <f t="shared" si="5"/>
        <v>1</v>
      </c>
    </row>
    <row r="31" spans="1:29" ht="15">
      <c r="A31" s="535"/>
      <c r="B31" s="597"/>
      <c r="C31" s="578"/>
      <c r="D31" s="558"/>
      <c r="E31" s="557"/>
      <c r="F31" s="558"/>
      <c r="G31" s="557"/>
      <c r="H31" s="558"/>
      <c r="I31" s="578"/>
      <c r="J31" s="558"/>
      <c r="K31" s="583"/>
      <c r="L31" s="2143"/>
      <c r="M31" s="2135"/>
      <c r="N31" s="2135"/>
      <c r="O31" s="2142"/>
      <c r="P31" s="3520"/>
      <c r="Q31" s="1572"/>
      <c r="R31" s="1573"/>
      <c r="S31" s="1574"/>
      <c r="T31" s="1573"/>
      <c r="U31" s="1574"/>
      <c r="V31" s="1573"/>
      <c r="W31" s="1574"/>
      <c r="X31" s="1567"/>
      <c r="Y31" s="3520"/>
      <c r="Z31" s="1575"/>
      <c r="AA31" s="1576">
        <v>1</v>
      </c>
      <c r="AB31" s="1576">
        <v>1</v>
      </c>
      <c r="AC31" s="1576">
        <v>1</v>
      </c>
    </row>
    <row r="32" spans="1:29" ht="15">
      <c r="A32" s="535"/>
      <c r="B32" s="530" t="s">
        <v>550</v>
      </c>
      <c r="C32" s="2621">
        <f>估价对象房地状况!G23</f>
        <v>0</v>
      </c>
      <c r="D32" s="543">
        <v>100</v>
      </c>
      <c r="E32" s="582"/>
      <c r="F32" s="543">
        <f>SUMIF(101:101,E32,102:102)-SUMIF(101:101,C32,102:102)+100</f>
        <v>100</v>
      </c>
      <c r="G32" s="582"/>
      <c r="H32" s="543">
        <f>SUMIF(101:101,G32,102:102)-SUMIF(101:101,C32,102:102)+100</f>
        <v>100</v>
      </c>
      <c r="I32" s="582"/>
      <c r="J32" s="543">
        <f>SUMIF(101:101,I32,102:102)-SUMIF(101:101,C32,102:102)+100</f>
        <v>100</v>
      </c>
      <c r="K32" s="586"/>
      <c r="L32" s="2143"/>
      <c r="M32" s="2135"/>
      <c r="N32" s="2135"/>
      <c r="O32" s="2142"/>
      <c r="P32" s="3520"/>
      <c r="Q32" s="1572" t="str">
        <f t="shared" si="8"/>
        <v>土地级别</v>
      </c>
      <c r="R32" s="1573" t="s">
        <v>8</v>
      </c>
      <c r="S32" s="1574">
        <f t="shared" si="10"/>
        <v>100</v>
      </c>
      <c r="T32" s="1573" t="s">
        <v>8</v>
      </c>
      <c r="U32" s="1574">
        <f t="shared" si="11"/>
        <v>100</v>
      </c>
      <c r="V32" s="1573" t="s">
        <v>8</v>
      </c>
      <c r="W32" s="1574">
        <f t="shared" si="12"/>
        <v>100</v>
      </c>
      <c r="X32" s="1567"/>
      <c r="Y32" s="3520"/>
      <c r="Z32" s="1575" t="str">
        <f t="shared" si="13"/>
        <v>土地级别</v>
      </c>
      <c r="AA32" s="1576">
        <f t="shared" si="3"/>
        <v>1</v>
      </c>
      <c r="AB32" s="1576">
        <f t="shared" si="4"/>
        <v>1</v>
      </c>
      <c r="AC32" s="1576">
        <f t="shared" si="5"/>
        <v>1</v>
      </c>
    </row>
    <row r="33" spans="1:29" ht="15">
      <c r="A33" s="518"/>
      <c r="B33" s="879">
        <v>111</v>
      </c>
      <c r="C33" s="545"/>
      <c r="D33" s="543">
        <v>100</v>
      </c>
      <c r="E33" s="588"/>
      <c r="F33" s="543">
        <f>SUMIF(103:103,E33,104:104)-SUMIF(103:103,C33,104:104)+100</f>
        <v>100</v>
      </c>
      <c r="G33" s="588"/>
      <c r="H33" s="543">
        <f>SUMIF(103:103,G33,104:104)-SUMIF(103:103,C33,104:104)+100</f>
        <v>100</v>
      </c>
      <c r="I33" s="544"/>
      <c r="J33" s="543">
        <f>SUMIF(103:103,I33,104:104)-SUMIF(103:103,C33,104:104)+100</f>
        <v>100</v>
      </c>
      <c r="K33" s="583"/>
      <c r="L33" s="2143"/>
      <c r="M33" s="2135"/>
      <c r="N33" s="2135"/>
      <c r="O33" s="2142"/>
      <c r="P33" s="3520"/>
      <c r="Q33" s="1572">
        <f t="shared" si="8"/>
        <v>111</v>
      </c>
      <c r="R33" s="1573" t="s">
        <v>8</v>
      </c>
      <c r="S33" s="1574">
        <f t="shared" si="10"/>
        <v>100</v>
      </c>
      <c r="T33" s="1573" t="s">
        <v>8</v>
      </c>
      <c r="U33" s="1574">
        <f t="shared" si="11"/>
        <v>100</v>
      </c>
      <c r="V33" s="1573" t="s">
        <v>8</v>
      </c>
      <c r="W33" s="1574">
        <f t="shared" si="12"/>
        <v>100</v>
      </c>
      <c r="X33" s="1567"/>
      <c r="Y33" s="3520"/>
      <c r="Z33" s="1575">
        <f t="shared" si="13"/>
        <v>111</v>
      </c>
      <c r="AA33" s="1576">
        <f t="shared" si="3"/>
        <v>1</v>
      </c>
      <c r="AB33" s="1576">
        <f t="shared" si="4"/>
        <v>1</v>
      </c>
      <c r="AC33" s="1576">
        <f t="shared" si="5"/>
        <v>1</v>
      </c>
    </row>
    <row r="34" spans="1:29" ht="15">
      <c r="A34" s="589"/>
      <c r="B34" s="604">
        <v>111</v>
      </c>
      <c r="C34" s="545"/>
      <c r="D34" s="543">
        <v>100</v>
      </c>
      <c r="E34" s="588"/>
      <c r="F34" s="543">
        <f>SUMIF(105:105,E35,106:106)-SUMIF(105:105,C35,106:106)+100</f>
        <v>100</v>
      </c>
      <c r="G34" s="588"/>
      <c r="H34" s="543">
        <f>SUMIF(105:105,G34,106:106)-SUMIF(105:105,C34,106:106)+100</f>
        <v>100</v>
      </c>
      <c r="I34" s="545"/>
      <c r="J34" s="543">
        <f>SUMIF(105:105,I34,106:106)-SUMIF(105:105,C34,106:106)+100</f>
        <v>100</v>
      </c>
      <c r="K34" s="583"/>
      <c r="L34" s="2143"/>
      <c r="M34" s="2135"/>
      <c r="N34" s="2135"/>
      <c r="O34" s="2142"/>
      <c r="P34" s="3521" t="s">
        <v>551</v>
      </c>
      <c r="Q34" s="1572">
        <f t="shared" si="8"/>
        <v>111</v>
      </c>
      <c r="R34" s="1573" t="s">
        <v>8</v>
      </c>
      <c r="S34" s="1574">
        <f t="shared" si="10"/>
        <v>100</v>
      </c>
      <c r="T34" s="1573" t="s">
        <v>8</v>
      </c>
      <c r="U34" s="1574">
        <f t="shared" si="11"/>
        <v>100</v>
      </c>
      <c r="V34" s="1573" t="s">
        <v>8</v>
      </c>
      <c r="W34" s="1574">
        <f t="shared" si="12"/>
        <v>100</v>
      </c>
      <c r="X34" s="1567"/>
      <c r="Y34" s="3522" t="s">
        <v>551</v>
      </c>
      <c r="Z34" s="1575">
        <f t="shared" si="13"/>
        <v>111</v>
      </c>
      <c r="AA34" s="1576">
        <f t="shared" si="3"/>
        <v>1</v>
      </c>
      <c r="AB34" s="1576">
        <f t="shared" si="4"/>
        <v>1</v>
      </c>
      <c r="AC34" s="1576">
        <f t="shared" si="5"/>
        <v>1</v>
      </c>
    </row>
    <row r="35" spans="1:29" s="1339" customFormat="1" ht="15.75" thickBot="1">
      <c r="A35" s="591"/>
      <c r="B35" s="2619">
        <v>111</v>
      </c>
      <c r="C35" s="595"/>
      <c r="D35" s="256">
        <v>100</v>
      </c>
      <c r="E35" s="743"/>
      <c r="F35" s="549">
        <f>SUMIF(107:107,E35,108:108)-SUMIF(107:107,C35,108:108)+100</f>
        <v>100</v>
      </c>
      <c r="G35" s="743"/>
      <c r="H35" s="549">
        <f>SUMIF(107:107,G35,108:108)-SUMIF(107:107,C35,108:108)+100</f>
        <v>100</v>
      </c>
      <c r="I35" s="595"/>
      <c r="J35" s="549">
        <f>SUMIF(107:107,I35,108:108)-SUMIF(107:107,C35,108:108)+100</f>
        <v>100</v>
      </c>
      <c r="K35" s="583"/>
      <c r="L35" s="2141"/>
      <c r="M35" s="2172"/>
      <c r="N35" s="2172"/>
      <c r="O35" s="2144"/>
      <c r="P35" s="3522"/>
      <c r="Q35" s="1572">
        <f t="shared" si="8"/>
        <v>111</v>
      </c>
      <c r="R35" s="1577" t="s">
        <v>8</v>
      </c>
      <c r="S35" s="1578">
        <f t="shared" si="10"/>
        <v>100</v>
      </c>
      <c r="T35" s="1577" t="s">
        <v>8</v>
      </c>
      <c r="U35" s="1578">
        <f t="shared" si="11"/>
        <v>100</v>
      </c>
      <c r="V35" s="1577" t="s">
        <v>8</v>
      </c>
      <c r="W35" s="1578">
        <f t="shared" si="12"/>
        <v>100</v>
      </c>
      <c r="X35" s="1579"/>
      <c r="Y35" s="3522"/>
      <c r="Z35" s="1580">
        <f t="shared" si="13"/>
        <v>111</v>
      </c>
      <c r="AA35" s="1576">
        <f t="shared" si="3"/>
        <v>1</v>
      </c>
      <c r="AB35" s="1576">
        <f t="shared" si="4"/>
        <v>1</v>
      </c>
      <c r="AC35" s="1576">
        <f t="shared" si="5"/>
        <v>1</v>
      </c>
    </row>
    <row r="36" spans="1:29" ht="15">
      <c r="A36" s="2934" t="s">
        <v>2758</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3"/>
      <c r="M36" s="2135"/>
      <c r="N36" s="2135"/>
      <c r="O36" s="2142"/>
      <c r="P36" s="3522"/>
      <c r="Q36" s="1572" t="str">
        <f>B36</f>
        <v>宗地面积</v>
      </c>
      <c r="R36" s="1573" t="s">
        <v>8</v>
      </c>
      <c r="S36" s="1574" t="e">
        <f t="shared" si="10"/>
        <v>#N/A</v>
      </c>
      <c r="T36" s="1573" t="s">
        <v>8</v>
      </c>
      <c r="U36" s="1574" t="e">
        <f t="shared" si="11"/>
        <v>#N/A</v>
      </c>
      <c r="V36" s="1573" t="s">
        <v>8</v>
      </c>
      <c r="W36" s="1574" t="e">
        <f t="shared" si="12"/>
        <v>#N/A</v>
      </c>
      <c r="X36" s="1567"/>
      <c r="Y36" s="3522"/>
      <c r="Z36" s="1575" t="str">
        <f t="shared" si="13"/>
        <v>宗地面积</v>
      </c>
      <c r="AA36" s="1576" t="e">
        <f t="shared" si="3"/>
        <v>#N/A</v>
      </c>
      <c r="AB36" s="1576" t="e">
        <f t="shared" si="4"/>
        <v>#N/A</v>
      </c>
      <c r="AC36" s="1576" t="e">
        <f t="shared" si="5"/>
        <v>#N/A</v>
      </c>
    </row>
    <row r="37" spans="1:29" ht="15">
      <c r="A37" s="596"/>
      <c r="B37" s="530" t="s">
        <v>554</v>
      </c>
      <c r="C37" s="601"/>
      <c r="D37" s="543">
        <v>100</v>
      </c>
      <c r="E37" s="601"/>
      <c r="F37" s="543">
        <f>SUMIF(112:112,E37,113:113)-SUMIF(112:112,C37,113:113)+100</f>
        <v>100</v>
      </c>
      <c r="G37" s="601"/>
      <c r="H37" s="543">
        <f>SUMIF(112:112,G37,113:113)-SUMIF(112:112,C37,113:113)+100</f>
        <v>100</v>
      </c>
      <c r="I37" s="601"/>
      <c r="J37" s="543">
        <f>SUMIF(112:112,I37,113:113)-SUMIF(112:112,C37,113:113)+100</f>
        <v>100</v>
      </c>
      <c r="K37" s="586"/>
      <c r="L37" s="2143"/>
      <c r="M37" s="2135"/>
      <c r="N37" s="2135"/>
      <c r="O37" s="2142"/>
      <c r="P37" s="3522"/>
      <c r="Q37" s="1572" t="str">
        <f t="shared" ref="Q37:Q42" si="14">B37</f>
        <v>宗地形状</v>
      </c>
      <c r="R37" s="1573" t="s">
        <v>8</v>
      </c>
      <c r="S37" s="1574">
        <f t="shared" si="10"/>
        <v>100</v>
      </c>
      <c r="T37" s="1573" t="s">
        <v>8</v>
      </c>
      <c r="U37" s="1574">
        <f t="shared" si="11"/>
        <v>100</v>
      </c>
      <c r="V37" s="1573" t="s">
        <v>8</v>
      </c>
      <c r="W37" s="1574">
        <f t="shared" si="12"/>
        <v>100</v>
      </c>
      <c r="X37" s="1567"/>
      <c r="Y37" s="3522"/>
      <c r="Z37" s="1575" t="str">
        <f t="shared" si="13"/>
        <v>宗地形状</v>
      </c>
      <c r="AA37" s="1576">
        <f t="shared" si="3"/>
        <v>1</v>
      </c>
      <c r="AB37" s="1576">
        <f t="shared" si="4"/>
        <v>1</v>
      </c>
      <c r="AC37" s="1576">
        <f t="shared" si="5"/>
        <v>1</v>
      </c>
    </row>
    <row r="38" spans="1:29" s="1220" customFormat="1" ht="15">
      <c r="A38" s="602"/>
      <c r="B38" s="1896" t="s">
        <v>2424</v>
      </c>
      <c r="C38" s="603"/>
      <c r="D38" s="255">
        <v>100</v>
      </c>
      <c r="E38" s="603"/>
      <c r="F38" s="543">
        <f>SUMIF(114:114,E38,115:115)-SUMIF(114:114,C38,115:115)+100</f>
        <v>100</v>
      </c>
      <c r="G38" s="603"/>
      <c r="H38" s="543">
        <f>SUMIF(114:114,G38,115:115)-SUMIF(114:114,C38,115:115)+100</f>
        <v>100</v>
      </c>
      <c r="I38" s="603"/>
      <c r="J38" s="543">
        <f>SUMIF(114:114,I38,115:115)-SUMIF(114:114,C38,115:115)+100</f>
        <v>100</v>
      </c>
      <c r="K38" s="586"/>
      <c r="L38" s="2136"/>
      <c r="M38" s="2137"/>
      <c r="N38" s="2137"/>
      <c r="O38" s="2138"/>
      <c r="P38" s="3522"/>
      <c r="Q38" s="1572" t="str">
        <f t="shared" si="14"/>
        <v>宗地开发程度</v>
      </c>
      <c r="R38" s="1568" t="s">
        <v>8</v>
      </c>
      <c r="S38" s="1569">
        <f t="shared" si="10"/>
        <v>100</v>
      </c>
      <c r="T38" s="1568" t="s">
        <v>8</v>
      </c>
      <c r="U38" s="1569">
        <f t="shared" si="11"/>
        <v>100</v>
      </c>
      <c r="V38" s="1568" t="s">
        <v>8</v>
      </c>
      <c r="W38" s="1569">
        <f t="shared" si="12"/>
        <v>100</v>
      </c>
      <c r="X38" s="1570"/>
      <c r="Y38" s="3522"/>
      <c r="Z38" s="1150" t="str">
        <f t="shared" si="13"/>
        <v>宗地开发程度</v>
      </c>
      <c r="AA38" s="1571">
        <f t="shared" si="3"/>
        <v>1</v>
      </c>
      <c r="AB38" s="1571">
        <f t="shared" si="4"/>
        <v>1</v>
      </c>
      <c r="AC38" s="1571">
        <f t="shared" si="5"/>
        <v>1</v>
      </c>
    </row>
    <row r="39" spans="1:29" ht="15">
      <c r="A39" s="596"/>
      <c r="B39" s="530" t="s">
        <v>556</v>
      </c>
      <c r="C39" s="601"/>
      <c r="D39" s="543">
        <v>100</v>
      </c>
      <c r="E39" s="601"/>
      <c r="F39" s="543">
        <f>SUMIF(116:116,E39,117:117)-SUMIF(116:116,C39,117:117)+100</f>
        <v>100</v>
      </c>
      <c r="G39" s="601"/>
      <c r="H39" s="543">
        <f>SUMIF(116:116,G39,117:117)-SUMIF(116:116,C39,117:117)+100</f>
        <v>100</v>
      </c>
      <c r="I39" s="601"/>
      <c r="J39" s="543">
        <f>SUMIF(116:116,I39,117:117)-SUMIF(116:116,C39,117:117)+100</f>
        <v>100</v>
      </c>
      <c r="K39" s="586"/>
      <c r="L39" s="2143"/>
      <c r="M39" s="2135"/>
      <c r="N39" s="2135"/>
      <c r="O39" s="2142"/>
      <c r="P39" s="3522" t="s">
        <v>602</v>
      </c>
      <c r="Q39" s="1572" t="str">
        <f t="shared" si="14"/>
        <v>工程地质条件</v>
      </c>
      <c r="R39" s="1573" t="s">
        <v>8</v>
      </c>
      <c r="S39" s="1574">
        <f t="shared" si="10"/>
        <v>100</v>
      </c>
      <c r="T39" s="1573" t="s">
        <v>8</v>
      </c>
      <c r="U39" s="1574">
        <f t="shared" si="11"/>
        <v>100</v>
      </c>
      <c r="V39" s="1573" t="s">
        <v>8</v>
      </c>
      <c r="W39" s="1574">
        <f t="shared" si="12"/>
        <v>100</v>
      </c>
      <c r="X39" s="1567"/>
      <c r="Y39" s="3522" t="s">
        <v>602</v>
      </c>
      <c r="Z39" s="1575" t="str">
        <f t="shared" si="13"/>
        <v>工程地质条件</v>
      </c>
      <c r="AA39" s="1576">
        <f t="shared" si="3"/>
        <v>1</v>
      </c>
      <c r="AB39" s="1576">
        <f t="shared" si="4"/>
        <v>1</v>
      </c>
      <c r="AC39" s="1576">
        <f t="shared" si="5"/>
        <v>1</v>
      </c>
    </row>
    <row r="40" spans="1:29" ht="15">
      <c r="A40" s="596"/>
      <c r="B40" s="604">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3"/>
      <c r="L40" s="2143"/>
      <c r="M40" s="2135"/>
      <c r="N40" s="2135"/>
      <c r="O40" s="2142"/>
      <c r="P40" s="3522"/>
      <c r="Q40" s="1572">
        <f t="shared" si="14"/>
        <v>111</v>
      </c>
      <c r="R40" s="1573" t="s">
        <v>8</v>
      </c>
      <c r="S40" s="1574">
        <f t="shared" si="10"/>
        <v>100</v>
      </c>
      <c r="T40" s="1573" t="s">
        <v>8</v>
      </c>
      <c r="U40" s="1574">
        <f t="shared" si="11"/>
        <v>100</v>
      </c>
      <c r="V40" s="1573" t="s">
        <v>8</v>
      </c>
      <c r="W40" s="1574">
        <f t="shared" si="12"/>
        <v>100</v>
      </c>
      <c r="X40" s="1567"/>
      <c r="Y40" s="3522"/>
      <c r="Z40" s="1575">
        <f t="shared" si="13"/>
        <v>111</v>
      </c>
      <c r="AA40" s="1576">
        <f t="shared" si="3"/>
        <v>1</v>
      </c>
      <c r="AB40" s="1576">
        <f t="shared" si="4"/>
        <v>1</v>
      </c>
      <c r="AC40" s="1576">
        <f t="shared" si="5"/>
        <v>1</v>
      </c>
    </row>
    <row r="41" spans="1:29" ht="15">
      <c r="A41" s="596"/>
      <c r="B41" s="604">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3"/>
      <c r="L41" s="2143"/>
      <c r="M41" s="2135"/>
      <c r="N41" s="2135"/>
      <c r="O41" s="2142"/>
      <c r="P41" s="3522"/>
      <c r="Q41" s="1572">
        <f t="shared" si="14"/>
        <v>111</v>
      </c>
      <c r="R41" s="1573" t="s">
        <v>8</v>
      </c>
      <c r="S41" s="1574">
        <f t="shared" si="10"/>
        <v>100</v>
      </c>
      <c r="T41" s="1573" t="s">
        <v>8</v>
      </c>
      <c r="U41" s="1574">
        <f t="shared" si="11"/>
        <v>100</v>
      </c>
      <c r="V41" s="1573" t="s">
        <v>8</v>
      </c>
      <c r="W41" s="1574">
        <f t="shared" si="12"/>
        <v>100</v>
      </c>
      <c r="X41" s="1567"/>
      <c r="Y41" s="3522"/>
      <c r="Z41" s="1575">
        <f t="shared" si="13"/>
        <v>111</v>
      </c>
      <c r="AA41" s="1576">
        <f t="shared" si="3"/>
        <v>1</v>
      </c>
      <c r="AB41" s="1576">
        <f t="shared" si="4"/>
        <v>1</v>
      </c>
      <c r="AC41" s="1576">
        <f t="shared" si="5"/>
        <v>1</v>
      </c>
    </row>
    <row r="42" spans="1:29" s="1339" customFormat="1" ht="15.75" thickBot="1">
      <c r="A42" s="605"/>
      <c r="B42" s="604">
        <v>111</v>
      </c>
      <c r="C42" s="606"/>
      <c r="D42" s="256">
        <v>100</v>
      </c>
      <c r="E42" s="545"/>
      <c r="F42" s="549">
        <f>SUMIF(122:122,E42,123:123)-SUMIF(122:122,C42,123:123)+100</f>
        <v>100</v>
      </c>
      <c r="G42" s="545"/>
      <c r="H42" s="549">
        <f>SUMIF(122:122,G42,123:123)-SUMIF(122:122,C42,123:123)+100</f>
        <v>100</v>
      </c>
      <c r="I42" s="544"/>
      <c r="J42" s="549">
        <f>SUMIF(122:122,I42,123:123)-SUMIF(122:122,C42,123:123)+100</f>
        <v>100</v>
      </c>
      <c r="K42" s="608"/>
      <c r="L42" s="2141"/>
      <c r="M42" s="2172"/>
      <c r="N42" s="2172"/>
      <c r="O42" s="2144"/>
      <c r="P42" s="3522"/>
      <c r="Q42" s="1572">
        <f t="shared" si="14"/>
        <v>111</v>
      </c>
      <c r="R42" s="1577" t="s">
        <v>8</v>
      </c>
      <c r="S42" s="1578">
        <f t="shared" si="10"/>
        <v>100</v>
      </c>
      <c r="T42" s="1577" t="s">
        <v>8</v>
      </c>
      <c r="U42" s="1578">
        <f t="shared" si="11"/>
        <v>100</v>
      </c>
      <c r="V42" s="1577" t="s">
        <v>8</v>
      </c>
      <c r="W42" s="1578">
        <f t="shared" si="12"/>
        <v>100</v>
      </c>
      <c r="X42" s="1579"/>
      <c r="Y42" s="3522"/>
      <c r="Z42" s="1580">
        <f t="shared" si="13"/>
        <v>111</v>
      </c>
      <c r="AA42" s="1576">
        <f t="shared" si="3"/>
        <v>1</v>
      </c>
      <c r="AB42" s="1576">
        <f t="shared" si="4"/>
        <v>1</v>
      </c>
      <c r="AC42" s="1576">
        <f t="shared" si="5"/>
        <v>1</v>
      </c>
    </row>
    <row r="43" spans="1:29" ht="15">
      <c r="A43" s="609" t="s">
        <v>557</v>
      </c>
      <c r="B43" s="610" t="s">
        <v>2929</v>
      </c>
      <c r="C43" s="611" t="s">
        <v>1</v>
      </c>
      <c r="D43" s="612"/>
      <c r="E43" s="613"/>
      <c r="F43" s="614"/>
      <c r="G43" s="615"/>
      <c r="H43" s="616"/>
      <c r="I43" s="613"/>
      <c r="J43" s="616"/>
      <c r="K43" s="1340"/>
      <c r="L43" s="2145"/>
      <c r="M43" s="2135"/>
      <c r="N43" s="2135"/>
      <c r="O43" s="2146"/>
      <c r="P43" s="3517" t="str">
        <f>A43</f>
        <v>成交单价</v>
      </c>
      <c r="Q43" s="3517"/>
      <c r="R43" s="3531">
        <f>E43</f>
        <v>0</v>
      </c>
      <c r="S43" s="3531"/>
      <c r="T43" s="3531">
        <f>G43</f>
        <v>0</v>
      </c>
      <c r="U43" s="3531"/>
      <c r="V43" s="3531">
        <f>I43</f>
        <v>0</v>
      </c>
      <c r="W43" s="3531"/>
      <c r="X43" s="1559"/>
      <c r="Y43" s="1581"/>
      <c r="Z43" s="1559"/>
      <c r="AA43" s="1559"/>
      <c r="AB43" s="1559"/>
      <c r="AC43" s="1559"/>
    </row>
    <row r="44" spans="1:29" ht="15.75" thickBot="1">
      <c r="A44" s="617" t="s">
        <v>2696</v>
      </c>
      <c r="B44" s="618"/>
      <c r="C44" s="619" t="e">
        <f>R45</f>
        <v>#DIV/0!</v>
      </c>
      <c r="D44" s="620"/>
      <c r="E44" s="619" t="e">
        <f>R44</f>
        <v>#DIV/0!</v>
      </c>
      <c r="F44" s="621"/>
      <c r="G44" s="622" t="e">
        <f>T44</f>
        <v>#DIV/0!</v>
      </c>
      <c r="H44" s="620"/>
      <c r="I44" s="619" t="e">
        <f>V44</f>
        <v>#DIV/0!</v>
      </c>
      <c r="J44" s="620"/>
      <c r="K44" s="1341"/>
      <c r="L44" s="2145"/>
      <c r="M44" s="2135"/>
      <c r="N44" s="2135"/>
      <c r="O44" s="2146"/>
      <c r="P44" s="3517" t="str">
        <f>A44</f>
        <v>比较价格（元/平方米）</v>
      </c>
      <c r="Q44" s="3517"/>
      <c r="R44" s="3542" t="e">
        <f>ROUND(PRODUCT(R43,AA9:AA42),0)</f>
        <v>#DIV/0!</v>
      </c>
      <c r="S44" s="3542"/>
      <c r="T44" s="3542" t="e">
        <f>ROUND(PRODUCT(T43,AB9:AB42),0)</f>
        <v>#DIV/0!</v>
      </c>
      <c r="U44" s="3542"/>
      <c r="V44" s="3542" t="e">
        <f>ROUND(PRODUCT(V43,AC9:AC42),0)</f>
        <v>#DIV/0!</v>
      </c>
      <c r="W44" s="3542"/>
      <c r="X44" s="1559"/>
      <c r="Y44" s="1559"/>
      <c r="Z44" s="1559"/>
      <c r="AA44" s="1559"/>
      <c r="AB44" s="1559"/>
      <c r="AC44" s="1559"/>
    </row>
    <row r="45" spans="1:29" ht="15.75" thickBot="1">
      <c r="A45" s="623" t="s">
        <v>2930</v>
      </c>
      <c r="B45" s="624"/>
      <c r="C45" s="625" t="e">
        <f>R45</f>
        <v>#DIV/0!</v>
      </c>
      <c r="D45" s="625"/>
      <c r="E45" s="625"/>
      <c r="F45" s="625"/>
      <c r="G45" s="625"/>
      <c r="H45" s="625"/>
      <c r="I45" s="625"/>
      <c r="J45" s="625"/>
      <c r="K45" s="1342"/>
      <c r="L45" s="2145"/>
      <c r="M45" s="2135"/>
      <c r="N45" s="2135"/>
      <c r="O45" s="2146"/>
      <c r="P45" s="3539" t="str">
        <f>A45</f>
        <v>估价对象XX用房的比较价格（楼面单价，元/平方米）</v>
      </c>
      <c r="Q45" s="3540"/>
      <c r="R45" s="3541" t="e">
        <f>ROUND(AVERAGE(R44:V44),0)</f>
        <v>#DIV/0!</v>
      </c>
      <c r="S45" s="3541"/>
      <c r="T45" s="3541"/>
      <c r="U45" s="3541"/>
      <c r="V45" s="3541"/>
      <c r="W45" s="3541"/>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31" t="s">
        <v>561</v>
      </c>
      <c r="B52" s="632" t="s">
        <v>562</v>
      </c>
      <c r="C52" s="1560" t="s">
        <v>1725</v>
      </c>
      <c r="D52" s="2228" t="s">
        <v>2293</v>
      </c>
      <c r="E52" s="633" t="s">
        <v>563</v>
      </c>
      <c r="F52" s="1952" t="s">
        <v>564</v>
      </c>
      <c r="G52" s="3543" t="s">
        <v>2284</v>
      </c>
      <c r="H52" s="3544"/>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5" t="s">
        <v>565</v>
      </c>
      <c r="B53" s="636" t="e">
        <f>C45</f>
        <v>#DIV/0!</v>
      </c>
      <c r="C53" s="637">
        <v>1</v>
      </c>
      <c r="D53" s="2229">
        <v>1</v>
      </c>
      <c r="E53" s="637">
        <f>'数据-汇总表'!E8+'数据-汇总表'!E9</f>
        <v>114363</v>
      </c>
      <c r="F53" s="1951" t="e">
        <f t="shared" ref="F53:F62" si="15">ROUND(B53*E53/10000,0)</f>
        <v>#DIV/0!</v>
      </c>
      <c r="G53" s="3545"/>
      <c r="H53" s="3546"/>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9" t="s">
        <v>566</v>
      </c>
      <c r="B54" s="640" t="e">
        <f>ROUND($C$45*C54*D54,0)</f>
        <v>#DIV/0!</v>
      </c>
      <c r="C54" s="381">
        <f t="shared" ref="C54:C62" si="16">IF($C$52="北京市系数",I54,J54)</f>
        <v>0</v>
      </c>
      <c r="D54" s="2230">
        <v>0.25</v>
      </c>
      <c r="E54" s="641"/>
      <c r="F54" s="1951" t="e">
        <f t="shared" si="15"/>
        <v>#DIV/0!</v>
      </c>
      <c r="G54" s="3547" t="s">
        <v>2285</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9" t="s">
        <v>567</v>
      </c>
      <c r="B55" s="640" t="e">
        <f t="shared" ref="B55:B62" si="17">ROUND($C$45*C55*D55,0)</f>
        <v>#DIV/0!</v>
      </c>
      <c r="C55" s="381">
        <f t="shared" si="16"/>
        <v>0</v>
      </c>
      <c r="D55" s="2230">
        <v>0.25</v>
      </c>
      <c r="E55" s="641"/>
      <c r="F55" s="1951" t="e">
        <f t="shared" si="15"/>
        <v>#DIV/0!</v>
      </c>
      <c r="G55" s="3547"/>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9" t="s">
        <v>568</v>
      </c>
      <c r="B56" s="640" t="e">
        <f t="shared" si="17"/>
        <v>#DIV/0!</v>
      </c>
      <c r="C56" s="381">
        <f t="shared" si="16"/>
        <v>0</v>
      </c>
      <c r="D56" s="2230">
        <v>0.25</v>
      </c>
      <c r="E56" s="641"/>
      <c r="F56" s="1951" t="e">
        <f t="shared" si="15"/>
        <v>#DIV/0!</v>
      </c>
      <c r="G56" s="3547"/>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9" t="s">
        <v>569</v>
      </c>
      <c r="B57" s="640" t="e">
        <f t="shared" si="17"/>
        <v>#DIV/0!</v>
      </c>
      <c r="C57" s="381">
        <f t="shared" si="16"/>
        <v>0</v>
      </c>
      <c r="D57" s="2230">
        <v>0.25</v>
      </c>
      <c r="E57" s="641"/>
      <c r="F57" s="1951" t="e">
        <f t="shared" si="15"/>
        <v>#DIV/0!</v>
      </c>
      <c r="G57" s="3547"/>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40" t="e">
        <f t="shared" si="17"/>
        <v>#DIV/0!</v>
      </c>
      <c r="C58" s="381">
        <f t="shared" si="16"/>
        <v>0</v>
      </c>
      <c r="D58" s="2230">
        <v>0.25</v>
      </c>
      <c r="E58" s="643">
        <f>'数据-汇总表'!E11</f>
        <v>0</v>
      </c>
      <c r="F58" s="1951" t="e">
        <f t="shared" si="15"/>
        <v>#DIV/0!</v>
      </c>
      <c r="G58" s="1957" t="s">
        <v>2286</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9" t="s">
        <v>570</v>
      </c>
      <c r="B59" s="640" t="e">
        <f t="shared" si="17"/>
        <v>#DIV/0!</v>
      </c>
      <c r="C59" s="381">
        <f t="shared" si="16"/>
        <v>0</v>
      </c>
      <c r="D59" s="2230">
        <v>0.25</v>
      </c>
      <c r="E59" s="643">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9" t="s">
        <v>571</v>
      </c>
      <c r="B60" s="640" t="e">
        <f t="shared" si="17"/>
        <v>#DIV/0!</v>
      </c>
      <c r="C60" s="381">
        <f t="shared" si="16"/>
        <v>0</v>
      </c>
      <c r="D60" s="2230">
        <v>0.25</v>
      </c>
      <c r="E60" s="643">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9" t="s">
        <v>572</v>
      </c>
      <c r="B61" s="640" t="e">
        <f t="shared" si="17"/>
        <v>#DIV/0!</v>
      </c>
      <c r="C61" s="381">
        <f t="shared" si="16"/>
        <v>0</v>
      </c>
      <c r="D61" s="2230">
        <v>0.25</v>
      </c>
      <c r="E61" s="643">
        <f>'数据-汇总表'!E14</f>
        <v>0</v>
      </c>
      <c r="F61" s="1951" t="e">
        <f t="shared" si="15"/>
        <v>#DIV/0!</v>
      </c>
      <c r="G61" s="1957" t="s">
        <v>2285</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9" t="s">
        <v>573</v>
      </c>
      <c r="B62" s="640" t="e">
        <f t="shared" si="17"/>
        <v>#DIV/0!</v>
      </c>
      <c r="C62" s="381">
        <f t="shared" si="16"/>
        <v>0</v>
      </c>
      <c r="D62" s="2230">
        <v>0.25</v>
      </c>
      <c r="E62" s="643">
        <f>'数据-汇总表'!E15</f>
        <v>0</v>
      </c>
      <c r="F62" s="1951" t="e">
        <f t="shared" si="15"/>
        <v>#DIV/0!</v>
      </c>
      <c r="G62" s="1958" t="s">
        <v>2286</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4" t="s">
        <v>574</v>
      </c>
      <c r="B63" s="645" t="s">
        <v>17</v>
      </c>
      <c r="C63" s="645" t="s">
        <v>18</v>
      </c>
      <c r="D63" s="645" t="s">
        <v>2294</v>
      </c>
      <c r="E63" s="645">
        <f>IF(B43="楼面地价",SUM(E53:E62),'数据-汇总表'!D3)</f>
        <v>76242</v>
      </c>
      <c r="F63" s="646"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7" t="str">
        <f>YEAR(C9)&amp;"-"&amp;MONTH(C9)&amp;"-1"</f>
        <v>2017-11-1</v>
      </c>
      <c r="D65" s="2826">
        <f>EDATE(C65,-3)</f>
        <v>42948</v>
      </c>
      <c r="E65" s="2826">
        <f t="shared" ref="E65:N65" si="18">EDATE(D65,-3)</f>
        <v>42856</v>
      </c>
      <c r="F65" s="2826">
        <f t="shared" si="18"/>
        <v>42767</v>
      </c>
      <c r="G65" s="2826">
        <f t="shared" si="18"/>
        <v>42675</v>
      </c>
      <c r="H65" s="2826">
        <f t="shared" si="18"/>
        <v>42583</v>
      </c>
      <c r="I65" s="2826">
        <f t="shared" si="18"/>
        <v>42491</v>
      </c>
      <c r="J65" s="2826">
        <f t="shared" si="18"/>
        <v>42401</v>
      </c>
      <c r="K65" s="2826">
        <f t="shared" si="18"/>
        <v>42309</v>
      </c>
      <c r="L65" s="2826">
        <f t="shared" si="18"/>
        <v>42217</v>
      </c>
      <c r="M65" s="2826">
        <f t="shared" si="18"/>
        <v>42125</v>
      </c>
      <c r="N65" s="2826">
        <f t="shared" si="18"/>
        <v>42036</v>
      </c>
      <c r="O65" s="2146"/>
      <c r="P65" s="2146"/>
      <c r="Q65" s="2146"/>
      <c r="R65" s="2146"/>
      <c r="S65" s="2146"/>
      <c r="T65" s="2146"/>
      <c r="U65" s="2146"/>
      <c r="V65" s="2146"/>
      <c r="W65" s="2146"/>
      <c r="X65" s="2146"/>
      <c r="Y65" s="2146"/>
      <c r="Z65" s="2146"/>
      <c r="AA65" s="2146"/>
      <c r="AB65" s="2146"/>
      <c r="AC65" s="2146"/>
    </row>
    <row r="66" spans="1:29" ht="21.75" thickBot="1">
      <c r="A66" s="1584" t="s">
        <v>575</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2535</v>
      </c>
      <c r="B67" s="648"/>
      <c r="C67" s="2821" t="str">
        <f>YEAR(C65)&amp;"-"&amp;ROUNDUP(MONTH(C65)/3,0)</f>
        <v>2017-4</v>
      </c>
      <c r="D67" s="2828" t="str">
        <f t="shared" ref="D67:N67" si="19">YEAR(D65)&amp;"-"&amp;ROUNDUP(MONTH(D65)/3,0)</f>
        <v>2017-3</v>
      </c>
      <c r="E67" s="2828" t="str">
        <f t="shared" si="19"/>
        <v>2017-2</v>
      </c>
      <c r="F67" s="2828" t="str">
        <f t="shared" si="19"/>
        <v>2017-1</v>
      </c>
      <c r="G67" s="2828" t="str">
        <f t="shared" si="19"/>
        <v>2016-4</v>
      </c>
      <c r="H67" s="2828" t="str">
        <f t="shared" si="19"/>
        <v>2016-3</v>
      </c>
      <c r="I67" s="2828" t="str">
        <f t="shared" si="19"/>
        <v>2016-2</v>
      </c>
      <c r="J67" s="2828" t="str">
        <f t="shared" si="19"/>
        <v>2016-1</v>
      </c>
      <c r="K67" s="2828" t="str">
        <f t="shared" si="19"/>
        <v>2015-4</v>
      </c>
      <c r="L67" s="2828" t="str">
        <f t="shared" si="19"/>
        <v>2015-3</v>
      </c>
      <c r="M67" s="2828" t="str">
        <f t="shared" si="19"/>
        <v>2015-2</v>
      </c>
      <c r="N67" s="2828" t="str">
        <f t="shared" si="19"/>
        <v>2015-1</v>
      </c>
      <c r="O67" s="2160"/>
      <c r="P67" s="2161"/>
      <c r="Q67" s="2162"/>
      <c r="R67" s="2162"/>
      <c r="S67" s="2162"/>
      <c r="T67" s="2162"/>
      <c r="U67" s="2162"/>
      <c r="V67" s="2162"/>
      <c r="W67" s="2162"/>
      <c r="X67" s="2162"/>
      <c r="Y67" s="2162"/>
      <c r="Z67" s="2162"/>
      <c r="AA67" s="2162"/>
      <c r="AB67" s="2162"/>
      <c r="AC67" s="2162"/>
    </row>
    <row r="68" spans="1:29" s="1220" customFormat="1" ht="27.75" customHeight="1">
      <c r="A68" s="2825" t="s">
        <v>2652</v>
      </c>
      <c r="B68" s="482" t="str">
        <f>"北京市平均增长率"&amp;TEXT(基准地价!P24,"0.00%")</f>
        <v>北京市平均增长率1.39%</v>
      </c>
      <c r="C68" s="895">
        <v>100</v>
      </c>
      <c r="D68" s="732"/>
      <c r="E68" s="732"/>
      <c r="F68" s="732"/>
      <c r="G68" s="732"/>
      <c r="H68" s="732"/>
      <c r="I68" s="732"/>
      <c r="J68" s="732"/>
      <c r="K68" s="732"/>
      <c r="L68" s="732"/>
      <c r="M68" s="2819"/>
      <c r="N68" s="2820"/>
      <c r="O68" s="2163"/>
      <c r="P68" s="2159"/>
      <c r="Q68" s="1994"/>
      <c r="R68" s="1994"/>
      <c r="S68" s="1994"/>
      <c r="T68" s="1994"/>
      <c r="U68" s="1994"/>
      <c r="V68" s="1994"/>
      <c r="W68" s="1994"/>
      <c r="X68" s="1994"/>
      <c r="Y68" s="1994"/>
      <c r="Z68" s="1994"/>
      <c r="AA68" s="1994"/>
      <c r="AB68" s="1994"/>
      <c r="AC68" s="1994"/>
    </row>
    <row r="69" spans="1:29" s="1220" customFormat="1" ht="15.75" thickBot="1">
      <c r="A69" s="655" t="s">
        <v>576</v>
      </c>
      <c r="B69" s="656"/>
      <c r="C69" s="2817"/>
      <c r="D69" s="2818"/>
      <c r="E69" s="2818"/>
      <c r="F69" s="2818"/>
      <c r="G69" s="2818"/>
      <c r="H69" s="2818"/>
      <c r="I69" s="2818"/>
      <c r="J69" s="2818"/>
      <c r="K69" s="2818"/>
      <c r="L69" s="2818"/>
      <c r="M69" s="2818"/>
      <c r="N69" s="2818"/>
      <c r="O69" s="2163"/>
      <c r="P69" s="2159"/>
      <c r="Q69" s="2159"/>
      <c r="R69" s="1994"/>
      <c r="S69" s="1994"/>
      <c r="T69" s="1994"/>
      <c r="U69" s="1994"/>
      <c r="V69" s="1994"/>
      <c r="W69" s="1994"/>
      <c r="X69" s="1994"/>
      <c r="Y69" s="1994"/>
      <c r="Z69" s="1994"/>
      <c r="AA69" s="1994"/>
      <c r="AB69" s="1994"/>
      <c r="AC69" s="1994"/>
    </row>
    <row r="70" spans="1:29" s="1220" customFormat="1" ht="15">
      <c r="A70" s="661" t="s">
        <v>532</v>
      </c>
      <c r="B70" s="650"/>
      <c r="C70" s="662" t="s">
        <v>577</v>
      </c>
      <c r="D70" s="663"/>
      <c r="E70" s="663"/>
      <c r="F70" s="663"/>
      <c r="G70" s="663"/>
      <c r="H70" s="663"/>
      <c r="I70" s="663"/>
      <c r="J70" s="663"/>
      <c r="K70" s="663"/>
      <c r="L70" s="664"/>
      <c r="M70" s="665"/>
      <c r="N70" s="2163"/>
      <c r="O70" s="2163"/>
      <c r="P70" s="2164"/>
      <c r="Q70" s="2159"/>
      <c r="R70" s="1994"/>
      <c r="S70" s="1994"/>
      <c r="T70" s="1994"/>
      <c r="U70" s="1994"/>
      <c r="V70" s="1994"/>
      <c r="W70" s="1994"/>
      <c r="X70" s="1994"/>
      <c r="Y70" s="1994"/>
      <c r="Z70" s="1994"/>
      <c r="AA70" s="1994"/>
      <c r="AB70" s="1994"/>
      <c r="AC70" s="1994"/>
    </row>
    <row r="71" spans="1:29" s="1220" customFormat="1" ht="15.75" thickBot="1">
      <c r="A71" s="661"/>
      <c r="B71" s="650"/>
      <c r="C71" s="651">
        <v>100</v>
      </c>
      <c r="D71" s="652"/>
      <c r="E71" s="652"/>
      <c r="F71" s="652"/>
      <c r="G71" s="652"/>
      <c r="H71" s="652"/>
      <c r="I71" s="652"/>
      <c r="J71" s="652"/>
      <c r="K71" s="652"/>
      <c r="L71" s="652"/>
      <c r="M71" s="654"/>
      <c r="N71" s="2163"/>
      <c r="O71" s="2163"/>
      <c r="P71" s="2159"/>
      <c r="Q71" s="2159"/>
      <c r="R71" s="1994"/>
      <c r="S71" s="1994"/>
      <c r="T71" s="1994"/>
      <c r="U71" s="1994"/>
      <c r="V71" s="1994"/>
      <c r="W71" s="1994"/>
      <c r="X71" s="1994"/>
      <c r="Y71" s="1994"/>
      <c r="Z71" s="1994"/>
      <c r="AA71" s="1994"/>
      <c r="AB71" s="1994"/>
      <c r="AC71" s="1994"/>
    </row>
    <row r="72" spans="1:29">
      <c r="A72" s="666" t="s">
        <v>578</v>
      </c>
      <c r="B72" s="667" t="s">
        <v>535</v>
      </c>
      <c r="C72" s="600"/>
      <c r="D72" s="600"/>
      <c r="E72" s="600"/>
      <c r="F72" s="600"/>
      <c r="G72" s="600"/>
      <c r="H72" s="600"/>
      <c r="I72" s="600"/>
      <c r="J72" s="600"/>
      <c r="K72" s="668"/>
      <c r="L72" s="669"/>
      <c r="M72" s="670"/>
      <c r="N72" s="2165"/>
      <c r="O72" s="2165"/>
      <c r="P72" s="2166"/>
      <c r="Q72" s="2159"/>
      <c r="R72" s="2146"/>
      <c r="S72" s="2146"/>
      <c r="T72" s="2146"/>
      <c r="U72" s="2146"/>
      <c r="V72" s="2146"/>
      <c r="W72" s="2146"/>
      <c r="X72" s="2146"/>
      <c r="Y72" s="2146"/>
      <c r="Z72" s="2146"/>
      <c r="AA72" s="2146"/>
      <c r="AB72" s="2146"/>
      <c r="AC72" s="2146"/>
    </row>
    <row r="73" spans="1:29" ht="15.75" thickBot="1">
      <c r="A73" s="671"/>
      <c r="B73" s="672"/>
      <c r="C73" s="673"/>
      <c r="D73" s="673"/>
      <c r="E73" s="673"/>
      <c r="F73" s="673"/>
      <c r="G73" s="673"/>
      <c r="H73" s="673"/>
      <c r="I73" s="673"/>
      <c r="J73" s="673"/>
      <c r="K73" s="673"/>
      <c r="L73" s="673"/>
      <c r="M73" s="674"/>
      <c r="N73" s="2167"/>
      <c r="O73" s="2167"/>
      <c r="P73" s="2166"/>
      <c r="Q73" s="2159"/>
      <c r="R73" s="2146"/>
      <c r="S73" s="2146"/>
      <c r="T73" s="2146"/>
      <c r="U73" s="2146"/>
      <c r="V73" s="2146"/>
      <c r="W73" s="2146"/>
      <c r="X73" s="2146"/>
      <c r="Y73" s="2146"/>
      <c r="Z73" s="2146"/>
      <c r="AA73" s="2146"/>
      <c r="AB73" s="2146"/>
      <c r="AC73" s="2146"/>
    </row>
    <row r="74" spans="1:29" ht="27.75" thickTop="1">
      <c r="A74" s="671"/>
      <c r="B74" s="675" t="s">
        <v>538</v>
      </c>
      <c r="C74" s="676"/>
      <c r="D74" s="676"/>
      <c r="E74" s="676"/>
      <c r="F74" s="676"/>
      <c r="G74" s="676"/>
      <c r="H74" s="676"/>
      <c r="I74" s="676"/>
      <c r="J74" s="676"/>
      <c r="K74" s="677"/>
      <c r="L74" s="678"/>
      <c r="M74" s="679"/>
      <c r="N74" s="2165"/>
      <c r="O74" s="2165"/>
      <c r="P74" s="2166"/>
      <c r="Q74" s="2159"/>
      <c r="R74" s="2146"/>
      <c r="S74" s="2146"/>
      <c r="T74" s="2146"/>
      <c r="U74" s="2146"/>
      <c r="V74" s="2146"/>
      <c r="W74" s="2146"/>
      <c r="X74" s="2146"/>
      <c r="Y74" s="2146"/>
      <c r="Z74" s="2146"/>
      <c r="AA74" s="2146"/>
      <c r="AB74" s="2146"/>
      <c r="AC74" s="2146"/>
    </row>
    <row r="75" spans="1:29" ht="15.75" thickBot="1">
      <c r="A75" s="671"/>
      <c r="B75" s="680"/>
      <c r="C75" s="681"/>
      <c r="D75" s="681"/>
      <c r="E75" s="681"/>
      <c r="F75" s="681"/>
      <c r="G75" s="681"/>
      <c r="H75" s="681"/>
      <c r="I75" s="681"/>
      <c r="J75" s="681"/>
      <c r="K75" s="681"/>
      <c r="L75" s="681"/>
      <c r="M75" s="682"/>
      <c r="N75" s="2167"/>
      <c r="O75" s="2167"/>
      <c r="P75" s="2166"/>
      <c r="Q75" s="2159"/>
      <c r="R75" s="2146"/>
      <c r="S75" s="2146"/>
      <c r="T75" s="2146"/>
      <c r="U75" s="2146"/>
      <c r="V75" s="2146"/>
      <c r="W75" s="2146"/>
      <c r="X75" s="2146"/>
      <c r="Y75" s="2146"/>
      <c r="Z75" s="2146"/>
      <c r="AA75" s="2146"/>
      <c r="AB75" s="2146"/>
      <c r="AC75" s="2146"/>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8"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71"/>
      <c r="B77" s="685"/>
      <c r="C77" s="544"/>
      <c r="D77" s="544"/>
      <c r="E77" s="544"/>
      <c r="F77" s="544"/>
      <c r="G77" s="544"/>
      <c r="H77" s="544"/>
      <c r="I77" s="544"/>
      <c r="J77" s="544"/>
      <c r="K77" s="686"/>
      <c r="L77" s="687"/>
      <c r="M77" s="688"/>
      <c r="N77" s="2165"/>
      <c r="O77" s="2165"/>
      <c r="P77" s="2166"/>
      <c r="Q77" s="2159"/>
      <c r="R77" s="2146"/>
      <c r="S77" s="2146"/>
      <c r="T77" s="2146"/>
      <c r="U77" s="2146"/>
      <c r="V77" s="2146"/>
      <c r="W77" s="2146"/>
      <c r="X77" s="2146"/>
      <c r="Y77" s="2146"/>
      <c r="Z77" s="2146"/>
      <c r="AA77" s="2146"/>
      <c r="AB77" s="2146"/>
      <c r="AC77" s="2146"/>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9"/>
      <c r="B79" s="675">
        <f>B14</f>
        <v>111</v>
      </c>
      <c r="C79" s="690"/>
      <c r="D79" s="690"/>
      <c r="E79" s="690"/>
      <c r="F79" s="690"/>
      <c r="G79" s="690"/>
      <c r="H79" s="691"/>
      <c r="I79" s="691"/>
      <c r="J79" s="691"/>
      <c r="K79" s="691"/>
      <c r="L79" s="692"/>
      <c r="M79" s="693"/>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9"/>
      <c r="B80" s="680"/>
      <c r="C80" s="694"/>
      <c r="D80" s="673"/>
      <c r="E80" s="673"/>
      <c r="F80" s="673"/>
      <c r="G80" s="673"/>
      <c r="H80" s="673"/>
      <c r="I80" s="673"/>
      <c r="J80" s="673"/>
      <c r="K80" s="673"/>
      <c r="L80" s="673"/>
      <c r="M80" s="674"/>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9"/>
      <c r="B81" s="675">
        <f>B15</f>
        <v>111</v>
      </c>
      <c r="C81" s="690"/>
      <c r="D81" s="690"/>
      <c r="E81" s="690"/>
      <c r="F81" s="690"/>
      <c r="G81" s="690"/>
      <c r="H81" s="691"/>
      <c r="I81" s="691"/>
      <c r="J81" s="691"/>
      <c r="K81" s="691"/>
      <c r="L81" s="692"/>
      <c r="M81" s="693"/>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9"/>
      <c r="B82" s="680"/>
      <c r="C82" s="694"/>
      <c r="D82" s="694"/>
      <c r="E82" s="694"/>
      <c r="F82" s="694"/>
      <c r="G82" s="694"/>
      <c r="H82" s="695"/>
      <c r="I82" s="695"/>
      <c r="J82" s="695"/>
      <c r="K82" s="695"/>
      <c r="L82" s="695"/>
      <c r="M82" s="696"/>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9"/>
      <c r="B83" s="683">
        <f>B16</f>
        <v>111</v>
      </c>
      <c r="C83" s="663"/>
      <c r="D83" s="663"/>
      <c r="E83" s="663"/>
      <c r="F83" s="663"/>
      <c r="G83" s="663"/>
      <c r="H83" s="697"/>
      <c r="I83" s="697"/>
      <c r="J83" s="697"/>
      <c r="K83" s="697"/>
      <c r="L83" s="698"/>
      <c r="M83" s="699"/>
      <c r="N83" s="2168"/>
      <c r="O83" s="2168"/>
      <c r="P83" s="2174"/>
      <c r="Q83" s="2170"/>
      <c r="R83" s="2171"/>
      <c r="S83" s="2171"/>
      <c r="T83" s="2171"/>
      <c r="U83" s="2171"/>
      <c r="V83" s="2171"/>
      <c r="W83" s="2171"/>
      <c r="X83" s="2171"/>
      <c r="Y83" s="2171"/>
      <c r="Z83" s="2171"/>
      <c r="AA83" s="2171"/>
      <c r="AB83" s="2171"/>
      <c r="AC83" s="2171"/>
    </row>
    <row r="84" spans="1:29" s="1339" customFormat="1" ht="15.75" thickBot="1">
      <c r="A84" s="700"/>
      <c r="B84" s="701"/>
      <c r="C84" s="702"/>
      <c r="D84" s="702"/>
      <c r="E84" s="702"/>
      <c r="F84" s="702"/>
      <c r="G84" s="702"/>
      <c r="H84" s="703"/>
      <c r="I84" s="703"/>
      <c r="J84" s="703"/>
      <c r="K84" s="703"/>
      <c r="L84" s="703"/>
      <c r="M84" s="704"/>
      <c r="N84" s="2168"/>
      <c r="O84" s="2168"/>
      <c r="P84" s="2169"/>
      <c r="Q84" s="2170"/>
      <c r="R84" s="2171"/>
      <c r="S84" s="2171"/>
      <c r="T84" s="2171"/>
      <c r="U84" s="2171"/>
      <c r="V84" s="2171"/>
      <c r="W84" s="2171"/>
      <c r="X84" s="2171"/>
      <c r="Y84" s="2171"/>
      <c r="Z84" s="2171"/>
      <c r="AA84" s="2171"/>
      <c r="AB84" s="2171"/>
      <c r="AC84" s="2171"/>
    </row>
    <row r="85" spans="1:29">
      <c r="A85" s="666" t="s">
        <v>540</v>
      </c>
      <c r="B85" s="667" t="s">
        <v>603</v>
      </c>
      <c r="C85" s="705" t="s">
        <v>580</v>
      </c>
      <c r="D85" s="705" t="s">
        <v>581</v>
      </c>
      <c r="E85" s="705" t="s">
        <v>582</v>
      </c>
      <c r="F85" s="705" t="s">
        <v>583</v>
      </c>
      <c r="G85" s="705" t="s">
        <v>584</v>
      </c>
      <c r="H85" s="706"/>
      <c r="I85" s="706"/>
      <c r="J85" s="706"/>
      <c r="K85" s="707"/>
      <c r="L85" s="708"/>
      <c r="M85" s="709"/>
      <c r="N85" s="2165"/>
      <c r="O85" s="2165"/>
      <c r="P85" s="2175"/>
      <c r="Q85" s="2159"/>
      <c r="R85" s="2146"/>
      <c r="S85" s="2146"/>
      <c r="T85" s="2146"/>
      <c r="U85" s="2146"/>
      <c r="V85" s="2146"/>
      <c r="W85" s="2146"/>
      <c r="X85" s="2146"/>
      <c r="Y85" s="2146"/>
      <c r="Z85" s="2146"/>
      <c r="AA85" s="2146"/>
      <c r="AB85" s="2146"/>
      <c r="AC85" s="2146"/>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67"/>
      <c r="O86" s="2167"/>
      <c r="P86" s="2166"/>
      <c r="Q86" s="2159"/>
      <c r="R86" s="2146"/>
      <c r="S86" s="2146"/>
      <c r="T86" s="2146"/>
      <c r="U86" s="2146"/>
      <c r="V86" s="2146"/>
      <c r="W86" s="2146"/>
      <c r="X86" s="2146"/>
      <c r="Y86" s="2146"/>
      <c r="Z86" s="2146"/>
      <c r="AA86" s="2146"/>
      <c r="AB86" s="2146"/>
      <c r="AC86" s="2146"/>
    </row>
    <row r="87" spans="1:29" ht="15.75" thickTop="1">
      <c r="A87" s="671"/>
      <c r="B87" s="675" t="s">
        <v>587</v>
      </c>
      <c r="C87" s="710" t="s">
        <v>580</v>
      </c>
      <c r="D87" s="710" t="s">
        <v>581</v>
      </c>
      <c r="E87" s="710" t="s">
        <v>582</v>
      </c>
      <c r="F87" s="710" t="s">
        <v>583</v>
      </c>
      <c r="G87" s="710" t="s">
        <v>584</v>
      </c>
      <c r="H87" s="676"/>
      <c r="I87" s="676"/>
      <c r="J87" s="676"/>
      <c r="K87" s="677"/>
      <c r="L87" s="678"/>
      <c r="M87" s="679"/>
      <c r="N87" s="2165"/>
      <c r="O87" s="2165"/>
      <c r="P87" s="2166"/>
      <c r="Q87" s="2159"/>
      <c r="R87" s="2146"/>
      <c r="S87" s="2146"/>
      <c r="T87" s="2146"/>
      <c r="U87" s="2146"/>
      <c r="V87" s="2146"/>
      <c r="W87" s="2146"/>
      <c r="X87" s="2146"/>
      <c r="Y87" s="2146"/>
      <c r="Z87" s="2146"/>
      <c r="AA87" s="2146"/>
      <c r="AB87" s="2146"/>
      <c r="AC87" s="2146"/>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67"/>
      <c r="O88" s="2167"/>
      <c r="P88" s="2166"/>
      <c r="Q88" s="2159"/>
      <c r="R88" s="2146"/>
      <c r="S88" s="2146"/>
      <c r="T88" s="2146"/>
      <c r="U88" s="2146"/>
      <c r="V88" s="2146"/>
      <c r="W88" s="2146"/>
      <c r="X88" s="2146"/>
      <c r="Y88" s="2146"/>
      <c r="Z88" s="2146"/>
      <c r="AA88" s="2146"/>
      <c r="AB88" s="2146"/>
      <c r="AC88" s="2146"/>
    </row>
    <row r="89" spans="1:29" s="1220" customFormat="1" ht="27.75" thickTop="1">
      <c r="A89" s="711"/>
      <c r="B89" s="675" t="s">
        <v>588</v>
      </c>
      <c r="C89" s="710" t="s">
        <v>580</v>
      </c>
      <c r="D89" s="710" t="s">
        <v>581</v>
      </c>
      <c r="E89" s="710" t="s">
        <v>582</v>
      </c>
      <c r="F89" s="710" t="s">
        <v>583</v>
      </c>
      <c r="G89" s="710" t="s">
        <v>584</v>
      </c>
      <c r="H89" s="710"/>
      <c r="I89" s="710"/>
      <c r="J89" s="710"/>
      <c r="K89" s="710"/>
      <c r="L89" s="712"/>
      <c r="M89" s="713"/>
      <c r="N89" s="2163"/>
      <c r="O89" s="2163"/>
      <c r="P89" s="2166"/>
      <c r="Q89" s="2159"/>
      <c r="R89" s="1994"/>
      <c r="S89" s="1994"/>
      <c r="T89" s="1994"/>
      <c r="U89" s="1994"/>
      <c r="V89" s="1994"/>
      <c r="W89" s="1994"/>
      <c r="X89" s="1994"/>
      <c r="Y89" s="1994"/>
      <c r="Z89" s="1994"/>
      <c r="AA89" s="1994"/>
      <c r="AB89" s="1994"/>
      <c r="AC89" s="1994"/>
    </row>
    <row r="90" spans="1:29" s="1220" customFormat="1" ht="15.75" thickBot="1">
      <c r="A90" s="711"/>
      <c r="B90" s="680"/>
      <c r="C90" s="714">
        <v>100</v>
      </c>
      <c r="D90" s="681">
        <f>C90-$K21</f>
        <v>100</v>
      </c>
      <c r="E90" s="681">
        <f>D90-$K21</f>
        <v>100</v>
      </c>
      <c r="F90" s="681">
        <f>E90-$K21</f>
        <v>100</v>
      </c>
      <c r="G90" s="681">
        <f>F90-$K21</f>
        <v>100</v>
      </c>
      <c r="H90" s="681"/>
      <c r="I90" s="681"/>
      <c r="J90" s="681"/>
      <c r="K90" s="681"/>
      <c r="L90" s="681"/>
      <c r="M90" s="682"/>
      <c r="N90" s="2167"/>
      <c r="O90" s="2167"/>
      <c r="P90" s="2166"/>
      <c r="Q90" s="2159"/>
      <c r="R90" s="1994"/>
      <c r="S90" s="1994"/>
      <c r="T90" s="1994"/>
      <c r="U90" s="1994"/>
      <c r="V90" s="1994"/>
      <c r="W90" s="1994"/>
      <c r="X90" s="1994"/>
      <c r="Y90" s="1994"/>
      <c r="Z90" s="1994"/>
      <c r="AA90" s="1994"/>
      <c r="AB90" s="1994"/>
      <c r="AC90" s="1994"/>
    </row>
    <row r="91" spans="1:29" s="1220" customFormat="1" ht="27.75" thickTop="1">
      <c r="A91" s="711"/>
      <c r="B91" s="675" t="s">
        <v>589</v>
      </c>
      <c r="C91" s="705" t="s">
        <v>580</v>
      </c>
      <c r="D91" s="705" t="s">
        <v>581</v>
      </c>
      <c r="E91" s="705" t="s">
        <v>582</v>
      </c>
      <c r="F91" s="705" t="s">
        <v>583</v>
      </c>
      <c r="G91" s="705" t="s">
        <v>584</v>
      </c>
      <c r="H91" s="710"/>
      <c r="I91" s="710"/>
      <c r="J91" s="710"/>
      <c r="K91" s="710"/>
      <c r="L91" s="710"/>
      <c r="M91" s="713"/>
      <c r="N91" s="2163"/>
      <c r="O91" s="2163"/>
      <c r="P91" s="2166"/>
      <c r="Q91" s="2159"/>
      <c r="R91" s="1994"/>
      <c r="S91" s="1994"/>
      <c r="T91" s="1994"/>
      <c r="U91" s="1994"/>
      <c r="V91" s="1994"/>
      <c r="W91" s="1994"/>
      <c r="X91" s="1994"/>
      <c r="Y91" s="1994"/>
      <c r="Z91" s="1994"/>
      <c r="AA91" s="1994"/>
      <c r="AB91" s="1994"/>
      <c r="AC91" s="1994"/>
    </row>
    <row r="92" spans="1:29" s="1220" customFormat="1" ht="15.75" thickBot="1">
      <c r="A92" s="711"/>
      <c r="B92" s="680"/>
      <c r="C92" s="681">
        <v>100</v>
      </c>
      <c r="D92" s="681">
        <f>C92-$K23</f>
        <v>100</v>
      </c>
      <c r="E92" s="681">
        <f>D92-$K23</f>
        <v>100</v>
      </c>
      <c r="F92" s="681">
        <f>E92-$K23</f>
        <v>100</v>
      </c>
      <c r="G92" s="681">
        <f>F92-$K23</f>
        <v>100</v>
      </c>
      <c r="H92" s="681"/>
      <c r="I92" s="681"/>
      <c r="J92" s="681"/>
      <c r="K92" s="681"/>
      <c r="L92" s="681"/>
      <c r="M92" s="682"/>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9"/>
      <c r="B93" s="1897" t="s">
        <v>2550</v>
      </c>
      <c r="C93" s="705" t="s">
        <v>580</v>
      </c>
      <c r="D93" s="705" t="s">
        <v>581</v>
      </c>
      <c r="E93" s="705" t="s">
        <v>582</v>
      </c>
      <c r="F93" s="705" t="s">
        <v>583</v>
      </c>
      <c r="G93" s="705" t="s">
        <v>584</v>
      </c>
      <c r="H93" s="715"/>
      <c r="I93" s="715"/>
      <c r="J93" s="715"/>
      <c r="K93" s="715"/>
      <c r="L93" s="716"/>
      <c r="M93" s="717"/>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9"/>
      <c r="B94" s="680"/>
      <c r="C94" s="681">
        <v>100</v>
      </c>
      <c r="D94" s="681">
        <f>C94-$K25</f>
        <v>100</v>
      </c>
      <c r="E94" s="681">
        <f>D94-$K25</f>
        <v>100</v>
      </c>
      <c r="F94" s="681">
        <f>E94-$K25</f>
        <v>100</v>
      </c>
      <c r="G94" s="681">
        <f>F94-$K25</f>
        <v>100</v>
      </c>
      <c r="H94" s="718"/>
      <c r="I94" s="718"/>
      <c r="J94" s="718"/>
      <c r="K94" s="718"/>
      <c r="L94" s="718"/>
      <c r="M94" s="719"/>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9"/>
      <c r="B95" s="2622" t="s">
        <v>2552</v>
      </c>
      <c r="C95" s="2623" t="s">
        <v>2553</v>
      </c>
      <c r="D95" s="2623" t="s">
        <v>2554</v>
      </c>
      <c r="E95" s="2623" t="s">
        <v>2555</v>
      </c>
      <c r="F95" s="2623" t="s">
        <v>2556</v>
      </c>
      <c r="G95" s="2623" t="s">
        <v>2557</v>
      </c>
      <c r="H95" s="715"/>
      <c r="I95" s="715"/>
      <c r="J95" s="715"/>
      <c r="K95" s="715"/>
      <c r="L95" s="715"/>
      <c r="M95" s="717"/>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9"/>
      <c r="B96" s="683"/>
      <c r="C96" s="681">
        <v>100</v>
      </c>
      <c r="D96" s="681">
        <f>C96-$K27</f>
        <v>100</v>
      </c>
      <c r="E96" s="681">
        <f>D96-$K27</f>
        <v>100</v>
      </c>
      <c r="F96" s="681">
        <f>E96-$K27</f>
        <v>100</v>
      </c>
      <c r="G96" s="681">
        <f>F96-$K27</f>
        <v>100</v>
      </c>
      <c r="H96" s="685"/>
      <c r="I96" s="685"/>
      <c r="J96" s="685"/>
      <c r="K96" s="685"/>
      <c r="L96" s="685"/>
      <c r="M96" s="2615"/>
      <c r="N96" s="2168"/>
      <c r="O96" s="2168"/>
      <c r="P96" s="2169"/>
      <c r="Q96" s="2170"/>
      <c r="R96" s="2171"/>
      <c r="S96" s="2171"/>
      <c r="T96" s="2171"/>
      <c r="U96" s="2171"/>
      <c r="V96" s="2171"/>
      <c r="W96" s="2171"/>
      <c r="X96" s="2171"/>
      <c r="Y96" s="2171"/>
      <c r="Z96" s="2171"/>
      <c r="AA96" s="2171"/>
      <c r="AB96" s="2171"/>
      <c r="AC96" s="2171"/>
    </row>
    <row r="97" spans="1:29" ht="15.75" thickTop="1">
      <c r="A97" s="671"/>
      <c r="B97" s="675" t="str">
        <f>B29</f>
        <v>临街状况</v>
      </c>
      <c r="C97" s="676" t="s">
        <v>590</v>
      </c>
      <c r="D97" s="676" t="s">
        <v>591</v>
      </c>
      <c r="E97" s="676" t="s">
        <v>592</v>
      </c>
      <c r="F97" s="676" t="s">
        <v>593</v>
      </c>
      <c r="G97" s="676"/>
      <c r="H97" s="676"/>
      <c r="I97" s="676"/>
      <c r="J97" s="676"/>
      <c r="K97" s="677"/>
      <c r="L97" s="678"/>
      <c r="M97" s="679"/>
      <c r="N97" s="2165"/>
      <c r="O97" s="2165"/>
      <c r="P97" s="2166"/>
      <c r="Q97" s="2159"/>
      <c r="R97" s="2146"/>
      <c r="S97" s="2146"/>
      <c r="T97" s="2146"/>
      <c r="U97" s="2146"/>
      <c r="V97" s="2146"/>
      <c r="W97" s="2146"/>
      <c r="X97" s="2146"/>
      <c r="Y97" s="2146"/>
      <c r="Z97" s="2146"/>
      <c r="AA97" s="2146"/>
      <c r="AB97" s="2146"/>
      <c r="AC97" s="2146"/>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71"/>
      <c r="B99" s="675" t="s">
        <v>549</v>
      </c>
      <c r="C99" s="690"/>
      <c r="D99" s="690"/>
      <c r="E99" s="690"/>
      <c r="F99" s="690"/>
      <c r="G99" s="690"/>
      <c r="H99" s="720"/>
      <c r="I99" s="720"/>
      <c r="J99" s="720"/>
      <c r="K99" s="721"/>
      <c r="L99" s="722"/>
      <c r="M99" s="723"/>
      <c r="N99" s="2165"/>
      <c r="O99" s="2165"/>
      <c r="P99" s="2166"/>
      <c r="Q99" s="2159"/>
      <c r="R99" s="2146"/>
      <c r="S99" s="2146"/>
      <c r="T99" s="2146"/>
      <c r="U99" s="2146"/>
      <c r="V99" s="2146"/>
      <c r="W99" s="2146"/>
      <c r="X99" s="2146"/>
      <c r="Y99" s="2146"/>
      <c r="Z99" s="2146"/>
      <c r="AA99" s="2146"/>
      <c r="AB99" s="2146"/>
      <c r="AC99" s="2146"/>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71"/>
      <c r="B101" s="675" t="s">
        <v>550</v>
      </c>
      <c r="C101" s="720"/>
      <c r="D101" s="720"/>
      <c r="E101" s="720"/>
      <c r="F101" s="720"/>
      <c r="G101" s="720"/>
      <c r="H101" s="720"/>
      <c r="I101" s="720"/>
      <c r="J101" s="720"/>
      <c r="K101" s="721"/>
      <c r="L101" s="722"/>
      <c r="M101" s="723"/>
      <c r="N101" s="2165"/>
      <c r="O101" s="2165"/>
      <c r="P101" s="2166"/>
      <c r="Q101" s="2159"/>
      <c r="R101" s="2146"/>
      <c r="S101" s="2146"/>
      <c r="T101" s="2146"/>
      <c r="U101" s="2146"/>
      <c r="V101" s="2146"/>
      <c r="W101" s="2146"/>
      <c r="X101" s="2146"/>
      <c r="Y101" s="2146"/>
      <c r="Z101" s="2146"/>
      <c r="AA101" s="2146"/>
      <c r="AB101" s="2146"/>
      <c r="AC101" s="2146"/>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71"/>
      <c r="B103" s="683">
        <f>B33</f>
        <v>111</v>
      </c>
      <c r="C103" s="690"/>
      <c r="D103" s="690"/>
      <c r="E103" s="690"/>
      <c r="F103" s="690"/>
      <c r="G103" s="724"/>
      <c r="H103" s="724"/>
      <c r="I103" s="724"/>
      <c r="J103" s="724"/>
      <c r="K103" s="725"/>
      <c r="L103" s="726"/>
      <c r="M103" s="727"/>
      <c r="N103" s="2165"/>
      <c r="O103" s="2165"/>
      <c r="P103" s="2166"/>
      <c r="Q103" s="2159"/>
      <c r="R103" s="2146"/>
      <c r="S103" s="2146"/>
      <c r="T103" s="2146"/>
      <c r="U103" s="2146"/>
      <c r="V103" s="2146"/>
      <c r="W103" s="2146"/>
      <c r="X103" s="2146"/>
      <c r="Y103" s="2146"/>
      <c r="Z103" s="2146"/>
      <c r="AA103" s="2146"/>
      <c r="AB103" s="2146"/>
      <c r="AC103" s="2146"/>
    </row>
    <row r="104" spans="1:29" ht="15.75" thickBot="1">
      <c r="A104" s="671"/>
      <c r="B104" s="701"/>
      <c r="C104" s="694"/>
      <c r="D104" s="673"/>
      <c r="E104" s="673"/>
      <c r="F104" s="673"/>
      <c r="G104" s="728"/>
      <c r="H104" s="728"/>
      <c r="I104" s="728"/>
      <c r="J104" s="728"/>
      <c r="K104" s="728"/>
      <c r="L104" s="728"/>
      <c r="M104" s="729"/>
      <c r="N104" s="2167"/>
      <c r="O104" s="2167"/>
      <c r="P104" s="2166"/>
      <c r="Q104" s="2159"/>
      <c r="R104" s="2146"/>
      <c r="S104" s="2146"/>
      <c r="T104" s="2146"/>
      <c r="U104" s="2146"/>
      <c r="V104" s="2146"/>
      <c r="W104" s="2146"/>
      <c r="X104" s="2146"/>
      <c r="Y104" s="2146"/>
      <c r="Z104" s="2146"/>
      <c r="AA104" s="2146"/>
      <c r="AB104" s="2146"/>
      <c r="AC104" s="2146"/>
    </row>
    <row r="105" spans="1:29" ht="15" thickTop="1">
      <c r="A105" s="589"/>
      <c r="B105" s="675">
        <f>B34</f>
        <v>111</v>
      </c>
      <c r="C105" s="690"/>
      <c r="D105" s="690"/>
      <c r="E105" s="690"/>
      <c r="F105" s="690"/>
      <c r="G105" s="720"/>
      <c r="H105" s="720"/>
      <c r="I105" s="720"/>
      <c r="J105" s="720"/>
      <c r="K105" s="721"/>
      <c r="L105" s="722"/>
      <c r="M105" s="723"/>
      <c r="N105" s="2165"/>
      <c r="O105" s="2165"/>
      <c r="P105" s="2166"/>
      <c r="Q105" s="2159"/>
      <c r="R105" s="2146"/>
      <c r="S105" s="2146"/>
      <c r="T105" s="2146"/>
      <c r="U105" s="2146"/>
      <c r="V105" s="2146"/>
      <c r="W105" s="2146"/>
      <c r="X105" s="2146"/>
      <c r="Y105" s="2146"/>
      <c r="Z105" s="2146"/>
      <c r="AA105" s="2146"/>
      <c r="AB105" s="2146"/>
      <c r="AC105" s="2146"/>
    </row>
    <row r="106" spans="1:29" ht="15.75" thickBot="1">
      <c r="A106" s="671"/>
      <c r="B106" s="680"/>
      <c r="C106" s="694"/>
      <c r="D106" s="694"/>
      <c r="E106" s="694"/>
      <c r="F106" s="694"/>
      <c r="G106" s="673"/>
      <c r="H106" s="673"/>
      <c r="I106" s="673"/>
      <c r="J106" s="673"/>
      <c r="K106" s="673"/>
      <c r="L106" s="673"/>
      <c r="M106" s="674"/>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30"/>
      <c r="B107" s="731">
        <f>B35</f>
        <v>111</v>
      </c>
      <c r="C107" s="663"/>
      <c r="D107" s="663"/>
      <c r="E107" s="663"/>
      <c r="F107" s="663"/>
      <c r="G107" s="732"/>
      <c r="H107" s="732"/>
      <c r="I107" s="732"/>
      <c r="J107" s="733"/>
      <c r="K107" s="733"/>
      <c r="L107" s="734"/>
      <c r="M107" s="735"/>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9"/>
      <c r="B108" s="683"/>
      <c r="C108" s="702"/>
      <c r="D108" s="702"/>
      <c r="E108" s="702"/>
      <c r="F108" s="702"/>
      <c r="G108" s="594"/>
      <c r="H108" s="594"/>
      <c r="I108" s="594"/>
      <c r="J108" s="594"/>
      <c r="K108" s="594"/>
      <c r="L108" s="594"/>
      <c r="M108" s="736"/>
      <c r="N108" s="2167"/>
      <c r="O108" s="2167"/>
      <c r="P108" s="2169"/>
      <c r="Q108" s="2170"/>
      <c r="R108" s="2171"/>
      <c r="S108" s="2171"/>
      <c r="T108" s="2171"/>
      <c r="U108" s="2171"/>
      <c r="V108" s="2171"/>
      <c r="W108" s="2171"/>
      <c r="X108" s="2171"/>
      <c r="Y108" s="2171"/>
      <c r="Z108" s="2171"/>
      <c r="AA108" s="2171"/>
      <c r="AB108" s="2171"/>
      <c r="AC108" s="2171"/>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19" t="str">
        <f t="shared" si="25"/>
        <v>(含)-</v>
      </c>
      <c r="L109" s="3120" t="str">
        <f t="shared" si="25"/>
        <v>(含)-</v>
      </c>
      <c r="M109" s="312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71"/>
      <c r="B110" s="683"/>
      <c r="C110" s="732"/>
      <c r="D110" s="732"/>
      <c r="E110" s="732"/>
      <c r="F110" s="732"/>
      <c r="G110" s="732"/>
      <c r="H110" s="732"/>
      <c r="I110" s="732"/>
      <c r="J110" s="733"/>
      <c r="K110" s="733"/>
      <c r="L110" s="734"/>
      <c r="M110" s="735"/>
      <c r="N110" s="2165"/>
      <c r="O110" s="2165"/>
      <c r="P110" s="2166"/>
      <c r="Q110" s="2159"/>
      <c r="R110" s="2146"/>
      <c r="S110" s="2146"/>
      <c r="T110" s="2146"/>
      <c r="U110" s="2146"/>
      <c r="V110" s="2146"/>
      <c r="W110" s="2146"/>
      <c r="X110" s="2146"/>
      <c r="Y110" s="2146"/>
      <c r="Z110" s="2146"/>
      <c r="AA110" s="2146"/>
      <c r="AB110" s="2146"/>
      <c r="AC110" s="2146"/>
    </row>
    <row r="111" spans="1:29" ht="15.75" thickBot="1">
      <c r="A111" s="671"/>
      <c r="B111" s="680"/>
      <c r="C111" s="702"/>
      <c r="D111" s="728"/>
      <c r="E111" s="728"/>
      <c r="F111" s="728"/>
      <c r="G111" s="728"/>
      <c r="H111" s="728"/>
      <c r="I111" s="728"/>
      <c r="J111" s="728"/>
      <c r="K111" s="728"/>
      <c r="L111" s="728"/>
      <c r="M111" s="729"/>
      <c r="N111" s="2167"/>
      <c r="O111" s="2167"/>
      <c r="P111" s="2166"/>
      <c r="Q111" s="2159"/>
      <c r="R111" s="2146"/>
      <c r="S111" s="2146"/>
      <c r="T111" s="2146"/>
      <c r="U111" s="2146"/>
      <c r="V111" s="2146"/>
      <c r="W111" s="2146"/>
      <c r="X111" s="2146"/>
      <c r="Y111" s="2146"/>
      <c r="Z111" s="2146"/>
      <c r="AA111" s="2146"/>
      <c r="AB111" s="2146"/>
      <c r="AC111" s="2146"/>
    </row>
    <row r="112" spans="1:29" ht="15" thickTop="1">
      <c r="A112" s="737"/>
      <c r="B112" s="675" t="s">
        <v>595</v>
      </c>
      <c r="C112" s="720"/>
      <c r="D112" s="720"/>
      <c r="E112" s="720"/>
      <c r="F112" s="720"/>
      <c r="G112" s="720"/>
      <c r="H112" s="720"/>
      <c r="I112" s="720"/>
      <c r="J112" s="720"/>
      <c r="K112" s="721"/>
      <c r="L112" s="722"/>
      <c r="M112" s="723"/>
      <c r="N112" s="2165"/>
      <c r="O112" s="2165"/>
      <c r="P112" s="2166"/>
      <c r="Q112" s="2159"/>
      <c r="R112" s="2146"/>
      <c r="S112" s="2146"/>
      <c r="T112" s="2146"/>
      <c r="U112" s="2146"/>
      <c r="V112" s="2146"/>
      <c r="W112" s="2146"/>
      <c r="X112" s="2146"/>
      <c r="Y112" s="2146"/>
      <c r="Z112" s="2146"/>
      <c r="AA112" s="2146"/>
      <c r="AB112" s="2146"/>
      <c r="AC112" s="2146"/>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30"/>
      <c r="B114" s="1897" t="s">
        <v>2425</v>
      </c>
      <c r="C114" s="1375"/>
      <c r="D114" s="1375"/>
      <c r="E114" s="1375"/>
      <c r="F114" s="1375"/>
      <c r="G114" s="1375"/>
      <c r="H114" s="720"/>
      <c r="I114" s="720"/>
      <c r="J114" s="720"/>
      <c r="K114" s="721"/>
      <c r="L114" s="722"/>
      <c r="M114" s="723"/>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7"/>
      <c r="B116" s="675" t="s">
        <v>597</v>
      </c>
      <c r="C116" s="690"/>
      <c r="D116" s="690"/>
      <c r="E116" s="720"/>
      <c r="F116" s="720"/>
      <c r="G116" s="720"/>
      <c r="H116" s="720"/>
      <c r="I116" s="720"/>
      <c r="J116" s="720"/>
      <c r="K116" s="721"/>
      <c r="L116" s="722"/>
      <c r="M116" s="723"/>
      <c r="N116" s="2165"/>
      <c r="O116" s="2165"/>
      <c r="P116" s="2166"/>
      <c r="Q116" s="2159"/>
      <c r="R116" s="2146"/>
      <c r="S116" s="2146"/>
      <c r="T116" s="2146"/>
      <c r="U116" s="2146"/>
      <c r="V116" s="2146"/>
      <c r="W116" s="2146"/>
      <c r="X116" s="2146"/>
      <c r="Y116" s="2146"/>
      <c r="Z116" s="2146"/>
      <c r="AA116" s="2146"/>
      <c r="AB116" s="2146"/>
      <c r="AC116" s="2146"/>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7"/>
      <c r="B118" s="675">
        <f>B40</f>
        <v>111</v>
      </c>
      <c r="C118" s="690"/>
      <c r="D118" s="690"/>
      <c r="E118" s="690"/>
      <c r="F118" s="690"/>
      <c r="G118" s="690"/>
      <c r="H118" s="720"/>
      <c r="I118" s="720"/>
      <c r="J118" s="720"/>
      <c r="K118" s="721"/>
      <c r="L118" s="722"/>
      <c r="M118" s="723"/>
      <c r="N118" s="2165"/>
      <c r="O118" s="2165"/>
      <c r="P118" s="2166"/>
      <c r="Q118" s="2159"/>
      <c r="R118" s="2146"/>
      <c r="S118" s="2146"/>
      <c r="T118" s="2146"/>
      <c r="U118" s="2146"/>
      <c r="V118" s="2146"/>
      <c r="W118" s="2146"/>
      <c r="X118" s="2146"/>
      <c r="Y118" s="2146"/>
      <c r="Z118" s="2146"/>
      <c r="AA118" s="2146"/>
      <c r="AB118" s="2146"/>
      <c r="AC118" s="2146"/>
    </row>
    <row r="119" spans="1:29" ht="15.75" thickBot="1">
      <c r="A119" s="671"/>
      <c r="B119" s="680"/>
      <c r="C119" s="694"/>
      <c r="D119" s="673"/>
      <c r="E119" s="673"/>
      <c r="F119" s="673"/>
      <c r="G119" s="673"/>
      <c r="H119" s="673"/>
      <c r="I119" s="673"/>
      <c r="J119" s="673"/>
      <c r="K119" s="673"/>
      <c r="L119" s="673"/>
      <c r="M119" s="674"/>
      <c r="N119" s="2167"/>
      <c r="O119" s="2167"/>
      <c r="P119" s="2166"/>
      <c r="Q119" s="2159"/>
      <c r="R119" s="2146"/>
      <c r="S119" s="2146"/>
      <c r="T119" s="2146"/>
      <c r="U119" s="2146"/>
      <c r="V119" s="2146"/>
      <c r="W119" s="2146"/>
      <c r="X119" s="2146"/>
      <c r="Y119" s="2146"/>
      <c r="Z119" s="2146"/>
      <c r="AA119" s="2146"/>
      <c r="AB119" s="2146"/>
      <c r="AC119" s="2146"/>
    </row>
    <row r="120" spans="1:29" ht="15" thickTop="1">
      <c r="A120" s="737"/>
      <c r="B120" s="675">
        <f>B41</f>
        <v>111</v>
      </c>
      <c r="C120" s="690"/>
      <c r="D120" s="690"/>
      <c r="E120" s="690"/>
      <c r="F120" s="690"/>
      <c r="G120" s="720"/>
      <c r="H120" s="720"/>
      <c r="I120" s="720"/>
      <c r="J120" s="720"/>
      <c r="K120" s="721"/>
      <c r="L120" s="722"/>
      <c r="M120" s="723"/>
      <c r="N120" s="2165"/>
      <c r="O120" s="2165"/>
      <c r="P120" s="2166"/>
      <c r="Q120" s="2159"/>
      <c r="R120" s="2146"/>
      <c r="S120" s="2146"/>
      <c r="T120" s="2146"/>
      <c r="U120" s="2146"/>
      <c r="V120" s="2146"/>
      <c r="W120" s="2146"/>
      <c r="X120" s="2146"/>
      <c r="Y120" s="2146"/>
      <c r="Z120" s="2146"/>
      <c r="AA120" s="2146"/>
      <c r="AB120" s="2146"/>
      <c r="AC120" s="2146"/>
    </row>
    <row r="121" spans="1:29" ht="15.75" thickBot="1">
      <c r="A121" s="671"/>
      <c r="B121" s="680"/>
      <c r="C121" s="694"/>
      <c r="D121" s="694"/>
      <c r="E121" s="694"/>
      <c r="F121" s="694"/>
      <c r="G121" s="673"/>
      <c r="H121" s="673"/>
      <c r="I121" s="673"/>
      <c r="J121" s="673"/>
      <c r="K121" s="673"/>
      <c r="L121" s="673"/>
      <c r="M121" s="674"/>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30"/>
      <c r="B122" s="675">
        <f>B42</f>
        <v>111</v>
      </c>
      <c r="C122" s="663"/>
      <c r="D122" s="663"/>
      <c r="E122" s="663"/>
      <c r="F122" s="663"/>
      <c r="G122" s="691"/>
      <c r="H122" s="691"/>
      <c r="I122" s="691"/>
      <c r="J122" s="691"/>
      <c r="K122" s="691"/>
      <c r="L122" s="692"/>
      <c r="M122" s="693"/>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700"/>
      <c r="B123" s="738"/>
      <c r="C123" s="702"/>
      <c r="D123" s="702"/>
      <c r="E123" s="702"/>
      <c r="F123" s="702"/>
      <c r="G123" s="728"/>
      <c r="H123" s="728"/>
      <c r="I123" s="728"/>
      <c r="J123" s="728"/>
      <c r="K123" s="728"/>
      <c r="L123" s="728"/>
      <c r="M123" s="729"/>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 sqref="I3:L5"/>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2426</v>
      </c>
      <c r="D1" s="1521">
        <f>SUM(D29:D30,D33:D39)</f>
        <v>0</v>
      </c>
      <c r="E1" s="1406" t="s">
        <v>2427</v>
      </c>
      <c r="F1" s="2477"/>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63" t="s">
        <v>2765</v>
      </c>
      <c r="S1" s="2963" t="s">
        <v>2766</v>
      </c>
      <c r="T1" s="2963" t="s">
        <v>2787</v>
      </c>
      <c r="U1" s="2963" t="s">
        <v>2788</v>
      </c>
      <c r="V1" s="2963" t="s">
        <v>2789</v>
      </c>
      <c r="W1" s="2190"/>
      <c r="X1" s="2190"/>
      <c r="Y1" s="2190"/>
      <c r="Z1" s="2190"/>
      <c r="AA1" s="2190"/>
      <c r="AB1" s="2190"/>
      <c r="AC1" s="2191"/>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0"/>
      <c r="X2" s="2190"/>
      <c r="Y2" s="2190"/>
      <c r="Z2" s="2190"/>
      <c r="AA2" s="2190"/>
      <c r="AB2" s="2190"/>
      <c r="AC2" s="2191"/>
    </row>
    <row r="3" spans="1:39" ht="15.75">
      <c r="A3" s="1411" t="s">
        <v>1688</v>
      </c>
      <c r="B3" s="1038" t="e">
        <f>ROUND(B2*10000/D1,0)</f>
        <v>#DIV/0!</v>
      </c>
      <c r="C3" s="1407" t="s">
        <v>927</v>
      </c>
      <c r="D3" s="1408" t="s">
        <v>928</v>
      </c>
      <c r="E3" s="1412"/>
      <c r="F3" s="1413" t="s">
        <v>2931</v>
      </c>
      <c r="G3" s="1039">
        <f>IF(F3="宗地容积率",'数据-汇总表'!I4,IF(F3="估价对象容积率",'数据-汇总表'!I6,'数据-汇总表'!I7))</f>
        <v>1.5</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0"/>
      <c r="X3" s="2190"/>
      <c r="Y3" s="2190"/>
      <c r="Z3" s="2190"/>
      <c r="AA3" s="2190"/>
      <c r="AB3" s="2190"/>
      <c r="AC3" s="2191"/>
    </row>
    <row r="4" spans="1:39" ht="28.5">
      <c r="A4" s="1892" t="s">
        <v>2280</v>
      </c>
      <c r="B4" s="2478" t="e">
        <f>ROUND(B2*10000/F1,0)</f>
        <v>#DIV/0!</v>
      </c>
      <c r="C4" s="1895" t="s">
        <v>2257</v>
      </c>
      <c r="D4" s="1895" t="e">
        <f>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64">
        <v>3</v>
      </c>
      <c r="S4" s="2964">
        <f>ROUND(IF(G3&gt;1,IF(R4&lt;7,SUMPRODUCT((B93:B98=R4)*(C92:N92=G2)*(C93:N98)),SUMIF(C92:N92,G2,C100:N100)),IF(R4&lt;7,SUMPRODUCT((B102:B107=R4)*(C92:N92=G2)*(C102:N107)),SUMIF(C92:N92,G2,C109:N109))),4)</f>
        <v>0</v>
      </c>
      <c r="T4" s="2964" t="e">
        <f t="shared" si="0"/>
        <v>#DIV/0!</v>
      </c>
      <c r="U4" s="2953"/>
      <c r="V4" s="2964" t="e">
        <f t="shared" si="1"/>
        <v>#DIV/0!</v>
      </c>
      <c r="W4" s="2190"/>
      <c r="X4" s="2190"/>
      <c r="Y4" s="2190"/>
      <c r="Z4" s="2190"/>
      <c r="AA4" s="2190"/>
      <c r="AB4" s="2190"/>
      <c r="AC4" s="2191"/>
    </row>
    <row r="5" spans="1:39" s="1421" customFormat="1" ht="15.75" thickBot="1">
      <c r="A5" s="1638" t="s">
        <v>1824</v>
      </c>
      <c r="B5" s="1415" t="s">
        <v>931</v>
      </c>
      <c r="C5" s="1041" t="e">
        <f>ROUND(IF(E2="商业",IF(F16="增加",C6*C7+C16,C6*C7-C16),IF(E2="住宅",IF(F16="增加",C6*C12+C16,C6*C12-C16),IF(F16="增加",C6+C16,C6-C16))),0)</f>
        <v>#DIV/0!</v>
      </c>
      <c r="D5" s="3151">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64">
        <v>4</v>
      </c>
      <c r="S5" s="2964">
        <f>ROUND(IF(G3&gt;1,IF(R5&lt;7,SUMPRODUCT((B93:B98=R5)*(C92:N92=G2)*(C93:N98)),SUMIF(C92:N92,G2,C100:N100)),IF(R5&lt;7,SUMPRODUCT((B102:B107=R5)*(C92:N92=G2)*(C102:N107)),SUMIF(C92:N92,G2,C109:N109))),4)</f>
        <v>0</v>
      </c>
      <c r="T5" s="2964" t="e">
        <f t="shared" si="0"/>
        <v>#DIV/0!</v>
      </c>
      <c r="U5" s="2953"/>
      <c r="V5" s="2964"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64">
        <v>5</v>
      </c>
      <c r="S6" s="2964">
        <f>ROUND(IF(G3&gt;1,IF(R6&lt;7,SUMPRODUCT((B93:B98=R6)*(C92:N92=G2)*(C93:N98)),SUMIF(C92:N92,G2,C100:N100)),IF(R6&lt;7,SUMPRODUCT((B102:B107=R6)*(C92:N92=G2)*(C102:N107)),SUMIF(C92:N92,G2,C109:N109))),4)</f>
        <v>0</v>
      </c>
      <c r="T6" s="2964" t="e">
        <f t="shared" si="0"/>
        <v>#DIV/0!</v>
      </c>
      <c r="U6" s="2953"/>
      <c r="V6" s="2964" t="e">
        <f t="shared" si="1"/>
        <v>#DIV/0!</v>
      </c>
      <c r="W6" s="2190"/>
      <c r="X6" s="2190"/>
      <c r="Y6" s="2190"/>
      <c r="Z6" s="2190"/>
      <c r="AA6" s="2190"/>
      <c r="AB6" s="2190"/>
      <c r="AC6" s="2192"/>
      <c r="AD6" s="1419"/>
      <c r="AE6" s="1419"/>
      <c r="AF6" s="1419"/>
      <c r="AG6" s="1419"/>
      <c r="AH6" s="1419"/>
      <c r="AI6" s="1419"/>
      <c r="AJ6" s="1420"/>
    </row>
    <row r="7" spans="1:39" ht="24">
      <c r="A7" s="3555"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2768</v>
      </c>
      <c r="X7" s="2954">
        <f>G2</f>
        <v>0</v>
      </c>
      <c r="Y7" s="2954" t="s">
        <v>2769</v>
      </c>
      <c r="Z7" s="2955">
        <f>G3</f>
        <v>1.5</v>
      </c>
      <c r="AA7" s="2193"/>
      <c r="AB7" s="2193"/>
      <c r="AC7" s="2194"/>
      <c r="AD7" s="2956"/>
      <c r="AE7" s="2956"/>
      <c r="AF7" s="2956"/>
      <c r="AG7" s="2956"/>
      <c r="AH7" s="2956"/>
      <c r="AI7" s="2956"/>
      <c r="AJ7" s="2957"/>
    </row>
    <row r="8" spans="1:39" ht="15">
      <c r="A8" s="3556"/>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64">
        <v>7</v>
      </c>
      <c r="S8" s="2953"/>
      <c r="T8" s="2964" t="e">
        <f t="shared" si="0"/>
        <v>#DIV/0!</v>
      </c>
      <c r="U8" s="2953"/>
      <c r="V8" s="2964" t="e">
        <f t="shared" si="1"/>
        <v>#DIV/0!</v>
      </c>
      <c r="W8" s="3565" t="s">
        <v>2786</v>
      </c>
      <c r="X8" s="3566"/>
      <c r="Y8" s="1850" t="s">
        <v>2770</v>
      </c>
      <c r="Z8" s="1850" t="s">
        <v>2771</v>
      </c>
      <c r="AA8" s="1850" t="s">
        <v>2772</v>
      </c>
      <c r="AB8" s="1850" t="s">
        <v>2773</v>
      </c>
      <c r="AC8" s="1850" t="s">
        <v>2774</v>
      </c>
      <c r="AD8" s="1850" t="s">
        <v>2775</v>
      </c>
      <c r="AE8" s="1850" t="s">
        <v>2776</v>
      </c>
      <c r="AF8" s="1850" t="s">
        <v>2777</v>
      </c>
      <c r="AG8" s="1850" t="s">
        <v>2778</v>
      </c>
      <c r="AH8" s="1850" t="s">
        <v>2779</v>
      </c>
      <c r="AI8" s="1850" t="s">
        <v>2780</v>
      </c>
      <c r="AJ8" s="1850" t="s">
        <v>2781</v>
      </c>
    </row>
    <row r="9" spans="1:39" ht="15">
      <c r="A9" s="3556"/>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64">
        <v>8</v>
      </c>
      <c r="S9" s="2953"/>
      <c r="T9" s="2964" t="e">
        <f t="shared" si="0"/>
        <v>#DIV/0!</v>
      </c>
      <c r="U9" s="2953"/>
      <c r="V9" s="2964" t="e">
        <f t="shared" si="1"/>
        <v>#DIV/0!</v>
      </c>
      <c r="W9" s="3564" t="s">
        <v>2782</v>
      </c>
      <c r="X9" s="2958" t="s">
        <v>2783</v>
      </c>
      <c r="Y9" s="3125"/>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556"/>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64">
        <v>9</v>
      </c>
      <c r="S10" s="2953"/>
      <c r="T10" s="2964" t="e">
        <f t="shared" si="0"/>
        <v>#DIV/0!</v>
      </c>
      <c r="U10" s="2953"/>
      <c r="V10" s="2964" t="e">
        <f t="shared" si="1"/>
        <v>#DIV/0!</v>
      </c>
      <c r="W10" s="3564"/>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556"/>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64">
        <v>10</v>
      </c>
      <c r="S11" s="2953"/>
      <c r="T11" s="2964" t="e">
        <f t="shared" si="0"/>
        <v>#DIV/0!</v>
      </c>
      <c r="U11" s="2953"/>
      <c r="V11" s="2964" t="e">
        <f t="shared" si="1"/>
        <v>#DIV/0!</v>
      </c>
      <c r="W11" s="3564" t="s">
        <v>2784</v>
      </c>
      <c r="X11" s="1048" t="s">
        <v>2769</v>
      </c>
      <c r="Y11" s="1653">
        <f>$G$3</f>
        <v>1.5</v>
      </c>
      <c r="Z11" s="1653">
        <f t="shared" ref="Z11:AJ11" si="3">$G$3</f>
        <v>1.5</v>
      </c>
      <c r="AA11" s="1653">
        <f t="shared" si="3"/>
        <v>1.5</v>
      </c>
      <c r="AB11" s="1653">
        <f t="shared" si="3"/>
        <v>1.5</v>
      </c>
      <c r="AC11" s="1653">
        <f t="shared" si="3"/>
        <v>1.5</v>
      </c>
      <c r="AD11" s="1653">
        <f t="shared" si="3"/>
        <v>1.5</v>
      </c>
      <c r="AE11" s="1653">
        <f t="shared" si="3"/>
        <v>1.5</v>
      </c>
      <c r="AF11" s="1653">
        <f t="shared" si="3"/>
        <v>1.5</v>
      </c>
      <c r="AG11" s="1653">
        <f t="shared" si="3"/>
        <v>1.5</v>
      </c>
      <c r="AH11" s="1653">
        <f t="shared" si="3"/>
        <v>1.5</v>
      </c>
      <c r="AI11" s="1653">
        <f t="shared" si="3"/>
        <v>1.5</v>
      </c>
      <c r="AJ11" s="1653">
        <f t="shared" si="3"/>
        <v>1.5</v>
      </c>
    </row>
    <row r="12" spans="1:39" ht="25.5" thickBot="1">
      <c r="A12" s="3555"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64">
        <v>11</v>
      </c>
      <c r="S12" s="2953"/>
      <c r="T12" s="2964" t="e">
        <f t="shared" si="0"/>
        <v>#DIV/0!</v>
      </c>
      <c r="U12" s="2953"/>
      <c r="V12" s="2964" t="e">
        <f t="shared" si="1"/>
        <v>#DIV/0!</v>
      </c>
      <c r="W12" s="3564"/>
      <c r="X12" s="2961" t="s">
        <v>2785</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557"/>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64">
        <v>12</v>
      </c>
      <c r="S13" s="2953"/>
      <c r="T13" s="2964" t="e">
        <f t="shared" si="0"/>
        <v>#DIV/0!</v>
      </c>
      <c r="U13" s="2953"/>
      <c r="V13" s="2964" t="e">
        <f t="shared" si="1"/>
        <v>#DIV/0!</v>
      </c>
      <c r="W13" s="3564"/>
      <c r="X13" s="2961"/>
      <c r="Y13" s="2960">
        <f>(-0.163*(Y12^2)-0.59*Y12+7617)*(10^(-4))/Y11</f>
        <v>0.50780000000000003</v>
      </c>
      <c r="Z13" s="2960">
        <f t="shared" ref="Z13:AJ13" si="5">(-0.163*(Z12^2)-0.59*Z12+7617)*(10^(-4))/Z11</f>
        <v>0.50780000000000003</v>
      </c>
      <c r="AA13" s="2960">
        <f t="shared" si="5"/>
        <v>0.50780000000000003</v>
      </c>
      <c r="AB13" s="2960">
        <f t="shared" si="5"/>
        <v>0.50780000000000003</v>
      </c>
      <c r="AC13" s="2960">
        <f t="shared" si="5"/>
        <v>0.50780000000000003</v>
      </c>
      <c r="AD13" s="2960">
        <f t="shared" si="5"/>
        <v>0.50780000000000003</v>
      </c>
      <c r="AE13" s="2960">
        <f t="shared" si="5"/>
        <v>0.50780000000000003</v>
      </c>
      <c r="AF13" s="2960">
        <f t="shared" si="5"/>
        <v>0.50780000000000003</v>
      </c>
      <c r="AG13" s="2960">
        <f t="shared" si="5"/>
        <v>0.50780000000000003</v>
      </c>
      <c r="AH13" s="2960">
        <f t="shared" si="5"/>
        <v>0.50780000000000003</v>
      </c>
      <c r="AI13" s="2960">
        <f t="shared" si="5"/>
        <v>0.50780000000000003</v>
      </c>
      <c r="AJ13" s="2960">
        <f t="shared" si="5"/>
        <v>0.50780000000000003</v>
      </c>
    </row>
    <row r="14" spans="1:39" ht="12.75" customHeight="1" thickBot="1">
      <c r="A14" s="3557"/>
      <c r="B14" s="1451"/>
      <c r="C14" s="1452"/>
      <c r="D14" s="1453"/>
      <c r="E14" s="1453"/>
      <c r="F14" s="1454"/>
      <c r="G14" s="1455" t="s">
        <v>949</v>
      </c>
      <c r="H14" s="1456"/>
      <c r="I14" s="1457"/>
      <c r="J14" s="1458"/>
      <c r="K14" s="1401"/>
      <c r="L14" s="2190"/>
      <c r="M14" s="2190"/>
      <c r="N14" s="2190"/>
      <c r="O14" s="2190"/>
      <c r="P14" s="2190"/>
      <c r="Q14" s="2190"/>
      <c r="R14" s="2964">
        <v>13</v>
      </c>
      <c r="S14" s="2953"/>
      <c r="T14" s="2964" t="e">
        <f t="shared" si="0"/>
        <v>#DIV/0!</v>
      </c>
      <c r="U14" s="2953"/>
      <c r="V14" s="2964" t="e">
        <f t="shared" si="1"/>
        <v>#DIV/0!</v>
      </c>
      <c r="W14" s="2190"/>
      <c r="X14" s="2190"/>
      <c r="Y14" s="2190"/>
      <c r="Z14" s="2190"/>
      <c r="AA14" s="2190"/>
      <c r="AB14" s="2190"/>
      <c r="AC14" s="2191"/>
    </row>
    <row r="15" spans="1:39" ht="13.5" customHeight="1" thickBot="1">
      <c r="A15" s="3558"/>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64">
        <v>14</v>
      </c>
      <c r="S15" s="2953"/>
      <c r="T15" s="2964" t="e">
        <f t="shared" si="0"/>
        <v>#DIV/0!</v>
      </c>
      <c r="U15" s="2953"/>
      <c r="V15" s="2964" t="e">
        <f t="shared" si="1"/>
        <v>#DIV/0!</v>
      </c>
      <c r="W15" s="2190"/>
      <c r="X15" s="2190"/>
      <c r="Y15" s="2190"/>
      <c r="Z15" s="2190"/>
      <c r="AA15" s="2190"/>
      <c r="AB15" s="2190"/>
      <c r="AC15" s="2191"/>
    </row>
    <row r="16" spans="1:39" ht="24">
      <c r="A16" s="3555"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3"/>
      <c r="R16" s="2964">
        <v>15</v>
      </c>
      <c r="S16" s="2953"/>
      <c r="T16" s="2964" t="e">
        <f t="shared" si="0"/>
        <v>#DIV/0!</v>
      </c>
      <c r="U16" s="2953"/>
      <c r="V16" s="2964" t="e">
        <f t="shared" si="1"/>
        <v>#DIV/0!</v>
      </c>
      <c r="W16" s="2193"/>
      <c r="X16" s="2193"/>
      <c r="Y16" s="2193"/>
      <c r="Z16" s="2193"/>
      <c r="AA16" s="2193"/>
      <c r="AB16" s="2193"/>
      <c r="AC16" s="2194"/>
    </row>
    <row r="17" spans="1:40" ht="13.5" thickBot="1">
      <c r="A17" s="3556"/>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99" t="s">
        <v>956</v>
      </c>
      <c r="C18" s="2800">
        <f>SUMIF(修正!C18:C39,E3,修正!E18:E39)</f>
        <v>0</v>
      </c>
      <c r="D18" s="2801"/>
      <c r="E18" s="2802"/>
      <c r="F18" s="2803"/>
      <c r="G18" s="2797"/>
      <c r="H18" s="2797"/>
      <c r="I18" s="2797"/>
      <c r="J18" s="2804"/>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ROUND(IF(H19="按公示增长率计算",SUMPRODUCT((地价!A3:A20=YEAR(G19)&amp;"-"&amp;ROUNDUP(MONTH(G19)/3,0))*(地价!X2:AB2=E2)*(地价!X3:AB20)),IF(H19="地价指数",M20/M19,(1+I19)^O19)),4)</f>
        <v>#DIV/0!</v>
      </c>
      <c r="D19" s="1474" t="s">
        <v>958</v>
      </c>
      <c r="E19" s="1058">
        <v>41640</v>
      </c>
      <c r="F19" s="1474" t="s">
        <v>959</v>
      </c>
      <c r="G19" s="1059">
        <f>'数据-取费表'!B2</f>
        <v>43052</v>
      </c>
      <c r="H19" s="1475" t="s">
        <v>2932</v>
      </c>
      <c r="I19" s="2811" t="str">
        <f>IF(H19="季度增幅（自定义）",SUMIF(N21:N24,E2,O21:O24),"")</f>
        <v/>
      </c>
      <c r="J19" s="1471"/>
      <c r="K19" s="1481"/>
      <c r="L19" s="3067" t="s">
        <v>2844</v>
      </c>
      <c r="M19" s="3068">
        <f>ROUND(SUMIF(地价!B2:F2,E2,地价!B20:F20),0)</f>
        <v>0</v>
      </c>
      <c r="N19" s="2813" t="s">
        <v>1677</v>
      </c>
      <c r="O19" s="2812">
        <f>ROUNDDOWN(DATEDIF(E19,G19,"M")/3,0)</f>
        <v>15</v>
      </c>
      <c r="P19" s="1596"/>
      <c r="R19" s="2952"/>
      <c r="S19" s="2952"/>
      <c r="T19" s="2952"/>
      <c r="U19" s="2952"/>
      <c r="V19" s="2952"/>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5" t="s">
        <v>1837</v>
      </c>
      <c r="B20" s="2806" t="s">
        <v>972</v>
      </c>
      <c r="C20" s="2807" t="e">
        <f>ROUND(POWER(1+G20,J20-I20)*(POWER(1+G20,I20)-1)/(POWER(1+G20,J20)-1),4)</f>
        <v>#DIV/0!</v>
      </c>
      <c r="D20" s="2808" t="s">
        <v>973</v>
      </c>
      <c r="E20" s="3122">
        <f ca="1">存贷款利率!I4/100</f>
        <v>4.3499999999999997E-2</v>
      </c>
      <c r="F20" s="2808" t="s">
        <v>974</v>
      </c>
      <c r="G20" s="2809">
        <f>SUMIF(M15:P15,E2,M17:P17)</f>
        <v>0</v>
      </c>
      <c r="H20" s="2808" t="s">
        <v>975</v>
      </c>
      <c r="I20" s="2798" t="e">
        <f>SUMIF('数据-取费表'!C6:C15,E2,'数据-取费表'!F6:F15)/COUNTIF('数据-取费表'!C6:C15,E2)</f>
        <v>#DIV/0!</v>
      </c>
      <c r="J20" s="2810">
        <f>IF(E2="住宅",70,IF(E2="商业",40,50))</f>
        <v>50</v>
      </c>
      <c r="K20" s="1481"/>
      <c r="L20" s="3069" t="s">
        <v>2845</v>
      </c>
      <c r="M20" s="3070">
        <f>ROUND(SUMPRODUCT((地价!A5:A20=YEAR(G19)&amp;"-"&amp;ROUNDUP(MONTH(G19)/3,0))*(地价!B2:F2=E2)*(地价!B5:F20)),0)</f>
        <v>0</v>
      </c>
      <c r="N20" s="2816" t="s">
        <v>2649</v>
      </c>
      <c r="O20" s="2814" t="s">
        <v>2648</v>
      </c>
      <c r="P20" s="2815" t="s">
        <v>2653</v>
      </c>
      <c r="R20" s="2952"/>
      <c r="S20" s="2952"/>
      <c r="T20" s="2952"/>
      <c r="U20" s="2952"/>
      <c r="V20" s="2952"/>
      <c r="W20" s="2196"/>
      <c r="X20" s="2196"/>
      <c r="Y20" s="2196"/>
      <c r="Z20" s="2196"/>
      <c r="AA20" s="2196"/>
      <c r="AB20" s="2196"/>
      <c r="AC20" s="2196"/>
      <c r="AD20" s="1472"/>
      <c r="AE20" s="1472"/>
      <c r="AF20" s="1472"/>
      <c r="AG20" s="1472"/>
      <c r="AH20" s="1472"/>
      <c r="AI20" s="1472"/>
    </row>
    <row r="21" spans="1:40" s="1421" customFormat="1" ht="14.25">
      <c r="A21" s="1642" t="s">
        <v>1838</v>
      </c>
      <c r="B21" s="1480" t="s">
        <v>2764</v>
      </c>
      <c r="C21" s="1158">
        <f>IF(B21="容积率修正",IF(G3&lt;=10,D22,J22),C23)</f>
        <v>0</v>
      </c>
      <c r="D21" s="1481"/>
      <c r="E21" s="1481"/>
      <c r="F21" s="1481"/>
      <c r="G21" s="1481"/>
      <c r="H21" s="1481"/>
      <c r="I21" s="1481"/>
      <c r="J21" s="1482"/>
      <c r="K21" s="1481"/>
      <c r="L21" s="1481"/>
      <c r="M21" s="1481"/>
      <c r="N21" s="1478" t="s">
        <v>976</v>
      </c>
      <c r="O21" s="1542"/>
      <c r="P21" s="2796">
        <f>SUMPRODUCT((地价!A3:A20=YEAR(G19)&amp;"-"&amp;ROUNDUP(MONTH(G19)/3,0))*(地价!AD2:AH2=N21)*(地价!AD3:AH20))</f>
        <v>1.6400000000000001E-2</v>
      </c>
      <c r="R21" s="2952"/>
      <c r="S21" s="2952"/>
      <c r="T21" s="2952"/>
      <c r="U21" s="2952"/>
      <c r="V21" s="2952"/>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t="b">
        <f>IF(E22=G22,F22,IF(G3&lt;=10,ROUND(F22+(H22-F22)*(G3-E22)/(G22-E22),4),"——"))</f>
        <v>0</v>
      </c>
      <c r="E22" s="1039">
        <f>ROUNDDOWN(G3,1)</f>
        <v>1.5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96">
        <f>SUMPRODUCT((地价!A3:A20=YEAR(G19)&amp;"-"&amp;ROUNDUP(MONTH(G19)/3,0))*(地价!AD2:AH2=N22)*(地价!AD3:AH20))</f>
        <v>1.6400000000000001E-2</v>
      </c>
      <c r="R22" s="2952"/>
      <c r="S22" s="2952"/>
      <c r="T22" s="2952"/>
      <c r="U22" s="2952"/>
      <c r="V22" s="2952"/>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96">
        <f>SUMPRODUCT((地价!A3:A20=YEAR(G19)&amp;"-"&amp;ROUNDUP(MONTH(G19)/3,0))*(地价!AD2:AH2=N23)*(地价!AD3:AH20))</f>
        <v>2.7799999999999998E-2</v>
      </c>
      <c r="R23" s="2952"/>
      <c r="S23" s="2952"/>
      <c r="T23" s="2952"/>
      <c r="U23" s="2952"/>
      <c r="V23" s="2952"/>
      <c r="W23" s="2196"/>
      <c r="X23" s="2196"/>
      <c r="Y23" s="2196"/>
      <c r="Z23" s="2196"/>
      <c r="AA23" s="2196"/>
      <c r="AB23" s="2196"/>
      <c r="AC23" s="2196"/>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SUMPRODUCT((地价!A3:A20=YEAR(G19)&amp;"-"&amp;ROUNDUP(MONTH(G19)/3,0))*(地价!AD2:AH2=N24)*(地价!AD3:AH20))</f>
        <v>1.3899999999999999E-2</v>
      </c>
      <c r="R24" s="2952"/>
      <c r="S24" s="2952"/>
      <c r="T24" s="2952"/>
      <c r="U24" s="2952"/>
      <c r="V24" s="2952"/>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824" t="s">
        <v>2651</v>
      </c>
      <c r="O25" s="2196"/>
      <c r="P25" s="1541">
        <f>SUMPRODUCT((地价!A3:A20=YEAR(G19)&amp;"-"&amp;ROUNDUP(MONTH(G19)/3,0))*(地价!AD2:AH2=N25)*(地价!AD3:AH20))</f>
        <v>2.4899999999999999E-2</v>
      </c>
      <c r="R25" s="2952"/>
      <c r="S25" s="2952"/>
      <c r="T25" s="2952"/>
      <c r="U25" s="2952"/>
      <c r="V25" s="2952"/>
      <c r="W25" s="2196"/>
      <c r="X25" s="2196"/>
      <c r="Y25" s="2196"/>
      <c r="Z25" s="2196"/>
      <c r="AA25" s="2196"/>
      <c r="AB25" s="2196"/>
      <c r="AC25" s="2196"/>
    </row>
    <row r="26" spans="1:40" ht="14.25">
      <c r="A26" s="1489"/>
      <c r="B26" s="1483" t="s">
        <v>987</v>
      </c>
      <c r="C26" s="1063" t="e">
        <f>E29+SUM(E33:E39)</f>
        <v>#DIV/0!</v>
      </c>
      <c r="D26" s="1490"/>
      <c r="E26" s="1456"/>
      <c r="F26" s="1491"/>
      <c r="G26" s="1456"/>
      <c r="H26" s="1456"/>
      <c r="I26" s="1456"/>
      <c r="J26" s="1492"/>
      <c r="K26" s="1401"/>
      <c r="L26" s="2196"/>
      <c r="M26" s="2196"/>
      <c r="N26" s="2196"/>
      <c r="O26" s="2196"/>
      <c r="P26" s="2196"/>
      <c r="Q26" s="2196"/>
      <c r="R26" s="2952"/>
      <c r="S26" s="2952"/>
      <c r="T26" s="2952"/>
      <c r="U26" s="2952"/>
      <c r="V26" s="2952"/>
      <c r="W26" s="2196"/>
      <c r="X26" s="2196"/>
      <c r="Y26" s="2196"/>
      <c r="Z26" s="2196"/>
      <c r="AA26" s="2196"/>
      <c r="AB26" s="2196"/>
      <c r="AC26" s="2196"/>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6"/>
      <c r="M27" s="2196"/>
      <c r="N27" s="2196"/>
      <c r="O27" s="2196"/>
      <c r="P27" s="2196"/>
      <c r="Q27" s="2196"/>
      <c r="R27" s="2952"/>
      <c r="S27" s="2952"/>
      <c r="T27" s="2952"/>
      <c r="U27" s="2952"/>
      <c r="V27" s="2952"/>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52"/>
      <c r="S28" s="2952"/>
      <c r="T28" s="2952"/>
      <c r="U28" s="2952"/>
      <c r="V28" s="2952"/>
      <c r="W28" s="2196"/>
      <c r="X28" s="2196"/>
      <c r="Y28" s="2196"/>
      <c r="Z28" s="2196"/>
      <c r="AA28" s="2196"/>
      <c r="AB28" s="2196"/>
      <c r="AC28" s="2196"/>
      <c r="AD28" s="1472"/>
      <c r="AE28" s="1472"/>
      <c r="AF28" s="1472"/>
      <c r="AG28" s="1472"/>
    </row>
    <row r="29" spans="1:40" ht="24">
      <c r="A29" s="1502"/>
      <c r="B29" s="1503" t="s">
        <v>994</v>
      </c>
      <c r="C29" s="1063" t="e">
        <f>ROUND(C5*C18*C19*C20*C21*C24,0)</f>
        <v>#DIV/0!</v>
      </c>
      <c r="D29" s="1504"/>
      <c r="E29" s="1850" t="e">
        <f>ROUND(C29*D29/10000,0)</f>
        <v>#DIV/0!</v>
      </c>
      <c r="F29" s="1505" t="s">
        <v>1702</v>
      </c>
      <c r="G29" s="1506"/>
      <c r="H29" s="1506"/>
      <c r="I29" s="1506"/>
      <c r="J29" s="1507"/>
      <c r="K29" s="1401"/>
      <c r="L29" s="2196"/>
      <c r="M29" s="2196"/>
      <c r="N29" s="2196"/>
      <c r="O29" s="2196"/>
      <c r="P29" s="2196"/>
      <c r="Q29" s="2196"/>
      <c r="R29" s="2952"/>
      <c r="S29" s="2952"/>
      <c r="T29" s="2952"/>
      <c r="U29" s="2952"/>
      <c r="V29" s="2952"/>
      <c r="W29" s="2196"/>
      <c r="X29" s="2196"/>
      <c r="Y29" s="2196"/>
      <c r="Z29" s="2196"/>
      <c r="AA29" s="2196"/>
      <c r="AB29" s="2196"/>
      <c r="AC29" s="2196"/>
      <c r="AH29" s="1402"/>
      <c r="AI29" s="1402"/>
      <c r="AJ29" s="1405"/>
      <c r="AK29" s="1405"/>
      <c r="AL29" s="1405"/>
      <c r="AM29" s="1405"/>
    </row>
    <row r="30" spans="1:40" ht="24.75" thickBot="1">
      <c r="A30" s="1508"/>
      <c r="B30" s="1509" t="s">
        <v>995</v>
      </c>
      <c r="C30" s="1051"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561" t="s">
        <v>2959</v>
      </c>
      <c r="B33" s="1524" t="s">
        <v>1000</v>
      </c>
      <c r="C33" s="1063" t="e">
        <f>ROUND(D5*C19*C20*C24*F33,0)</f>
        <v>#DIV/0!</v>
      </c>
      <c r="D33" s="1537"/>
      <c r="E33" s="1048" t="e">
        <f>ROUND(C33*D33/10000,0)</f>
        <v>#DIV/0!</v>
      </c>
      <c r="F33" s="1048">
        <f>SUMIF(修正!A45:A56,G2,修正!B45:B56)</f>
        <v>0</v>
      </c>
      <c r="G33" s="1048" t="e">
        <f t="shared" ref="G33:G39"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562"/>
      <c r="B34" s="1445" t="s">
        <v>1001</v>
      </c>
      <c r="C34" s="1063" t="e">
        <f>ROUND(D5*C19*C20*C24*F34,0)</f>
        <v>#DIV/0!</v>
      </c>
      <c r="D34" s="1537"/>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562"/>
      <c r="B35" s="1445" t="s">
        <v>1002</v>
      </c>
      <c r="C35" s="1063" t="e">
        <f>ROUND(D5*C19*C20*C24*F35,0)</f>
        <v>#DIV/0!</v>
      </c>
      <c r="D35" s="1537"/>
      <c r="E35" s="1048" t="e">
        <f t="shared" si="7"/>
        <v>#DIV/0!</v>
      </c>
      <c r="F35" s="1048">
        <f>SUMIF(修正!A45:A56,G2,修正!D45:D56)</f>
        <v>0</v>
      </c>
      <c r="G35" s="1048" t="e">
        <f t="shared" si="6"/>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563"/>
      <c r="B36" s="1445" t="s">
        <v>1003</v>
      </c>
      <c r="C36" s="1063" t="e">
        <f>ROUND(D5*C19*C20*C24*F36,0)</f>
        <v>#DIV/0!</v>
      </c>
      <c r="D36" s="1537"/>
      <c r="E36" s="1048" t="e">
        <f t="shared" si="7"/>
        <v>#DIV/0!</v>
      </c>
      <c r="F36" s="1048">
        <f>SUMIF(修正!A45:A56,G2,修正!E45:E56)</f>
        <v>0</v>
      </c>
      <c r="G36" s="1048" t="e">
        <f t="shared" si="6"/>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t="e">
        <f>ROUND(C5*C19*C20*C24*F37,0)</f>
        <v>#DIV/0!</v>
      </c>
      <c r="D37" s="1537"/>
      <c r="E37" s="1048" t="e">
        <f t="shared" si="7"/>
        <v>#DIV/0!</v>
      </c>
      <c r="F37" s="1063">
        <f>SUMIF(修正!A45:A56,G2,修正!F45:F56)</f>
        <v>0</v>
      </c>
      <c r="G37" s="1048" t="e">
        <f t="shared" si="6"/>
        <v>#DIV/0!</v>
      </c>
      <c r="H37" s="1048">
        <f t="shared" si="8"/>
        <v>0</v>
      </c>
      <c r="I37" s="1048"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t="e">
        <f>ROUND(C5*C19*C20*C24*F38,0)</f>
        <v>#DIV/0!</v>
      </c>
      <c r="D38" s="1537"/>
      <c r="E38" s="1048" t="e">
        <f t="shared" si="7"/>
        <v>#DIV/0!</v>
      </c>
      <c r="F38" s="1063">
        <f>SUMIF(修正!A45:A56,G2,修正!G45:G56)</f>
        <v>0</v>
      </c>
      <c r="G38" s="1048" t="e">
        <f t="shared" si="6"/>
        <v>#DIV/0!</v>
      </c>
      <c r="H38" s="1048">
        <f t="shared" si="8"/>
        <v>0</v>
      </c>
      <c r="I38" s="1048"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t="e">
        <f>ROUND(C5*C19*C20*C24*F39,0)</f>
        <v>#DIV/0!</v>
      </c>
      <c r="D39" s="1538"/>
      <c r="E39" s="1051" t="e">
        <f t="shared" si="7"/>
        <v>#DIV/0!</v>
      </c>
      <c r="F39" s="1065">
        <f>SUMIF(修正!A45:A56,G2,修正!H45:H56)</f>
        <v>0</v>
      </c>
      <c r="G39" s="1051" t="e">
        <f t="shared" si="6"/>
        <v>#DIV/0!</v>
      </c>
      <c r="H39" s="1051">
        <f t="shared" si="8"/>
        <v>0</v>
      </c>
      <c r="I39" s="1051"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1007</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1008</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1009</v>
      </c>
      <c r="B46" s="2433" t="s">
        <v>1010</v>
      </c>
      <c r="C46" s="2455" t="s">
        <v>1011</v>
      </c>
      <c r="D46" s="2456" t="s">
        <v>1012</v>
      </c>
      <c r="E46" s="2457" t="s">
        <v>1014</v>
      </c>
      <c r="F46" s="2458" t="s">
        <v>2253</v>
      </c>
      <c r="G46" s="2456" t="s">
        <v>1015</v>
      </c>
      <c r="H46" s="2439" t="s">
        <v>2418</v>
      </c>
      <c r="I46" s="2456" t="s">
        <v>1013</v>
      </c>
      <c r="J46" s="2459" t="s">
        <v>1016</v>
      </c>
      <c r="K46" s="2459" t="s">
        <v>1017</v>
      </c>
      <c r="L46" s="2459" t="s">
        <v>1018</v>
      </c>
      <c r="M46" s="2459" t="s">
        <v>1019</v>
      </c>
      <c r="N46" s="2459"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24">
      <c r="A47" s="1067" t="s">
        <v>1021</v>
      </c>
      <c r="B47" s="2436" t="str">
        <f>估价对象房地状况!C16</f>
        <v>XX商圈，周边商业氛围，人流量</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36">
      <c r="A48" s="1067" t="s">
        <v>1022</v>
      </c>
      <c r="B48" s="2433" t="str">
        <f>估价对象房地状况!C18</f>
        <v>周边道路状况、公共交通通达情况、停车便捷程度（大理荒草坝机场</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1023</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1024</v>
      </c>
      <c r="B50" s="3124" t="s">
        <v>2934</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1025</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1026</v>
      </c>
      <c r="B52" s="3123" t="s">
        <v>2933</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1027</v>
      </c>
      <c r="B53" s="2434" t="str">
        <f>估价对象房地状况!C21</f>
        <v>大理技师学院 与较成熟区域距离5-6公里</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1028</v>
      </c>
      <c r="B54" s="2433">
        <f>估价对象房地状况!C22</f>
        <v>0</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66" t="s">
        <v>1029</v>
      </c>
      <c r="B55" s="2437" t="str">
        <f>估价对象房地状况!C20</f>
        <v>洱海</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1030</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33"/>
      <c r="C57" s="2455" t="s">
        <v>1011</v>
      </c>
      <c r="D57" s="2456" t="s">
        <v>1012</v>
      </c>
      <c r="E57" s="2457" t="s">
        <v>1014</v>
      </c>
      <c r="F57" s="2458" t="s">
        <v>2254</v>
      </c>
      <c r="G57" s="2456" t="s">
        <v>1015</v>
      </c>
      <c r="H57" s="2439" t="s">
        <v>2418</v>
      </c>
      <c r="I57" s="2456" t="s">
        <v>1013</v>
      </c>
      <c r="J57" s="2459" t="s">
        <v>1016</v>
      </c>
      <c r="K57" s="2459" t="s">
        <v>1017</v>
      </c>
      <c r="L57" s="2459" t="s">
        <v>1018</v>
      </c>
      <c r="M57" s="2459" t="s">
        <v>1019</v>
      </c>
      <c r="N57" s="2459"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7" t="s">
        <v>1031</v>
      </c>
      <c r="B58" s="2436">
        <f>估价对象房地状况!C17</f>
        <v>0</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36">
      <c r="A59" s="1067" t="s">
        <v>1022</v>
      </c>
      <c r="B59" s="2433" t="str">
        <f>估价对象房地状况!C18</f>
        <v>周边道路状况、公共交通通达情况、停车便捷程度（大理荒草坝机场</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124" t="s">
        <v>2935</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123" t="s">
        <v>2933</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34" t="str">
        <f>估价对象房地状况!C21</f>
        <v>大理技师学院 与较成熟区域距离5-6公里</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34">
        <f>估价对象房地状况!C22</f>
        <v>0</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66" t="s">
        <v>1029</v>
      </c>
      <c r="B66" s="2438" t="str">
        <f>估价对象房地状况!C20</f>
        <v>洱海</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1032</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33"/>
      <c r="C68" s="2455" t="s">
        <v>1011</v>
      </c>
      <c r="D68" s="2456" t="s">
        <v>1012</v>
      </c>
      <c r="E68" s="2457" t="s">
        <v>1014</v>
      </c>
      <c r="F68" s="2458" t="s">
        <v>2255</v>
      </c>
      <c r="G68" s="2456" t="s">
        <v>1015</v>
      </c>
      <c r="H68" s="2439" t="s">
        <v>2418</v>
      </c>
      <c r="I68" s="2456" t="s">
        <v>1013</v>
      </c>
      <c r="J68" s="2459" t="s">
        <v>1016</v>
      </c>
      <c r="K68" s="2459" t="s">
        <v>1017</v>
      </c>
      <c r="L68" s="2459" t="s">
        <v>1018</v>
      </c>
      <c r="M68" s="2459" t="s">
        <v>1019</v>
      </c>
      <c r="N68" s="2459"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36">
      <c r="A69" s="1067" t="s">
        <v>1033</v>
      </c>
      <c r="B69" s="2436" t="str">
        <f>估价对象房地状况!C15</f>
        <v>周边居住用地比例、居住小区规模和社区发展完善程度</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36">
      <c r="A70" s="1067" t="s">
        <v>1034</v>
      </c>
      <c r="B70" s="2433" t="str">
        <f>估价对象房地状况!C18</f>
        <v>周边道路状况、公共交通通达情况、停车便捷程度（大理荒草坝机场</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34" t="str">
        <f>估价对象房地状况!C21</f>
        <v>大理技师学院 与较成熟区域距离5-6公里</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34">
        <f>估价对象房地状况!C22</f>
        <v>0</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123" t="s">
        <v>2933</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7" t="s">
        <v>1029</v>
      </c>
      <c r="B76" s="2436" t="str">
        <f>估价对象房地状况!C20</f>
        <v>洱海</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1036</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1037</v>
      </c>
      <c r="B78" s="2450">
        <f>1+E80</f>
        <v>1</v>
      </c>
      <c r="C78" s="2469"/>
      <c r="D78" s="2452"/>
      <c r="E78" s="2453"/>
      <c r="F78" s="2454"/>
      <c r="G78" s="2448"/>
      <c r="H78" s="2448"/>
      <c r="I78" s="2448"/>
      <c r="J78" s="1066"/>
      <c r="K78" s="1066"/>
      <c r="L78" s="1066"/>
      <c r="M78" s="1066"/>
      <c r="N78" s="1066"/>
      <c r="AC78" s="1405"/>
      <c r="AD78" s="1404"/>
      <c r="AJ78" s="1403"/>
      <c r="AN78" s="1404"/>
    </row>
    <row r="79" spans="1:40" ht="24">
      <c r="A79" s="1067" t="s">
        <v>1009</v>
      </c>
      <c r="B79" s="2433"/>
      <c r="C79" s="2455" t="s">
        <v>1011</v>
      </c>
      <c r="D79" s="2456" t="s">
        <v>1012</v>
      </c>
      <c r="E79" s="2457" t="s">
        <v>1014</v>
      </c>
      <c r="F79" s="2458" t="s">
        <v>2256</v>
      </c>
      <c r="G79" s="2456" t="s">
        <v>1015</v>
      </c>
      <c r="H79" s="2439" t="s">
        <v>2418</v>
      </c>
      <c r="I79" s="2456" t="s">
        <v>1013</v>
      </c>
      <c r="J79" s="2459" t="s">
        <v>1016</v>
      </c>
      <c r="K79" s="2459" t="s">
        <v>1017</v>
      </c>
      <c r="L79" s="2459" t="s">
        <v>1018</v>
      </c>
      <c r="M79" s="2459" t="s">
        <v>1019</v>
      </c>
      <c r="N79" s="2459" t="s">
        <v>1020</v>
      </c>
      <c r="AC79" s="1405"/>
      <c r="AD79" s="1404"/>
      <c r="AJ79" s="1403"/>
      <c r="AN79" s="1404"/>
    </row>
    <row r="80" spans="1:40" ht="24">
      <c r="A80" s="1067" t="s">
        <v>1038</v>
      </c>
      <c r="B80" s="2433">
        <f>估价对象房地状况!G15</f>
        <v>0</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14.25">
      <c r="A81" s="1067" t="s">
        <v>1034</v>
      </c>
      <c r="B81" s="2433">
        <f>估价对象房地状况!G16</f>
        <v>0</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7" t="s">
        <v>1023</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7" t="s">
        <v>1035</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7" t="s">
        <v>1027</v>
      </c>
      <c r="B84" s="2434">
        <f>估价对象房地状况!G19</f>
        <v>0</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7" t="s">
        <v>1028</v>
      </c>
      <c r="B85" s="2434">
        <f>估价对象房地状况!G20</f>
        <v>0</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7" t="s">
        <v>1026</v>
      </c>
      <c r="B86" s="3123" t="s">
        <v>2933</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15" thickBot="1">
      <c r="A87" s="2466" t="s">
        <v>1039</v>
      </c>
      <c r="B87" s="2435">
        <f>估价对象房地状况!G18</f>
        <v>0</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559" t="s">
        <v>1634</v>
      </c>
      <c r="B90" s="3559"/>
      <c r="C90" s="3559"/>
      <c r="D90" s="3559"/>
      <c r="E90" s="3559"/>
      <c r="F90" s="3559"/>
      <c r="G90" s="3559"/>
      <c r="H90" s="3559"/>
      <c r="I90" s="3559"/>
      <c r="J90" s="3559"/>
      <c r="K90" s="2475"/>
      <c r="L90" s="2475"/>
      <c r="M90" s="2475"/>
      <c r="N90" s="2475"/>
    </row>
    <row r="91" spans="1:40">
      <c r="A91" s="3560" t="s">
        <v>1444</v>
      </c>
      <c r="B91" s="3560" t="s">
        <v>1635</v>
      </c>
      <c r="C91" s="1140" t="s">
        <v>1636</v>
      </c>
      <c r="D91" s="1141"/>
      <c r="E91" s="1141"/>
      <c r="F91" s="1141"/>
      <c r="G91" s="1141"/>
      <c r="H91" s="1141"/>
      <c r="I91" s="1141"/>
      <c r="J91" s="1142"/>
      <c r="K91" s="1134"/>
      <c r="L91" s="1134"/>
      <c r="M91" s="1134"/>
      <c r="N91" s="1134"/>
    </row>
    <row r="92" spans="1:40">
      <c r="A92" s="3560"/>
      <c r="B92" s="3560"/>
      <c r="C92" s="2474" t="s">
        <v>907</v>
      </c>
      <c r="D92" s="2474" t="s">
        <v>885</v>
      </c>
      <c r="E92" s="2474" t="s">
        <v>886</v>
      </c>
      <c r="F92" s="2474" t="s">
        <v>910</v>
      </c>
      <c r="G92" s="2474" t="s">
        <v>888</v>
      </c>
      <c r="H92" s="2474" t="s">
        <v>889</v>
      </c>
      <c r="I92" s="2474" t="s">
        <v>890</v>
      </c>
      <c r="J92" s="2474" t="s">
        <v>891</v>
      </c>
      <c r="K92" s="2474" t="s">
        <v>915</v>
      </c>
      <c r="L92" s="2474" t="s">
        <v>893</v>
      </c>
      <c r="M92" s="2474" t="s">
        <v>894</v>
      </c>
      <c r="N92" s="2474" t="s">
        <v>918</v>
      </c>
    </row>
    <row r="93" spans="1:40">
      <c r="A93" s="3567"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6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6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6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6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6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68"/>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6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67" t="s">
        <v>1638</v>
      </c>
      <c r="B101" s="1147" t="s">
        <v>906</v>
      </c>
      <c r="C101" s="1148">
        <f>$G$3</f>
        <v>1.5</v>
      </c>
      <c r="D101" s="1148">
        <f t="shared" ref="D101:N101" si="31">$G$3</f>
        <v>1.5</v>
      </c>
      <c r="E101" s="1148">
        <f t="shared" si="31"/>
        <v>1.5</v>
      </c>
      <c r="F101" s="1148">
        <f t="shared" si="31"/>
        <v>1.5</v>
      </c>
      <c r="G101" s="1148">
        <f t="shared" si="31"/>
        <v>1.5</v>
      </c>
      <c r="H101" s="1148">
        <f t="shared" si="31"/>
        <v>1.5</v>
      </c>
      <c r="I101" s="1148">
        <f t="shared" si="31"/>
        <v>1.5</v>
      </c>
      <c r="J101" s="1148">
        <f t="shared" si="31"/>
        <v>1.5</v>
      </c>
      <c r="K101" s="1148">
        <f t="shared" si="31"/>
        <v>1.5</v>
      </c>
      <c r="L101" s="1148">
        <f t="shared" si="31"/>
        <v>1.5</v>
      </c>
      <c r="M101" s="1148">
        <f t="shared" si="31"/>
        <v>1.5</v>
      </c>
      <c r="N101" s="1148">
        <f t="shared" si="31"/>
        <v>1.5</v>
      </c>
    </row>
    <row r="102" spans="1:14">
      <c r="A102" s="3568"/>
      <c r="B102" s="1143">
        <v>1</v>
      </c>
      <c r="C102" s="1144">
        <f>1.9362/C101</f>
        <v>1.2907999999999999</v>
      </c>
      <c r="D102" s="1144">
        <f>1.9362/D101</f>
        <v>1.2907999999999999</v>
      </c>
      <c r="E102" s="1144">
        <f>1.8629/E101</f>
        <v>1.2419333333333333</v>
      </c>
      <c r="F102" s="1144">
        <f>1.8629/F101</f>
        <v>1.2419333333333333</v>
      </c>
      <c r="G102" s="1144">
        <f>1.8629/G101</f>
        <v>1.2419333333333333</v>
      </c>
      <c r="H102" s="1144">
        <f>1.8629/H101</f>
        <v>1.2419333333333333</v>
      </c>
      <c r="I102" s="1144">
        <f>1.8629/I101</f>
        <v>1.2419333333333333</v>
      </c>
      <c r="J102" s="1144">
        <f>1.942/J101</f>
        <v>1.2946666666666666</v>
      </c>
      <c r="K102" s="1144">
        <f>1.942/K101</f>
        <v>1.2946666666666666</v>
      </c>
      <c r="L102" s="1144">
        <f>1.942/L101</f>
        <v>1.2946666666666666</v>
      </c>
      <c r="M102" s="1144">
        <f>1.942/M101</f>
        <v>1.2946666666666666</v>
      </c>
      <c r="N102" s="1144">
        <f>1.942/N101</f>
        <v>1.2946666666666666</v>
      </c>
    </row>
    <row r="103" spans="1:14">
      <c r="A103" s="3568"/>
      <c r="B103" s="1143">
        <v>2</v>
      </c>
      <c r="C103" s="1144">
        <f>1.4198/C101</f>
        <v>0.94653333333333334</v>
      </c>
      <c r="D103" s="1144">
        <f>1.4198/D101</f>
        <v>0.94653333333333334</v>
      </c>
      <c r="E103" s="1144">
        <f>1.3372/E101</f>
        <v>0.89146666666666663</v>
      </c>
      <c r="F103" s="1144">
        <f>1.3372/F101</f>
        <v>0.89146666666666663</v>
      </c>
      <c r="G103" s="1144">
        <f>1.3372/G101</f>
        <v>0.89146666666666663</v>
      </c>
      <c r="H103" s="1144">
        <f>1.3372/H101</f>
        <v>0.89146666666666663</v>
      </c>
      <c r="I103" s="1144">
        <f>1.3372/I101</f>
        <v>0.89146666666666663</v>
      </c>
      <c r="J103" s="1144">
        <f>1.2799/J101</f>
        <v>0.85326666666666673</v>
      </c>
      <c r="K103" s="1144">
        <f>1.2799/K101</f>
        <v>0.85326666666666673</v>
      </c>
      <c r="L103" s="1144">
        <f>1.2799/L101</f>
        <v>0.85326666666666673</v>
      </c>
      <c r="M103" s="1144">
        <f>1.2799/M101</f>
        <v>0.85326666666666673</v>
      </c>
      <c r="N103" s="1144">
        <f>1.2799/N101</f>
        <v>0.85326666666666673</v>
      </c>
    </row>
    <row r="104" spans="1:14">
      <c r="A104" s="3568"/>
      <c r="B104" s="1143">
        <v>3</v>
      </c>
      <c r="C104" s="1144">
        <f>1.1594/C101</f>
        <v>0.77293333333333336</v>
      </c>
      <c r="D104" s="1144">
        <f>1.1594/D101</f>
        <v>0.77293333333333336</v>
      </c>
      <c r="E104" s="1144">
        <f>1.0788/E101</f>
        <v>0.71919999999999995</v>
      </c>
      <c r="F104" s="1144">
        <f>1.0788/F101</f>
        <v>0.71919999999999995</v>
      </c>
      <c r="G104" s="1144">
        <f>1.0788/G101</f>
        <v>0.71919999999999995</v>
      </c>
      <c r="H104" s="1144">
        <f>1.0788/H101</f>
        <v>0.71919999999999995</v>
      </c>
      <c r="I104" s="1144">
        <f>1.0788/I101</f>
        <v>0.71919999999999995</v>
      </c>
      <c r="J104" s="1144">
        <f>1.0072/J101</f>
        <v>0.67146666666666677</v>
      </c>
      <c r="K104" s="1144">
        <f>1.0072/K101</f>
        <v>0.67146666666666677</v>
      </c>
      <c r="L104" s="1144">
        <f>1.0072/L101</f>
        <v>0.67146666666666677</v>
      </c>
      <c r="M104" s="1144">
        <f>1.0072/M101</f>
        <v>0.67146666666666677</v>
      </c>
      <c r="N104" s="1144">
        <f>1.0072/N101</f>
        <v>0.67146666666666677</v>
      </c>
    </row>
    <row r="105" spans="1:14">
      <c r="A105" s="3568"/>
      <c r="B105" s="1143">
        <v>4</v>
      </c>
      <c r="C105" s="1144">
        <f>0.9622/C101</f>
        <v>0.64146666666666674</v>
      </c>
      <c r="D105" s="1144">
        <f>0.9622/D101</f>
        <v>0.64146666666666674</v>
      </c>
      <c r="E105" s="1144">
        <f>0.8656/E101</f>
        <v>0.57706666666666673</v>
      </c>
      <c r="F105" s="1144">
        <f>0.8656/F101</f>
        <v>0.57706666666666673</v>
      </c>
      <c r="G105" s="1144">
        <f>0.8656/G101</f>
        <v>0.57706666666666673</v>
      </c>
      <c r="H105" s="1144">
        <f>0.8656/H101</f>
        <v>0.57706666666666673</v>
      </c>
      <c r="I105" s="1144">
        <f>0.8656/I101</f>
        <v>0.57706666666666673</v>
      </c>
      <c r="J105" s="1144">
        <f>0.7525/J101</f>
        <v>0.50166666666666659</v>
      </c>
      <c r="K105" s="1144">
        <f>0.7525/K101</f>
        <v>0.50166666666666659</v>
      </c>
      <c r="L105" s="1144">
        <f>0.7525/L101</f>
        <v>0.50166666666666659</v>
      </c>
      <c r="M105" s="1144">
        <f>0.7525/M101</f>
        <v>0.50166666666666659</v>
      </c>
      <c r="N105" s="1144">
        <f>0.7525/N101</f>
        <v>0.50166666666666659</v>
      </c>
    </row>
    <row r="106" spans="1:14">
      <c r="A106" s="3568"/>
      <c r="B106" s="1143">
        <v>5</v>
      </c>
      <c r="C106" s="1144">
        <f>0.8417/C101</f>
        <v>0.56113333333333337</v>
      </c>
      <c r="D106" s="1144">
        <f>0.8417/D101</f>
        <v>0.56113333333333337</v>
      </c>
      <c r="E106" s="1144">
        <f>0.7371/E101</f>
        <v>0.4914</v>
      </c>
      <c r="F106" s="1144">
        <f>0.7371/F101</f>
        <v>0.4914</v>
      </c>
      <c r="G106" s="1144">
        <f>0.7371/G101</f>
        <v>0.4914</v>
      </c>
      <c r="H106" s="1144">
        <f>0.7371/H101</f>
        <v>0.4914</v>
      </c>
      <c r="I106" s="1144">
        <f>0.7371/I101</f>
        <v>0.4914</v>
      </c>
      <c r="J106" s="1144">
        <f>0.5659/J101</f>
        <v>0.37726666666666664</v>
      </c>
      <c r="K106" s="1144">
        <f>0.5659/K101</f>
        <v>0.37726666666666664</v>
      </c>
      <c r="L106" s="1144">
        <f>0.5659/L101</f>
        <v>0.37726666666666664</v>
      </c>
      <c r="M106" s="1144">
        <f>0.5659/M101</f>
        <v>0.37726666666666664</v>
      </c>
      <c r="N106" s="1144">
        <f>0.5659/N101</f>
        <v>0.37726666666666664</v>
      </c>
    </row>
    <row r="107" spans="1:14">
      <c r="A107" s="3568"/>
      <c r="B107" s="1143">
        <v>6</v>
      </c>
      <c r="C107" s="1144">
        <f>0.7608/C101</f>
        <v>0.50719999999999998</v>
      </c>
      <c r="D107" s="1144">
        <f>0.7608/D101</f>
        <v>0.50719999999999998</v>
      </c>
      <c r="E107" s="1144">
        <f>0.6482/E101</f>
        <v>0.43213333333333331</v>
      </c>
      <c r="F107" s="1144">
        <f>0.6482/F101</f>
        <v>0.43213333333333331</v>
      </c>
      <c r="G107" s="1144">
        <f>0.6482/G101</f>
        <v>0.43213333333333331</v>
      </c>
      <c r="H107" s="1144">
        <f>0.6482/H101</f>
        <v>0.43213333333333331</v>
      </c>
      <c r="I107" s="1144">
        <f>0.6482/I101</f>
        <v>0.43213333333333331</v>
      </c>
      <c r="J107" s="1144">
        <f>0.4525/J101</f>
        <v>0.30166666666666669</v>
      </c>
      <c r="K107" s="1144">
        <f>0.4525/K101</f>
        <v>0.30166666666666669</v>
      </c>
      <c r="L107" s="1144">
        <f>0.4525/L101</f>
        <v>0.30166666666666669</v>
      </c>
      <c r="M107" s="1144">
        <f>0.4525/M101</f>
        <v>0.30166666666666669</v>
      </c>
      <c r="N107" s="1144">
        <f>0.4525/N101</f>
        <v>0.30166666666666669</v>
      </c>
    </row>
    <row r="108" spans="1:14">
      <c r="A108" s="3568"/>
      <c r="B108" s="3570"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69"/>
      <c r="B109" s="3571"/>
      <c r="C109" s="1146">
        <f>(-0.163*(C108^2)-0.59*C108+7617)*(10^(-4))/C101</f>
        <v>0.5067898666666667</v>
      </c>
      <c r="D109" s="1146">
        <f>(-0.163*(D108^2)-0.59*D108+7617)*(10^(-4))/D101</f>
        <v>0.5067898666666667</v>
      </c>
      <c r="E109" s="1146">
        <f>(-0.161*(E108^2)-7.509*E108+6533)*(10^(-4))/E101</f>
        <v>0.43084159999999999</v>
      </c>
      <c r="F109" s="1146">
        <f>(-0.161*(F108^2)-7.509*F108+6533)*(10^(-4))/F101</f>
        <v>0.43084159999999999</v>
      </c>
      <c r="G109" s="1146">
        <f>(-0.161*(G108^2)-7.509*G108+6533)*(10^(-4))/G101</f>
        <v>0.43084159999999999</v>
      </c>
      <c r="H109" s="1146">
        <f>(-0.161*(H108^2)-7.509*H108+6533)*(10^(-4))/H101</f>
        <v>0.43084159999999999</v>
      </c>
      <c r="I109" s="1146">
        <f>(-0.161*(I108^2)-7.509*I108+6533)*(10^(-4))/I101</f>
        <v>0.43084159999999999</v>
      </c>
      <c r="J109" s="1146">
        <f>(-0.214*(J108^2)-21.991*J108+4665)*(10^(-4))/J101</f>
        <v>0.29835840000000002</v>
      </c>
      <c r="K109" s="1146">
        <f>(-0.214*(K108^2)-21.991*K108+4665)*(10^(-4))/K101</f>
        <v>0.29835840000000002</v>
      </c>
      <c r="L109" s="1146">
        <f>(-0.214*(L108^2)-21.991*L108+4665)*(10^(-4))/L101</f>
        <v>0.29835840000000002</v>
      </c>
      <c r="M109" s="1146">
        <f>(-0.214*(M108^2)-21.991*M108+4665)*(10^(-4))/M101</f>
        <v>0.29835840000000002</v>
      </c>
      <c r="N109" s="1146">
        <f>(-0.214*(N108^2)-21.991*N108+4665)*(10^(-4))/N101</f>
        <v>0.29835840000000002</v>
      </c>
    </row>
    <row r="110" spans="1:14">
      <c r="A110" s="3554" t="s">
        <v>1640</v>
      </c>
      <c r="B110" s="3554"/>
      <c r="C110" s="3554"/>
      <c r="D110" s="3554"/>
      <c r="E110" s="3554"/>
      <c r="F110" s="3554"/>
      <c r="G110" s="3554"/>
      <c r="H110" s="3554"/>
      <c r="I110" s="3554"/>
      <c r="J110" s="3554"/>
      <c r="K110" s="2473"/>
      <c r="L110" s="2473"/>
      <c r="M110" s="2473"/>
      <c r="N110" s="2473"/>
    </row>
    <row r="112" spans="1:14" ht="12.75" thickBot="1"/>
    <row r="113" spans="1:13" ht="25.5" thickBot="1">
      <c r="A113" s="1016" t="s">
        <v>896</v>
      </c>
      <c r="B113" s="2476">
        <f>G3</f>
        <v>1.5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3">I115</f>
        <v>0.66579999999999995</v>
      </c>
      <c r="K115" s="1030">
        <f t="shared" si="33"/>
        <v>0.66579999999999995</v>
      </c>
      <c r="L115" s="1030">
        <f t="shared" si="33"/>
        <v>0.66579999999999995</v>
      </c>
      <c r="M115" s="1031">
        <f t="shared" si="33"/>
        <v>0.66579999999999995</v>
      </c>
    </row>
    <row r="116" spans="1:13" ht="12.75">
      <c r="A116" s="1029" t="s">
        <v>901</v>
      </c>
      <c r="B116" s="1030">
        <f>ROUND(0.949-0.012*B113,4)</f>
        <v>0.93100000000000005</v>
      </c>
      <c r="C116" s="1030">
        <f>B116</f>
        <v>0.93100000000000005</v>
      </c>
      <c r="D116" s="1030">
        <f>ROUND(0.8567-0.013*B113,4)</f>
        <v>0.83720000000000006</v>
      </c>
      <c r="E116" s="1030">
        <f t="shared" ref="E116:H117" si="34">D116</f>
        <v>0.83720000000000006</v>
      </c>
      <c r="F116" s="1030">
        <f t="shared" si="34"/>
        <v>0.83720000000000006</v>
      </c>
      <c r="G116" s="1030">
        <f t="shared" si="34"/>
        <v>0.83720000000000006</v>
      </c>
      <c r="H116" s="1030">
        <f t="shared" si="34"/>
        <v>0.83720000000000006</v>
      </c>
      <c r="I116" s="1030">
        <f>ROUND(0.7694-0.014*B113,4)</f>
        <v>0.74839999999999995</v>
      </c>
      <c r="J116" s="1030">
        <f t="shared" si="33"/>
        <v>0.74839999999999995</v>
      </c>
      <c r="K116" s="1030">
        <f t="shared" si="33"/>
        <v>0.74839999999999995</v>
      </c>
      <c r="L116" s="1030">
        <f t="shared" si="33"/>
        <v>0.74839999999999995</v>
      </c>
      <c r="M116" s="1031">
        <f t="shared" si="33"/>
        <v>0.74839999999999995</v>
      </c>
    </row>
    <row r="117" spans="1:13" ht="12.75">
      <c r="A117" s="1032" t="s">
        <v>902</v>
      </c>
      <c r="B117" s="1030">
        <f>ROUND(0.8808-0.006*B113,4)</f>
        <v>0.87180000000000002</v>
      </c>
      <c r="C117" s="1030">
        <f>B117</f>
        <v>0.87180000000000002</v>
      </c>
      <c r="D117" s="1030">
        <f>ROUND(0.8748-0.008*B113,4)</f>
        <v>0.86280000000000001</v>
      </c>
      <c r="E117" s="1030">
        <f t="shared" si="34"/>
        <v>0.86280000000000001</v>
      </c>
      <c r="F117" s="1030">
        <f t="shared" si="34"/>
        <v>0.86280000000000001</v>
      </c>
      <c r="G117" s="1030">
        <f t="shared" si="34"/>
        <v>0.86280000000000001</v>
      </c>
      <c r="H117" s="1030">
        <f t="shared" si="34"/>
        <v>0.86280000000000001</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5" thickBot="1">
      <c r="A118" s="1033" t="s">
        <v>903</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3"/>
        <v>0.54630000000000001</v>
      </c>
      <c r="K118" s="1034">
        <f t="shared" si="33"/>
        <v>0.54630000000000001</v>
      </c>
      <c r="L118" s="1034">
        <f t="shared" si="33"/>
        <v>0.54630000000000001</v>
      </c>
      <c r="M118" s="1035">
        <f t="shared" si="33"/>
        <v>0.54630000000000001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560" t="s">
        <v>1008</v>
      </c>
      <c r="B18" s="1154" t="s">
        <v>1447</v>
      </c>
      <c r="C18" s="1131" t="s">
        <v>1448</v>
      </c>
      <c r="D18" s="1132"/>
      <c r="E18" s="1154">
        <v>1</v>
      </c>
      <c r="F18" s="1133" t="s">
        <v>1449</v>
      </c>
      <c r="G18" s="1134"/>
      <c r="H18" s="1105"/>
      <c r="I18" s="1105"/>
    </row>
    <row r="19" spans="1:9" s="1599" customFormat="1" ht="19.5" customHeight="1">
      <c r="A19" s="3560"/>
      <c r="B19" s="3560" t="s">
        <v>1450</v>
      </c>
      <c r="C19" s="1131" t="s">
        <v>1451</v>
      </c>
      <c r="D19" s="1132"/>
      <c r="E19" s="1154">
        <v>0.9</v>
      </c>
      <c r="F19" s="1133" t="s">
        <v>1452</v>
      </c>
      <c r="G19" s="1134"/>
      <c r="H19" s="1105"/>
      <c r="I19" s="1105"/>
    </row>
    <row r="20" spans="1:9" s="1599" customFormat="1" ht="19.5" customHeight="1">
      <c r="A20" s="3560"/>
      <c r="B20" s="3560"/>
      <c r="C20" s="1131" t="s">
        <v>1453</v>
      </c>
      <c r="D20" s="1132"/>
      <c r="E20" s="1154">
        <v>1.1000000000000001</v>
      </c>
      <c r="F20" s="1133" t="s">
        <v>1454</v>
      </c>
      <c r="G20" s="1134"/>
      <c r="H20" s="1105"/>
      <c r="I20" s="1105"/>
    </row>
    <row r="21" spans="1:9" s="1599" customFormat="1" ht="19.5" customHeight="1">
      <c r="A21" s="3560"/>
      <c r="B21" s="3560"/>
      <c r="C21" s="1131" t="s">
        <v>1455</v>
      </c>
      <c r="D21" s="1132"/>
      <c r="E21" s="1154">
        <v>0.8</v>
      </c>
      <c r="F21" s="1133" t="s">
        <v>1456</v>
      </c>
      <c r="G21" s="1134"/>
      <c r="H21" s="1105"/>
      <c r="I21" s="1105"/>
    </row>
    <row r="22" spans="1:9" s="1599" customFormat="1" ht="19.5" customHeight="1">
      <c r="A22" s="3560"/>
      <c r="B22" s="3560"/>
      <c r="C22" s="1131" t="s">
        <v>1457</v>
      </c>
      <c r="D22" s="1132"/>
      <c r="E22" s="1154">
        <v>0.5</v>
      </c>
      <c r="F22" s="1133"/>
      <c r="G22" s="1134"/>
      <c r="H22" s="1105"/>
      <c r="I22" s="1105"/>
    </row>
    <row r="23" spans="1:9" s="1599" customFormat="1" ht="19.5" customHeight="1">
      <c r="A23" s="3560" t="s">
        <v>1030</v>
      </c>
      <c r="B23" s="1154" t="s">
        <v>1447</v>
      </c>
      <c r="C23" s="1131" t="s">
        <v>1458</v>
      </c>
      <c r="D23" s="1132"/>
      <c r="E23" s="1154">
        <v>1</v>
      </c>
      <c r="F23" s="1133" t="s">
        <v>1459</v>
      </c>
      <c r="G23" s="1134"/>
      <c r="H23" s="1105"/>
      <c r="I23" s="1105"/>
    </row>
    <row r="24" spans="1:9" s="1599" customFormat="1" ht="19.5" customHeight="1">
      <c r="A24" s="3560"/>
      <c r="B24" s="3560" t="s">
        <v>1450</v>
      </c>
      <c r="C24" s="1131" t="s">
        <v>1460</v>
      </c>
      <c r="D24" s="1132"/>
      <c r="E24" s="1154">
        <v>0.5</v>
      </c>
      <c r="F24" s="1133"/>
      <c r="G24" s="1134"/>
      <c r="H24" s="1105"/>
      <c r="I24" s="1105"/>
    </row>
    <row r="25" spans="1:9" s="1599" customFormat="1" ht="19.5" customHeight="1">
      <c r="A25" s="3560"/>
      <c r="B25" s="3560"/>
      <c r="C25" s="1131" t="s">
        <v>1461</v>
      </c>
      <c r="D25" s="1132"/>
      <c r="E25" s="1154">
        <v>1.1000000000000001</v>
      </c>
      <c r="F25" s="1133"/>
      <c r="G25" s="1134"/>
      <c r="H25" s="1105"/>
      <c r="I25" s="1105"/>
    </row>
    <row r="26" spans="1:9" s="1599" customFormat="1" ht="19.5" customHeight="1">
      <c r="A26" s="3560"/>
      <c r="B26" s="3560"/>
      <c r="C26" s="1131" t="s">
        <v>1462</v>
      </c>
      <c r="D26" s="1132"/>
      <c r="E26" s="1154">
        <v>1.1000000000000001</v>
      </c>
      <c r="F26" s="1133"/>
      <c r="G26" s="1134"/>
      <c r="H26" s="1105"/>
      <c r="I26" s="1105"/>
    </row>
    <row r="27" spans="1:9" s="1599" customFormat="1" ht="19.5" customHeight="1">
      <c r="A27" s="3560"/>
      <c r="B27" s="3560"/>
      <c r="C27" s="1131" t="s">
        <v>1463</v>
      </c>
      <c r="D27" s="1132"/>
      <c r="E27" s="1154">
        <v>0.9</v>
      </c>
      <c r="F27" s="1133" t="s">
        <v>1464</v>
      </c>
      <c r="G27" s="1134"/>
      <c r="H27" s="1105"/>
      <c r="I27" s="1105"/>
    </row>
    <row r="28" spans="1:9" s="1599" customFormat="1" ht="19.5" customHeight="1">
      <c r="A28" s="3560"/>
      <c r="B28" s="3560"/>
      <c r="C28" s="1131" t="s">
        <v>1465</v>
      </c>
      <c r="D28" s="1132"/>
      <c r="E28" s="1154">
        <v>0.9</v>
      </c>
      <c r="F28" s="1133" t="s">
        <v>1466</v>
      </c>
      <c r="G28" s="1134"/>
      <c r="H28" s="1105"/>
      <c r="I28" s="1105"/>
    </row>
    <row r="29" spans="1:9" s="1599" customFormat="1" ht="19.5" customHeight="1">
      <c r="A29" s="3560"/>
      <c r="B29" s="3560"/>
      <c r="C29" s="1131" t="s">
        <v>1467</v>
      </c>
      <c r="D29" s="1132"/>
      <c r="E29" s="1154">
        <v>0.9</v>
      </c>
      <c r="F29" s="1133" t="s">
        <v>1468</v>
      </c>
      <c r="G29" s="1134"/>
      <c r="H29" s="1105"/>
      <c r="I29" s="1105"/>
    </row>
    <row r="30" spans="1:9" s="1599" customFormat="1" ht="19.5" customHeight="1">
      <c r="A30" s="3560"/>
      <c r="B30" s="3560"/>
      <c r="C30" s="1131" t="s">
        <v>1469</v>
      </c>
      <c r="D30" s="1132"/>
      <c r="E30" s="1154">
        <v>0.9</v>
      </c>
      <c r="F30" s="1133" t="s">
        <v>1470</v>
      </c>
      <c r="G30" s="1134"/>
      <c r="H30" s="1105"/>
      <c r="I30" s="1105"/>
    </row>
    <row r="31" spans="1:9" s="1599" customFormat="1" ht="19.5" customHeight="1">
      <c r="A31" s="3560"/>
      <c r="B31" s="3560"/>
      <c r="C31" s="1131" t="s">
        <v>1471</v>
      </c>
      <c r="D31" s="1132"/>
      <c r="E31" s="1154">
        <v>0.8</v>
      </c>
      <c r="F31" s="1133" t="s">
        <v>1472</v>
      </c>
      <c r="G31" s="1134"/>
      <c r="H31" s="1105"/>
      <c r="I31" s="1105"/>
    </row>
    <row r="32" spans="1:9" s="1599" customFormat="1" ht="19.5" customHeight="1">
      <c r="A32" s="3560"/>
      <c r="B32" s="3560"/>
      <c r="C32" s="1131" t="s">
        <v>1473</v>
      </c>
      <c r="D32" s="1132"/>
      <c r="E32" s="1154">
        <v>0.8</v>
      </c>
      <c r="F32" s="1133" t="s">
        <v>1474</v>
      </c>
      <c r="G32" s="1134"/>
      <c r="H32" s="1105"/>
      <c r="I32" s="1105"/>
    </row>
    <row r="33" spans="1:9" s="1599" customFormat="1" ht="19.5" customHeight="1">
      <c r="A33" s="3560" t="s">
        <v>1475</v>
      </c>
      <c r="B33" s="1154" t="s">
        <v>1447</v>
      </c>
      <c r="C33" s="1131" t="s">
        <v>1476</v>
      </c>
      <c r="D33" s="1132"/>
      <c r="E33" s="1154">
        <v>1</v>
      </c>
      <c r="F33" s="1133" t="s">
        <v>1477</v>
      </c>
      <c r="G33" s="1134"/>
      <c r="H33" s="1105"/>
      <c r="I33" s="1105"/>
    </row>
    <row r="34" spans="1:9" s="1599" customFormat="1" ht="19.5" customHeight="1">
      <c r="A34" s="3560"/>
      <c r="B34" s="1154" t="s">
        <v>1450</v>
      </c>
      <c r="C34" s="1131" t="s">
        <v>1478</v>
      </c>
      <c r="D34" s="1132"/>
      <c r="E34" s="1154">
        <v>1.5</v>
      </c>
      <c r="F34" s="1133" t="s">
        <v>1479</v>
      </c>
      <c r="G34" s="1134"/>
      <c r="H34" s="1105"/>
      <c r="I34" s="1105"/>
    </row>
    <row r="35" spans="1:9" s="1599" customFormat="1" ht="19.5" customHeight="1">
      <c r="A35" s="3560" t="s">
        <v>1433</v>
      </c>
      <c r="B35" s="1154" t="s">
        <v>1447</v>
      </c>
      <c r="C35" s="1131" t="s">
        <v>1480</v>
      </c>
      <c r="D35" s="1132"/>
      <c r="E35" s="1154">
        <v>1</v>
      </c>
      <c r="F35" s="1133" t="s">
        <v>1481</v>
      </c>
      <c r="G35" s="1134"/>
      <c r="H35" s="1105"/>
      <c r="I35" s="1105"/>
    </row>
    <row r="36" spans="1:9" s="1599" customFormat="1" ht="19.5" customHeight="1">
      <c r="A36" s="3560"/>
      <c r="B36" s="3560" t="s">
        <v>1450</v>
      </c>
      <c r="C36" s="1131" t="s">
        <v>1482</v>
      </c>
      <c r="D36" s="1132"/>
      <c r="E36" s="1154">
        <v>1</v>
      </c>
      <c r="F36" s="1133" t="s">
        <v>1483</v>
      </c>
      <c r="G36" s="1134"/>
      <c r="H36" s="1105"/>
      <c r="I36" s="1105"/>
    </row>
    <row r="37" spans="1:9" s="1599" customFormat="1" ht="19.5" customHeight="1">
      <c r="A37" s="3560"/>
      <c r="B37" s="3560"/>
      <c r="C37" s="1131" t="s">
        <v>1484</v>
      </c>
      <c r="D37" s="1132"/>
      <c r="E37" s="1154">
        <v>1.5</v>
      </c>
      <c r="F37" s="1133" t="s">
        <v>1485</v>
      </c>
      <c r="G37" s="1134"/>
      <c r="H37" s="1105"/>
      <c r="I37" s="1105"/>
    </row>
    <row r="38" spans="1:9" s="1599" customFormat="1" ht="19.5" customHeight="1">
      <c r="A38" s="3560"/>
      <c r="B38" s="3560"/>
      <c r="C38" s="1131" t="s">
        <v>1486</v>
      </c>
      <c r="D38" s="1132"/>
      <c r="E38" s="1154">
        <v>1</v>
      </c>
      <c r="F38" s="1133" t="s">
        <v>1487</v>
      </c>
      <c r="G38" s="1134"/>
      <c r="H38" s="1105"/>
      <c r="I38" s="1105"/>
    </row>
    <row r="39" spans="1:9" s="1599" customFormat="1" ht="19.5" customHeight="1">
      <c r="A39" s="3560"/>
      <c r="B39" s="3560"/>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560" t="s">
        <v>1502</v>
      </c>
      <c r="C61" s="1068" t="s">
        <v>1503</v>
      </c>
      <c r="D61" s="1068" t="s">
        <v>1504</v>
      </c>
      <c r="E61" s="1139">
        <v>0.5</v>
      </c>
      <c r="F61" s="1154">
        <v>80</v>
      </c>
      <c r="H61" s="1105">
        <f>SUMIF(C59:C119,基准地价!C8,E59:E119)</f>
        <v>0</v>
      </c>
    </row>
    <row r="62" spans="1:8" s="1105" customFormat="1" ht="24">
      <c r="A62" s="1154">
        <v>2</v>
      </c>
      <c r="B62" s="3560"/>
      <c r="C62" s="1068" t="s">
        <v>1505</v>
      </c>
      <c r="D62" s="1068" t="s">
        <v>1506</v>
      </c>
      <c r="E62" s="1139">
        <v>0.5</v>
      </c>
      <c r="F62" s="1154">
        <v>80</v>
      </c>
    </row>
    <row r="63" spans="1:8" s="1105" customFormat="1" ht="36">
      <c r="A63" s="1154">
        <v>3</v>
      </c>
      <c r="B63" s="3560"/>
      <c r="C63" s="1068" t="s">
        <v>1507</v>
      </c>
      <c r="D63" s="1068" t="s">
        <v>1508</v>
      </c>
      <c r="E63" s="1139">
        <v>0.5</v>
      </c>
      <c r="F63" s="1154">
        <v>80</v>
      </c>
    </row>
    <row r="64" spans="1:8" s="1105" customFormat="1" ht="36">
      <c r="A64" s="1154">
        <v>4</v>
      </c>
      <c r="B64" s="3560"/>
      <c r="C64" s="1068" t="s">
        <v>1509</v>
      </c>
      <c r="D64" s="1068" t="s">
        <v>1510</v>
      </c>
      <c r="E64" s="1139">
        <v>0.4</v>
      </c>
      <c r="F64" s="1154">
        <v>60</v>
      </c>
    </row>
    <row r="65" spans="1:6" s="1105" customFormat="1" ht="36">
      <c r="A65" s="1154">
        <v>5</v>
      </c>
      <c r="B65" s="3560"/>
      <c r="C65" s="1068" t="s">
        <v>1511</v>
      </c>
      <c r="D65" s="1068" t="s">
        <v>1512</v>
      </c>
      <c r="E65" s="1139">
        <v>0.2</v>
      </c>
      <c r="F65" s="1154">
        <v>30</v>
      </c>
    </row>
    <row r="66" spans="1:6" s="1105" customFormat="1" ht="36">
      <c r="A66" s="1154">
        <v>6</v>
      </c>
      <c r="B66" s="3560"/>
      <c r="C66" s="1068" t="s">
        <v>1513</v>
      </c>
      <c r="D66" s="1068" t="s">
        <v>1514</v>
      </c>
      <c r="E66" s="1139">
        <v>0.3</v>
      </c>
      <c r="F66" s="1154">
        <v>50</v>
      </c>
    </row>
    <row r="67" spans="1:6" s="1105" customFormat="1" ht="36">
      <c r="A67" s="1154">
        <v>7</v>
      </c>
      <c r="B67" s="3560"/>
      <c r="C67" s="1068" t="s">
        <v>1515</v>
      </c>
      <c r="D67" s="1068" t="s">
        <v>1516</v>
      </c>
      <c r="E67" s="1139">
        <v>0.2</v>
      </c>
      <c r="F67" s="1154">
        <v>30</v>
      </c>
    </row>
    <row r="68" spans="1:6" s="1105" customFormat="1" ht="36">
      <c r="A68" s="1154">
        <v>8</v>
      </c>
      <c r="B68" s="3560"/>
      <c r="C68" s="1068" t="s">
        <v>1517</v>
      </c>
      <c r="D68" s="1068" t="s">
        <v>1518</v>
      </c>
      <c r="E68" s="1139">
        <v>0.2</v>
      </c>
      <c r="F68" s="1154">
        <v>30</v>
      </c>
    </row>
    <row r="69" spans="1:6" s="1105" customFormat="1" ht="36">
      <c r="A69" s="1154">
        <v>9</v>
      </c>
      <c r="B69" s="3560"/>
      <c r="C69" s="1068" t="s">
        <v>1519</v>
      </c>
      <c r="D69" s="1068" t="s">
        <v>1520</v>
      </c>
      <c r="E69" s="1139">
        <v>0.2</v>
      </c>
      <c r="F69" s="1154">
        <v>30</v>
      </c>
    </row>
    <row r="70" spans="1:6" s="1105" customFormat="1" ht="48">
      <c r="A70" s="1154">
        <v>10</v>
      </c>
      <c r="B70" s="3560"/>
      <c r="C70" s="1068" t="s">
        <v>1521</v>
      </c>
      <c r="D70" s="1068" t="s">
        <v>1522</v>
      </c>
      <c r="E70" s="1139">
        <v>0.2</v>
      </c>
      <c r="F70" s="1154">
        <v>30</v>
      </c>
    </row>
    <row r="71" spans="1:6" s="1105" customFormat="1" ht="48">
      <c r="A71" s="1154">
        <v>11</v>
      </c>
      <c r="B71" s="3560"/>
      <c r="C71" s="1068" t="s">
        <v>1523</v>
      </c>
      <c r="D71" s="1068" t="s">
        <v>1524</v>
      </c>
      <c r="E71" s="1139">
        <v>0.2</v>
      </c>
      <c r="F71" s="1154">
        <v>30</v>
      </c>
    </row>
    <row r="72" spans="1:6" s="1105" customFormat="1" ht="36">
      <c r="A72" s="1154">
        <v>12</v>
      </c>
      <c r="B72" s="3560"/>
      <c r="C72" s="1068" t="s">
        <v>1525</v>
      </c>
      <c r="D72" s="1068" t="s">
        <v>1526</v>
      </c>
      <c r="E72" s="1139">
        <v>0.5</v>
      </c>
      <c r="F72" s="1154">
        <v>80</v>
      </c>
    </row>
    <row r="73" spans="1:6" s="1105" customFormat="1" ht="24">
      <c r="A73" s="1154">
        <v>13</v>
      </c>
      <c r="B73" s="3560"/>
      <c r="C73" s="1068" t="s">
        <v>1527</v>
      </c>
      <c r="D73" s="1068" t="s">
        <v>1528</v>
      </c>
      <c r="E73" s="1139">
        <v>0.4</v>
      </c>
      <c r="F73" s="1154">
        <v>60</v>
      </c>
    </row>
    <row r="74" spans="1:6" s="1105" customFormat="1" ht="24">
      <c r="A74" s="1154">
        <v>14</v>
      </c>
      <c r="B74" s="3560"/>
      <c r="C74" s="1068" t="s">
        <v>1529</v>
      </c>
      <c r="D74" s="1068" t="s">
        <v>1530</v>
      </c>
      <c r="E74" s="1139">
        <v>0.2</v>
      </c>
      <c r="F74" s="1154">
        <v>30</v>
      </c>
    </row>
    <row r="75" spans="1:6" s="1105" customFormat="1" ht="24">
      <c r="A75" s="1154">
        <v>15</v>
      </c>
      <c r="B75" s="3560"/>
      <c r="C75" s="1068" t="s">
        <v>1531</v>
      </c>
      <c r="D75" s="1068" t="s">
        <v>1532</v>
      </c>
      <c r="E75" s="1139">
        <v>0.2</v>
      </c>
      <c r="F75" s="1154">
        <v>30</v>
      </c>
    </row>
    <row r="76" spans="1:6" s="1105" customFormat="1" ht="24">
      <c r="A76" s="1154">
        <v>16</v>
      </c>
      <c r="B76" s="3560" t="s">
        <v>1533</v>
      </c>
      <c r="C76" s="1068" t="s">
        <v>1534</v>
      </c>
      <c r="D76" s="1068" t="s">
        <v>1535</v>
      </c>
      <c r="E76" s="1139">
        <v>0.5</v>
      </c>
      <c r="F76" s="1154">
        <v>80</v>
      </c>
    </row>
    <row r="77" spans="1:6" s="1105" customFormat="1" ht="24">
      <c r="A77" s="1154">
        <v>17</v>
      </c>
      <c r="B77" s="3560"/>
      <c r="C77" s="1068" t="s">
        <v>1536</v>
      </c>
      <c r="D77" s="1068" t="s">
        <v>1537</v>
      </c>
      <c r="E77" s="1139">
        <v>0.5</v>
      </c>
      <c r="F77" s="1154">
        <v>80</v>
      </c>
    </row>
    <row r="78" spans="1:6" s="1105" customFormat="1" ht="24">
      <c r="A78" s="1154">
        <v>18</v>
      </c>
      <c r="B78" s="3560"/>
      <c r="C78" s="1068" t="s">
        <v>1538</v>
      </c>
      <c r="D78" s="1068" t="s">
        <v>1539</v>
      </c>
      <c r="E78" s="1139">
        <v>0.2</v>
      </c>
      <c r="F78" s="1154">
        <v>30</v>
      </c>
    </row>
    <row r="79" spans="1:6" s="1105" customFormat="1" ht="24">
      <c r="A79" s="1154">
        <v>19</v>
      </c>
      <c r="B79" s="3560"/>
      <c r="C79" s="1068" t="s">
        <v>1540</v>
      </c>
      <c r="D79" s="1068" t="s">
        <v>1541</v>
      </c>
      <c r="E79" s="1139">
        <v>0.5</v>
      </c>
      <c r="F79" s="1154">
        <v>80</v>
      </c>
    </row>
    <row r="80" spans="1:6" s="1105" customFormat="1" ht="36">
      <c r="A80" s="1154">
        <v>20</v>
      </c>
      <c r="B80" s="3560"/>
      <c r="C80" s="1068" t="s">
        <v>1542</v>
      </c>
      <c r="D80" s="1068" t="s">
        <v>1543</v>
      </c>
      <c r="E80" s="1139">
        <v>0.2</v>
      </c>
      <c r="F80" s="1154">
        <v>30</v>
      </c>
    </row>
    <row r="81" spans="1:6" s="1105" customFormat="1" ht="36">
      <c r="A81" s="1154">
        <v>21</v>
      </c>
      <c r="B81" s="3560"/>
      <c r="C81" s="1068" t="s">
        <v>1544</v>
      </c>
      <c r="D81" s="1068" t="s">
        <v>1545</v>
      </c>
      <c r="E81" s="1139">
        <v>0.2</v>
      </c>
      <c r="F81" s="1154">
        <v>30</v>
      </c>
    </row>
    <row r="82" spans="1:6" s="1105" customFormat="1" ht="48">
      <c r="A82" s="1154">
        <v>22</v>
      </c>
      <c r="B82" s="3560"/>
      <c r="C82" s="1068" t="s">
        <v>1546</v>
      </c>
      <c r="D82" s="1068" t="s">
        <v>1547</v>
      </c>
      <c r="E82" s="1139">
        <v>0.2</v>
      </c>
      <c r="F82" s="1154">
        <v>30</v>
      </c>
    </row>
    <row r="83" spans="1:6" s="1105" customFormat="1" ht="48">
      <c r="A83" s="1154">
        <v>23</v>
      </c>
      <c r="B83" s="3560"/>
      <c r="C83" s="1068" t="s">
        <v>1548</v>
      </c>
      <c r="D83" s="1068" t="s">
        <v>1549</v>
      </c>
      <c r="E83" s="1139">
        <v>0.2</v>
      </c>
      <c r="F83" s="1154">
        <v>30</v>
      </c>
    </row>
    <row r="84" spans="1:6" s="1105" customFormat="1" ht="36">
      <c r="A84" s="1154">
        <v>24</v>
      </c>
      <c r="B84" s="3560"/>
      <c r="C84" s="1068" t="s">
        <v>1550</v>
      </c>
      <c r="D84" s="1068" t="s">
        <v>1551</v>
      </c>
      <c r="E84" s="1139">
        <v>0.2</v>
      </c>
      <c r="F84" s="1154">
        <v>30</v>
      </c>
    </row>
    <row r="85" spans="1:6" s="1105" customFormat="1" ht="36">
      <c r="A85" s="1154">
        <v>25</v>
      </c>
      <c r="B85" s="3560"/>
      <c r="C85" s="1068" t="s">
        <v>1552</v>
      </c>
      <c r="D85" s="1068" t="s">
        <v>1553</v>
      </c>
      <c r="E85" s="1139">
        <v>0.5</v>
      </c>
      <c r="F85" s="1154">
        <v>80</v>
      </c>
    </row>
    <row r="86" spans="1:6" s="1105" customFormat="1" ht="36">
      <c r="A86" s="1154">
        <v>26</v>
      </c>
      <c r="B86" s="3560"/>
      <c r="C86" s="1068" t="s">
        <v>1554</v>
      </c>
      <c r="D86" s="1068" t="s">
        <v>1555</v>
      </c>
      <c r="E86" s="1139">
        <v>0.2</v>
      </c>
      <c r="F86" s="1154">
        <v>30</v>
      </c>
    </row>
    <row r="87" spans="1:6" s="1105" customFormat="1" ht="36">
      <c r="A87" s="1154">
        <v>27</v>
      </c>
      <c r="B87" s="3560"/>
      <c r="C87" s="1068" t="s">
        <v>1556</v>
      </c>
      <c r="D87" s="1068" t="s">
        <v>1557</v>
      </c>
      <c r="E87" s="1139">
        <v>0.2</v>
      </c>
      <c r="F87" s="1154">
        <v>30</v>
      </c>
    </row>
    <row r="88" spans="1:6" s="1105" customFormat="1" ht="36">
      <c r="A88" s="1154">
        <v>28</v>
      </c>
      <c r="B88" s="3560"/>
      <c r="C88" s="1068" t="s">
        <v>1558</v>
      </c>
      <c r="D88" s="1068" t="s">
        <v>1559</v>
      </c>
      <c r="E88" s="1139">
        <v>0.2</v>
      </c>
      <c r="F88" s="1154">
        <v>30</v>
      </c>
    </row>
    <row r="89" spans="1:6" s="1105" customFormat="1" ht="24">
      <c r="A89" s="1154">
        <v>29</v>
      </c>
      <c r="B89" s="3560"/>
      <c r="C89" s="1068" t="s">
        <v>1560</v>
      </c>
      <c r="D89" s="1068" t="s">
        <v>1561</v>
      </c>
      <c r="E89" s="1139">
        <v>0.2</v>
      </c>
      <c r="F89" s="1154">
        <v>30</v>
      </c>
    </row>
    <row r="90" spans="1:6" s="1105" customFormat="1" ht="24">
      <c r="A90" s="1154">
        <v>30</v>
      </c>
      <c r="B90" s="3560"/>
      <c r="C90" s="1068" t="s">
        <v>1562</v>
      </c>
      <c r="D90" s="1068" t="s">
        <v>1563</v>
      </c>
      <c r="E90" s="1139">
        <v>0.2</v>
      </c>
      <c r="F90" s="1154">
        <v>30</v>
      </c>
    </row>
    <row r="91" spans="1:6" s="1105" customFormat="1" ht="36">
      <c r="A91" s="1154">
        <v>31</v>
      </c>
      <c r="B91" s="3560"/>
      <c r="C91" s="1068" t="s">
        <v>1564</v>
      </c>
      <c r="D91" s="1068" t="s">
        <v>1565</v>
      </c>
      <c r="E91" s="1139">
        <v>0.2</v>
      </c>
      <c r="F91" s="1154">
        <v>30</v>
      </c>
    </row>
    <row r="92" spans="1:6" s="1105" customFormat="1" ht="24">
      <c r="A92" s="1154">
        <v>32</v>
      </c>
      <c r="B92" s="3560" t="s">
        <v>1566</v>
      </c>
      <c r="C92" s="1154" t="s">
        <v>1567</v>
      </c>
      <c r="D92" s="1068" t="s">
        <v>1568</v>
      </c>
      <c r="E92" s="1139">
        <v>0.2</v>
      </c>
      <c r="F92" s="1154">
        <v>30</v>
      </c>
    </row>
    <row r="93" spans="1:6" s="1105" customFormat="1" ht="36">
      <c r="A93" s="1154">
        <v>33</v>
      </c>
      <c r="B93" s="3560"/>
      <c r="C93" s="1154" t="s">
        <v>1569</v>
      </c>
      <c r="D93" s="1068" t="s">
        <v>1570</v>
      </c>
      <c r="E93" s="1139">
        <v>0.2</v>
      </c>
      <c r="F93" s="1154">
        <v>30</v>
      </c>
    </row>
    <row r="94" spans="1:6" s="1105" customFormat="1" ht="48">
      <c r="A94" s="1154">
        <v>34</v>
      </c>
      <c r="B94" s="3560"/>
      <c r="C94" s="1154" t="s">
        <v>1571</v>
      </c>
      <c r="D94" s="1068" t="s">
        <v>1572</v>
      </c>
      <c r="E94" s="1139">
        <v>0.2</v>
      </c>
      <c r="F94" s="1154">
        <v>30</v>
      </c>
    </row>
    <row r="95" spans="1:6" s="1105" customFormat="1" ht="36">
      <c r="A95" s="1154">
        <v>35</v>
      </c>
      <c r="B95" s="3560"/>
      <c r="C95" s="1154" t="s">
        <v>1573</v>
      </c>
      <c r="D95" s="1068" t="s">
        <v>1574</v>
      </c>
      <c r="E95" s="1139">
        <v>0.2</v>
      </c>
      <c r="F95" s="1154">
        <v>30</v>
      </c>
    </row>
    <row r="96" spans="1:6" s="1105" customFormat="1" ht="48">
      <c r="A96" s="1154">
        <v>36</v>
      </c>
      <c r="B96" s="3560"/>
      <c r="C96" s="1068" t="s">
        <v>1575</v>
      </c>
      <c r="D96" s="1068" t="s">
        <v>1576</v>
      </c>
      <c r="E96" s="1139">
        <v>0.2</v>
      </c>
      <c r="F96" s="1154">
        <v>30</v>
      </c>
    </row>
    <row r="97" spans="1:6" s="1105" customFormat="1" ht="36">
      <c r="A97" s="1154">
        <v>37</v>
      </c>
      <c r="B97" s="3560"/>
      <c r="C97" s="1154" t="s">
        <v>1577</v>
      </c>
      <c r="D97" s="1068" t="s">
        <v>1578</v>
      </c>
      <c r="E97" s="1139">
        <v>0.2</v>
      </c>
      <c r="F97" s="1154">
        <v>30</v>
      </c>
    </row>
    <row r="98" spans="1:6" s="1105" customFormat="1" ht="36">
      <c r="A98" s="1154">
        <v>38</v>
      </c>
      <c r="B98" s="3560"/>
      <c r="C98" s="1154" t="s">
        <v>1579</v>
      </c>
      <c r="D98" s="1068" t="s">
        <v>1580</v>
      </c>
      <c r="E98" s="1139">
        <v>0.2</v>
      </c>
      <c r="F98" s="1154">
        <v>30</v>
      </c>
    </row>
    <row r="99" spans="1:6" s="1105" customFormat="1" ht="36">
      <c r="A99" s="1154">
        <v>39</v>
      </c>
      <c r="B99" s="3560" t="s">
        <v>1581</v>
      </c>
      <c r="C99" s="1154" t="s">
        <v>1582</v>
      </c>
      <c r="D99" s="1068" t="s">
        <v>1583</v>
      </c>
      <c r="E99" s="1139">
        <v>0.3</v>
      </c>
      <c r="F99" s="1154">
        <v>50</v>
      </c>
    </row>
    <row r="100" spans="1:6" s="1105" customFormat="1" ht="24">
      <c r="A100" s="1154">
        <v>40</v>
      </c>
      <c r="B100" s="3560"/>
      <c r="C100" s="1154" t="s">
        <v>1584</v>
      </c>
      <c r="D100" s="1068" t="s">
        <v>1585</v>
      </c>
      <c r="E100" s="1139">
        <v>0.2</v>
      </c>
      <c r="F100" s="1154">
        <v>30</v>
      </c>
    </row>
    <row r="101" spans="1:6" s="1105" customFormat="1" ht="36">
      <c r="A101" s="1154">
        <v>41</v>
      </c>
      <c r="B101" s="3560"/>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560" t="s">
        <v>1596</v>
      </c>
      <c r="C105" s="1154" t="s">
        <v>1597</v>
      </c>
      <c r="D105" s="1068" t="s">
        <v>1598</v>
      </c>
      <c r="E105" s="1139">
        <v>0.2</v>
      </c>
      <c r="F105" s="1154">
        <v>30</v>
      </c>
    </row>
    <row r="106" spans="1:6" s="1105" customFormat="1" ht="36">
      <c r="A106" s="1154">
        <v>46</v>
      </c>
      <c r="B106" s="3560"/>
      <c r="C106" s="1154" t="s">
        <v>1599</v>
      </c>
      <c r="D106" s="1068" t="s">
        <v>1600</v>
      </c>
      <c r="E106" s="1139">
        <v>0.2</v>
      </c>
      <c r="F106" s="1154">
        <v>30</v>
      </c>
    </row>
    <row r="107" spans="1:6" s="1105" customFormat="1" ht="36">
      <c r="A107" s="1154">
        <v>47</v>
      </c>
      <c r="B107" s="3560" t="s">
        <v>1601</v>
      </c>
      <c r="C107" s="1154" t="s">
        <v>1602</v>
      </c>
      <c r="D107" s="1068" t="s">
        <v>1603</v>
      </c>
      <c r="E107" s="1139">
        <v>0.3</v>
      </c>
      <c r="F107" s="1154">
        <v>50</v>
      </c>
    </row>
    <row r="108" spans="1:6" s="1105" customFormat="1" ht="36">
      <c r="A108" s="1154">
        <v>48</v>
      </c>
      <c r="B108" s="3560"/>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560" t="s">
        <v>1612</v>
      </c>
      <c r="C111" s="1154" t="s">
        <v>1613</v>
      </c>
      <c r="D111" s="1068" t="s">
        <v>1614</v>
      </c>
      <c r="E111" s="1139">
        <v>0.2</v>
      </c>
      <c r="F111" s="1154">
        <v>30</v>
      </c>
    </row>
    <row r="112" spans="1:6" s="1105" customFormat="1" ht="24">
      <c r="A112" s="1154">
        <v>52</v>
      </c>
      <c r="B112" s="3560"/>
      <c r="C112" s="1154" t="s">
        <v>1615</v>
      </c>
      <c r="D112" s="1068" t="s">
        <v>1616</v>
      </c>
      <c r="E112" s="1139">
        <v>0.2</v>
      </c>
      <c r="F112" s="1154">
        <v>30</v>
      </c>
    </row>
    <row r="113" spans="1:14" s="1105" customFormat="1" ht="24">
      <c r="A113" s="1154">
        <v>53</v>
      </c>
      <c r="B113" s="3560"/>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560" t="s">
        <v>1625</v>
      </c>
      <c r="C116" s="1154" t="s">
        <v>1626</v>
      </c>
      <c r="D116" s="1068" t="s">
        <v>1627</v>
      </c>
      <c r="E116" s="1139">
        <v>0.2</v>
      </c>
      <c r="F116" s="1154">
        <v>30</v>
      </c>
    </row>
    <row r="117" spans="1:14" ht="36">
      <c r="A117" s="1154">
        <v>57</v>
      </c>
      <c r="B117" s="3560"/>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559" t="s">
        <v>1634</v>
      </c>
      <c r="B121" s="3559"/>
      <c r="C121" s="3559"/>
      <c r="D121" s="3559"/>
      <c r="E121" s="3559"/>
      <c r="F121" s="3559"/>
      <c r="G121" s="3559"/>
      <c r="H121" s="3559"/>
      <c r="I121" s="3559"/>
      <c r="J121" s="3559"/>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72" t="s">
        <v>1040</v>
      </c>
      <c r="B1" s="3572"/>
      <c r="C1" s="3572"/>
      <c r="D1" s="3572"/>
      <c r="E1" s="3572"/>
      <c r="F1" s="3572"/>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573" t="s">
        <v>1053</v>
      </c>
      <c r="B2" s="3573"/>
      <c r="C2" s="3573"/>
      <c r="D2" s="3573"/>
      <c r="E2" s="3573"/>
      <c r="F2" s="3573"/>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574"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575"/>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576" t="s">
        <v>2082</v>
      </c>
      <c r="B1" s="3576"/>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76242平方米。根据《建设工程规划许可证》[]、《出让合同》[]，估价对象规划建筑面积为114363平方米。</v>
      </c>
    </row>
    <row r="7" spans="1:4" ht="56.25">
      <c r="A7" s="1796" t="s">
        <v>2750</v>
      </c>
    </row>
    <row r="8" spans="1:4" ht="18.75">
      <c r="A8" s="1795" t="s">
        <v>1907</v>
      </c>
    </row>
    <row r="9" spans="1:4" ht="75">
      <c r="A9" s="1797" t="str">
        <f>IF(项目基本情况!B8="抵押",IF(项目基本情况!B5=项目基本情况!B6,定义!C51,定义!B51),定义!D51)</f>
        <v>委托估价方在向金融机构（中诚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2017年11月13日（评估专业人员勘察现场之日）</v>
      </c>
    </row>
    <row r="12" spans="1:4" ht="18.75">
      <c r="A12" s="1798" t="s">
        <v>2028</v>
      </c>
    </row>
    <row r="13" spans="1:4" ht="18.75">
      <c r="A13" s="1792" t="s">
        <v>2938</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根据《国有土地使用证》[]，估价对象（分摊）出让国有建设用地使用权面积为76242平方米。根据《建设工程规划许可证》[]、《出让合同》[]，估价对象规划建筑面积为114363平方米。</v>
      </c>
    </row>
    <row r="21" spans="1:1" ht="18.75">
      <c r="A21" s="1792" t="s">
        <v>2077</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本次估价对象为出让国有建设用地使用权，《国有土地使用证》[]证载土地终止日期为住宅2083年10月18日、商业2053年10月18日。截至估价期日，出让国有建设用地使用权剩余土地使用年限为。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2017年11月13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 sqref="I3:L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2947</v>
      </c>
      <c r="B1" s="3136"/>
      <c r="C1" s="3136"/>
      <c r="D1" s="3136"/>
      <c r="E1" s="3136"/>
      <c r="F1" s="3136"/>
    </row>
    <row r="2" spans="1:6" ht="14.25">
      <c r="A2" s="3137" t="s">
        <v>2941</v>
      </c>
      <c r="B2" s="3138" t="e">
        <f ca="1">SUMIF(B7:B14,"&lt;&gt;#ref!",B7:B14)</f>
        <v>#DIV/0!</v>
      </c>
      <c r="C2" s="3137" t="s">
        <v>2942</v>
      </c>
      <c r="D2" s="3136"/>
      <c r="E2" s="3136"/>
      <c r="F2" s="3136"/>
    </row>
    <row r="3" spans="1:6" ht="14.25">
      <c r="A3" s="3137" t="s">
        <v>2944</v>
      </c>
      <c r="B3" s="3138" t="e">
        <f ca="1">ROUND(B2*10000/E3,0)</f>
        <v>#DIV/0!</v>
      </c>
      <c r="C3" s="3137" t="s">
        <v>2081</v>
      </c>
      <c r="D3" s="3137" t="s">
        <v>2943</v>
      </c>
      <c r="E3" s="3138" t="e">
        <f ca="1">SUM(E7:E14)</f>
        <v>#REF!</v>
      </c>
      <c r="F3" s="3136"/>
    </row>
    <row r="4" spans="1:6" ht="14.25">
      <c r="A4" s="3137" t="s">
        <v>2951</v>
      </c>
      <c r="B4" s="3138" t="e">
        <f ca="1">ROUND(B2*10000/E4,0)</f>
        <v>#DIV/0!</v>
      </c>
      <c r="C4" s="3137" t="s">
        <v>2081</v>
      </c>
      <c r="D4" s="3137" t="s">
        <v>2952</v>
      </c>
      <c r="E4" s="3138" t="e">
        <f ca="1">SUM(F7:F14)</f>
        <v>#REF!</v>
      </c>
      <c r="F4" s="3136"/>
    </row>
    <row r="5" spans="1:6" ht="14.25">
      <c r="A5" s="3139"/>
      <c r="B5" s="1882"/>
      <c r="C5" s="1882"/>
      <c r="D5" s="1882"/>
      <c r="E5" s="1882"/>
      <c r="F5" s="3136"/>
    </row>
    <row r="6" spans="1:6" ht="28.5">
      <c r="A6" s="3140" t="s">
        <v>2948</v>
      </c>
      <c r="B6" s="3137" t="s">
        <v>2945</v>
      </c>
      <c r="C6" s="3138"/>
      <c r="D6" s="1882"/>
      <c r="E6" s="3137" t="s">
        <v>2946</v>
      </c>
      <c r="F6" s="3137" t="s">
        <v>2950</v>
      </c>
    </row>
    <row r="7" spans="1:6" ht="14.25">
      <c r="A7" s="260" t="s">
        <v>2949</v>
      </c>
      <c r="B7" s="3141" t="e">
        <f ca="1">SUMIF(INDIRECT("'"&amp;A7&amp;"'"&amp;"!A:A"),"总价",INDIRECT("'"&amp;A7&amp;"'"&amp;"!B:B"))</f>
        <v>#DIV/0!</v>
      </c>
      <c r="C7" s="3137" t="s">
        <v>2942</v>
      </c>
      <c r="D7" s="1882"/>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2942</v>
      </c>
      <c r="D8" s="1882"/>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2942</v>
      </c>
      <c r="D9" s="1882"/>
      <c r="E9" s="3142" t="e">
        <f t="shared" ca="1" si="1"/>
        <v>#REF!</v>
      </c>
      <c r="F9" s="3142" t="e">
        <f t="shared" ca="1" si="2"/>
        <v>#REF!</v>
      </c>
    </row>
    <row r="10" spans="1:6" ht="14.25">
      <c r="A10" s="260"/>
      <c r="B10" s="3141" t="e">
        <f t="shared" ca="1" si="0"/>
        <v>#REF!</v>
      </c>
      <c r="C10" s="3137" t="s">
        <v>2942</v>
      </c>
      <c r="D10" s="1882"/>
      <c r="E10" s="3142" t="e">
        <f t="shared" ca="1" si="1"/>
        <v>#REF!</v>
      </c>
      <c r="F10" s="3142" t="e">
        <f t="shared" ca="1" si="2"/>
        <v>#REF!</v>
      </c>
    </row>
    <row r="11" spans="1:6" ht="14.25">
      <c r="A11" s="260"/>
      <c r="B11" s="3141" t="e">
        <f t="shared" ca="1" si="0"/>
        <v>#REF!</v>
      </c>
      <c r="C11" s="3137" t="s">
        <v>2942</v>
      </c>
      <c r="D11" s="1882"/>
      <c r="E11" s="3142" t="e">
        <f t="shared" ca="1" si="1"/>
        <v>#REF!</v>
      </c>
      <c r="F11" s="3142" t="e">
        <f t="shared" ca="1" si="2"/>
        <v>#REF!</v>
      </c>
    </row>
    <row r="12" spans="1:6" ht="14.25">
      <c r="A12" s="260"/>
      <c r="B12" s="3141" t="e">
        <f t="shared" ca="1" si="0"/>
        <v>#REF!</v>
      </c>
      <c r="C12" s="3137" t="s">
        <v>2942</v>
      </c>
      <c r="D12" s="1882"/>
      <c r="E12" s="3142" t="e">
        <f t="shared" ca="1" si="1"/>
        <v>#REF!</v>
      </c>
      <c r="F12" s="3142" t="e">
        <f t="shared" ca="1" si="2"/>
        <v>#REF!</v>
      </c>
    </row>
    <row r="13" spans="1:6" ht="14.25">
      <c r="A13" s="260"/>
      <c r="B13" s="3141" t="e">
        <f t="shared" ca="1" si="0"/>
        <v>#REF!</v>
      </c>
      <c r="C13" s="3137" t="s">
        <v>2942</v>
      </c>
      <c r="D13" s="1882"/>
      <c r="E13" s="3142" t="e">
        <f t="shared" ca="1" si="1"/>
        <v>#REF!</v>
      </c>
      <c r="F13" s="3142" t="e">
        <f t="shared" ca="1" si="2"/>
        <v>#REF!</v>
      </c>
    </row>
    <row r="14" spans="1:6" ht="14.25">
      <c r="A14" s="3135"/>
      <c r="B14" s="3141" t="e">
        <f t="shared" ca="1" si="0"/>
        <v>#REF!</v>
      </c>
      <c r="C14" s="3137" t="s">
        <v>2942</v>
      </c>
      <c r="D14" s="1882"/>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I3" sqref="I3:L5"/>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4" t="s">
        <v>629</v>
      </c>
      <c r="B1" s="740"/>
      <c r="C1" s="775"/>
      <c r="D1" s="2051"/>
      <c r="E1" s="2412" t="s">
        <v>2374</v>
      </c>
      <c r="F1" s="2413">
        <f ca="1">J54</f>
        <v>0</v>
      </c>
      <c r="G1" s="776">
        <f>MATCH(C1,'数据-取费表'!A6:A16,0)+5</f>
        <v>10</v>
      </c>
      <c r="H1" s="1350"/>
      <c r="I1" s="2052"/>
      <c r="J1" s="2052"/>
      <c r="K1" s="2053"/>
      <c r="L1" s="2052"/>
      <c r="M1" s="2052"/>
      <c r="N1" s="2054"/>
      <c r="O1" s="2054"/>
      <c r="P1" s="2054"/>
      <c r="Q1" s="2054"/>
      <c r="R1" s="2054"/>
      <c r="S1" s="2054"/>
      <c r="T1" s="2054"/>
      <c r="U1" s="2054"/>
      <c r="V1" s="2054"/>
      <c r="W1" s="2054"/>
      <c r="X1" s="2054"/>
      <c r="Y1" s="2054"/>
    </row>
    <row r="2" spans="1:25" ht="18" customHeight="1">
      <c r="A2" s="1644" t="s">
        <v>630</v>
      </c>
      <c r="B2" s="777">
        <f ca="1">IF(ISERROR(C45+J31),0,C45+J31)</f>
        <v>0</v>
      </c>
      <c r="C2" s="1351"/>
      <c r="D2" s="2056"/>
      <c r="E2" s="2057"/>
      <c r="F2" s="2057"/>
      <c r="G2" s="1590"/>
      <c r="H2" s="1363"/>
      <c r="I2" s="2058"/>
      <c r="J2" s="2058"/>
      <c r="K2" s="2059"/>
      <c r="L2" s="2058"/>
      <c r="M2" s="2058"/>
    </row>
    <row r="3" spans="1:25" ht="18" customHeight="1">
      <c r="A3" s="1645" t="s">
        <v>1687</v>
      </c>
      <c r="B3" s="1391">
        <f ca="1">ROUND(B2*10000/'数据-汇总表'!E3,0)</f>
        <v>0</v>
      </c>
      <c r="C3" s="1351"/>
      <c r="D3" s="2056"/>
      <c r="E3" s="2057"/>
      <c r="F3" s="2057"/>
      <c r="G3" s="1590"/>
      <c r="H3" s="778" t="s">
        <v>696</v>
      </c>
      <c r="I3" s="2058"/>
      <c r="J3" s="2058"/>
      <c r="K3" s="2059"/>
      <c r="L3" s="2058"/>
      <c r="M3" s="2058"/>
    </row>
    <row r="4" spans="1:25" ht="18" customHeight="1">
      <c r="A4" s="1646" t="s">
        <v>697</v>
      </c>
      <c r="B4" s="1352">
        <f ca="1">ROUND(B2*10000/'数据-汇总表'!D3,0)</f>
        <v>0</v>
      </c>
      <c r="C4" s="431"/>
      <c r="D4" s="2056"/>
      <c r="E4" s="2057"/>
      <c r="F4" s="2057"/>
      <c r="G4" s="1590"/>
      <c r="H4" s="778"/>
      <c r="I4" s="2058"/>
      <c r="J4" s="2058"/>
      <c r="K4" s="2059"/>
      <c r="L4" s="2058"/>
      <c r="M4" s="2058"/>
    </row>
    <row r="5" spans="1:25" ht="18" customHeight="1" thickBot="1">
      <c r="A5" s="1647"/>
      <c r="B5" s="433">
        <f ca="1">ROUND(B2/('数据-汇总表'!D3/666.67),0)</f>
        <v>0</v>
      </c>
      <c r="C5" s="434" t="s">
        <v>698</v>
      </c>
      <c r="D5" s="2056"/>
      <c r="E5" s="2057"/>
      <c r="F5" s="2057"/>
      <c r="G5" s="1590"/>
      <c r="H5" s="778"/>
      <c r="I5" s="2058"/>
      <c r="J5" s="2058"/>
      <c r="K5" s="2059"/>
      <c r="L5" s="2058"/>
      <c r="M5" s="2058"/>
    </row>
    <row r="6" spans="1:25" ht="18" customHeight="1">
      <c r="A6" s="1829" t="s">
        <v>699</v>
      </c>
      <c r="B6" s="1821" t="s">
        <v>700</v>
      </c>
      <c r="C6" s="1821" t="s">
        <v>633</v>
      </c>
      <c r="D6" s="1821" t="s">
        <v>634</v>
      </c>
      <c r="E6" s="781" t="s">
        <v>635</v>
      </c>
      <c r="F6" s="782"/>
      <c r="G6" s="1592"/>
      <c r="H6" s="1829" t="s">
        <v>631</v>
      </c>
      <c r="I6" s="1821" t="s">
        <v>632</v>
      </c>
      <c r="J6" s="1821" t="s">
        <v>633</v>
      </c>
      <c r="K6" s="1821" t="s">
        <v>634</v>
      </c>
      <c r="L6" s="781" t="s">
        <v>635</v>
      </c>
      <c r="M6" s="782"/>
    </row>
    <row r="7" spans="1:25" ht="18" customHeight="1">
      <c r="A7" s="783">
        <v>1</v>
      </c>
      <c r="B7" s="784" t="s">
        <v>2459</v>
      </c>
      <c r="C7" s="53">
        <f ca="1">C8+C12+C14</f>
        <v>0</v>
      </c>
      <c r="D7" s="2521" t="s">
        <v>2462</v>
      </c>
      <c r="E7" s="2515"/>
      <c r="F7" s="2516"/>
      <c r="G7" s="1592"/>
      <c r="H7" s="783">
        <v>1</v>
      </c>
      <c r="I7" s="784" t="s">
        <v>2459</v>
      </c>
      <c r="J7" s="53">
        <f ca="1">J8+J12+J14</f>
        <v>0</v>
      </c>
      <c r="K7" s="2521" t="s">
        <v>2462</v>
      </c>
      <c r="L7" s="2515"/>
      <c r="M7" s="2516"/>
    </row>
    <row r="8" spans="1:25" ht="18" customHeight="1">
      <c r="A8" s="1831" t="s">
        <v>1825</v>
      </c>
      <c r="B8" s="3578" t="s">
        <v>2464</v>
      </c>
      <c r="C8" s="1826">
        <f ca="1">ROUND(F8*F10*F9*(1-F11)/10000,0)</f>
        <v>0</v>
      </c>
      <c r="D8" s="1823" t="s">
        <v>2536</v>
      </c>
      <c r="E8" s="61" t="s">
        <v>638</v>
      </c>
      <c r="F8" s="787">
        <f ca="1">INDIRECT("'数据-取费表'!u"&amp;$G$1)</f>
        <v>0</v>
      </c>
      <c r="G8" s="1592"/>
      <c r="H8" s="2529" t="s">
        <v>1825</v>
      </c>
      <c r="I8" s="3578" t="s">
        <v>2464</v>
      </c>
      <c r="J8" s="785">
        <f ca="1">ROUND(M8*M10*M9*(1-M11)/10000,0)</f>
        <v>0</v>
      </c>
      <c r="K8" s="344" t="s">
        <v>2536</v>
      </c>
      <c r="L8" s="786" t="s">
        <v>1739</v>
      </c>
      <c r="M8" s="787">
        <f ca="1">INDIRECT("'数据-取费表'!z"&amp;$G$1)</f>
        <v>0</v>
      </c>
    </row>
    <row r="9" spans="1:25" ht="18" customHeight="1">
      <c r="A9" s="2525"/>
      <c r="B9" s="3579"/>
      <c r="C9" s="1827"/>
      <c r="D9" s="1824"/>
      <c r="E9" s="61" t="s">
        <v>639</v>
      </c>
      <c r="F9" s="787">
        <f ca="1">IF(INDIRECT("'数据-取费表'!ah"&amp;$G$1)="",INDIRECT("'数据-取费表'!k"&amp;$G$1),INDIRECT("'数据-取费表'!ah"&amp;$G$1))</f>
        <v>0</v>
      </c>
      <c r="G9" s="1592"/>
      <c r="H9" s="2514"/>
      <c r="I9" s="3579"/>
      <c r="J9" s="790"/>
      <c r="K9" s="791"/>
      <c r="L9" s="786" t="s">
        <v>1740</v>
      </c>
      <c r="M9" s="787">
        <f ca="1">F9</f>
        <v>0</v>
      </c>
    </row>
    <row r="10" spans="1:25" ht="18" customHeight="1">
      <c r="A10" s="2518"/>
      <c r="B10" s="3580"/>
      <c r="C10" s="1827"/>
      <c r="D10" s="1824"/>
      <c r="E10" s="61" t="s">
        <v>640</v>
      </c>
      <c r="F10" s="787">
        <f ca="1">INDIRECT("'数据-取费表'!ai"&amp;$G$1)</f>
        <v>0</v>
      </c>
      <c r="G10" s="1592"/>
      <c r="H10" s="2514"/>
      <c r="I10" s="3580"/>
      <c r="J10" s="790"/>
      <c r="K10" s="791"/>
      <c r="L10" s="786" t="s">
        <v>1741</v>
      </c>
      <c r="M10" s="787">
        <f ca="1">INDIRECT("'数据-取费表'!ai"&amp;$G$1)</f>
        <v>0</v>
      </c>
    </row>
    <row r="11" spans="1:25" ht="18" customHeight="1">
      <c r="A11" s="788"/>
      <c r="B11" s="3581"/>
      <c r="C11" s="1827"/>
      <c r="D11" s="1824"/>
      <c r="E11" s="61" t="s">
        <v>641</v>
      </c>
      <c r="F11" s="796">
        <f ca="1">INDIRECT("'数据-取费表'!w"&amp;$G$1)</f>
        <v>0</v>
      </c>
      <c r="G11" s="1592"/>
      <c r="H11" s="2530"/>
      <c r="I11" s="3580"/>
      <c r="J11" s="790"/>
      <c r="K11" s="791"/>
      <c r="L11" s="797" t="s">
        <v>1742</v>
      </c>
      <c r="M11" s="798">
        <f ca="1">INDIRECT("'数据-取费表'!ab"&amp;$G$1)</f>
        <v>0</v>
      </c>
    </row>
    <row r="12" spans="1:25" ht="18" customHeight="1">
      <c r="A12" s="1831" t="s">
        <v>1826</v>
      </c>
      <c r="B12" s="2519" t="s">
        <v>2460</v>
      </c>
      <c r="C12" s="801">
        <f ca="1">ROUND(IF(F12="押一",F8*F10*F9/12*F13,IF(F12="押二",F8*F10*F9/12*2*F13,IF(F12="押三",F8*F10*F9/12*3*F13,C13*F13)))/10000,0)</f>
        <v>0</v>
      </c>
      <c r="D12" s="2526" t="s">
        <v>2467</v>
      </c>
      <c r="E12" s="2523" t="s">
        <v>2465</v>
      </c>
      <c r="F12" s="2646"/>
      <c r="G12" s="1592"/>
      <c r="H12" s="2586" t="s">
        <v>1826</v>
      </c>
      <c r="I12" s="2591" t="s">
        <v>2460</v>
      </c>
      <c r="J12" s="785">
        <f ca="1">ROUND(IF(M12="押一",M8*M10*M9/12*M13,IF(M12="押二",M8*M10*M9/12*2*M13,IF(M12="押三",M8*M10*M9/12*3*M13,J13*M13)))/10000,0)</f>
        <v>0</v>
      </c>
      <c r="K12" s="2526" t="s">
        <v>2467</v>
      </c>
      <c r="L12" s="2523" t="s">
        <v>2465</v>
      </c>
      <c r="M12" s="2646"/>
    </row>
    <row r="13" spans="1:25" ht="18" customHeight="1">
      <c r="A13" s="792"/>
      <c r="B13" s="2520" t="s">
        <v>2575</v>
      </c>
      <c r="C13" s="2524"/>
      <c r="D13" s="791"/>
      <c r="E13" s="2523" t="s">
        <v>2457</v>
      </c>
      <c r="F13" s="798">
        <f ca="1">'数据-取费表'!B39</f>
        <v>1.4999999999999999E-2</v>
      </c>
      <c r="G13" s="1592"/>
      <c r="H13" s="2587"/>
      <c r="I13" s="2520" t="s">
        <v>2575</v>
      </c>
      <c r="J13" s="2524"/>
      <c r="K13" s="2588"/>
      <c r="L13" s="2523" t="s">
        <v>2457</v>
      </c>
      <c r="M13" s="2517">
        <f ca="1">'数据-取费表'!B39</f>
        <v>1.4999999999999999E-2</v>
      </c>
    </row>
    <row r="14" spans="1:25" ht="18" customHeight="1" thickBot="1">
      <c r="A14" s="2562" t="s">
        <v>2469</v>
      </c>
      <c r="B14" s="2563" t="s">
        <v>2461</v>
      </c>
      <c r="C14" s="2564"/>
      <c r="D14" s="2565"/>
      <c r="E14" s="2566"/>
      <c r="F14" s="2567"/>
      <c r="G14" s="1592"/>
      <c r="H14" s="2576" t="s">
        <v>2469</v>
      </c>
      <c r="I14" s="2589" t="s">
        <v>2461</v>
      </c>
      <c r="J14" s="2590"/>
      <c r="K14" s="2565"/>
      <c r="L14" s="2566"/>
      <c r="M14" s="2579"/>
    </row>
    <row r="15" spans="1:25" ht="18" customHeight="1" thickTop="1">
      <c r="A15" s="1830" t="s">
        <v>1875</v>
      </c>
      <c r="B15" s="1828" t="s">
        <v>642</v>
      </c>
      <c r="C15" s="794">
        <f ca="1">ROUND(C31*F15,0)</f>
        <v>0</v>
      </c>
      <c r="D15" s="1835" t="s">
        <v>643</v>
      </c>
      <c r="E15" s="797" t="s">
        <v>644</v>
      </c>
      <c r="F15" s="802">
        <f ca="1">INDIRECT("'数据-取费表'!y"&amp;$G$1)</f>
        <v>0</v>
      </c>
      <c r="G15" s="1592"/>
      <c r="H15" s="1830" t="s">
        <v>1827</v>
      </c>
      <c r="I15" s="1828" t="s">
        <v>645</v>
      </c>
      <c r="J15" s="1820">
        <f ca="1">ROUND(J16*J17,0)</f>
        <v>0</v>
      </c>
      <c r="K15" s="1822" t="s">
        <v>643</v>
      </c>
      <c r="L15" s="803"/>
      <c r="M15" s="804"/>
    </row>
    <row r="16" spans="1:25" ht="18" customHeight="1">
      <c r="A16" s="805" t="s">
        <v>1876</v>
      </c>
      <c r="B16" s="786" t="s">
        <v>646</v>
      </c>
      <c r="C16" s="806">
        <f ca="1">INDIRECT("'数据-取费表'!m"&amp;$G$1)+INDIRECT("'数据-取费表'!t"&amp;$G$1)</f>
        <v>0</v>
      </c>
      <c r="D16" s="1980" t="s">
        <v>647</v>
      </c>
      <c r="E16" s="1981"/>
      <c r="F16" s="807"/>
      <c r="G16" s="1592"/>
      <c r="H16" s="805" t="s">
        <v>2072</v>
      </c>
      <c r="I16" s="2232" t="s">
        <v>2828</v>
      </c>
      <c r="J16" s="53">
        <f ca="1">C31</f>
        <v>0</v>
      </c>
      <c r="K16" s="26"/>
      <c r="L16" s="803"/>
      <c r="M16" s="804"/>
    </row>
    <row r="17" spans="1:25" s="2065" customFormat="1" ht="18" customHeight="1">
      <c r="A17" s="805" t="s">
        <v>1850</v>
      </c>
      <c r="B17" s="786" t="s">
        <v>648</v>
      </c>
      <c r="C17" s="53">
        <f ca="1">ROUND(C16*F17,0)</f>
        <v>0</v>
      </c>
      <c r="D17" s="808" t="s">
        <v>649</v>
      </c>
      <c r="E17" s="808" t="s">
        <v>650</v>
      </c>
      <c r="F17" s="809">
        <f>'数据-取费表'!B33</f>
        <v>0.05</v>
      </c>
      <c r="G17" s="1593"/>
      <c r="H17" s="805" t="s">
        <v>2073</v>
      </c>
      <c r="I17" s="786" t="s">
        <v>644</v>
      </c>
      <c r="J17" s="810">
        <f ca="1">INDIRECT("'数据-取费表'!ad"&amp;$G$1)</f>
        <v>0</v>
      </c>
      <c r="K17" s="26"/>
      <c r="L17" s="803"/>
      <c r="M17" s="804"/>
      <c r="N17" s="2064"/>
      <c r="O17" s="2064"/>
      <c r="P17" s="2064"/>
      <c r="Q17" s="2064"/>
      <c r="R17" s="2064"/>
      <c r="S17" s="2064"/>
      <c r="T17" s="2064"/>
      <c r="U17" s="2064"/>
      <c r="V17" s="2064"/>
      <c r="W17" s="2064"/>
      <c r="X17" s="2064"/>
      <c r="Y17" s="2064"/>
    </row>
    <row r="18" spans="1:25" ht="18" customHeight="1">
      <c r="A18" s="805" t="s">
        <v>1851</v>
      </c>
      <c r="B18" s="786" t="s">
        <v>651</v>
      </c>
      <c r="C18" s="53">
        <f ca="1">ROUND(INDIRECT("'数据-取费表'!m"&amp;$G$1)*F18,0)</f>
        <v>0</v>
      </c>
      <c r="D18" s="786" t="s">
        <v>649</v>
      </c>
      <c r="E18" s="786" t="s">
        <v>650</v>
      </c>
      <c r="F18" s="811">
        <f ca="1">IF(INDIRECT("'数据-取费表'!c"&amp;$G$1)="住宅",'数据-取费表'!B34,0)</f>
        <v>0</v>
      </c>
      <c r="G18" s="1592"/>
      <c r="H18" s="799" t="s">
        <v>1828</v>
      </c>
      <c r="I18" s="800" t="s">
        <v>652</v>
      </c>
      <c r="J18" s="801">
        <f ca="1">ROUND(J19+J24+J25+J26,0)</f>
        <v>0</v>
      </c>
      <c r="K18" s="26" t="s">
        <v>653</v>
      </c>
      <c r="L18" s="1983"/>
      <c r="M18" s="56"/>
    </row>
    <row r="19" spans="1:25" s="2065" customFormat="1" ht="18" customHeight="1">
      <c r="A19" s="805" t="s">
        <v>1852</v>
      </c>
      <c r="B19" s="786" t="s">
        <v>654</v>
      </c>
      <c r="C19" s="53">
        <f ca="1">ROUND(F19*(INDIRECT("'数据-取费表'!k"&amp;$G$1)+INDIRECT("'数据-取费表'!S"&amp;$G$1))/10000,0)</f>
        <v>0</v>
      </c>
      <c r="D19" s="786" t="s">
        <v>655</v>
      </c>
      <c r="E19" s="786" t="s">
        <v>656</v>
      </c>
      <c r="F19" s="56">
        <f>'数据-取费表'!B35</f>
        <v>400</v>
      </c>
      <c r="G19" s="1593"/>
      <c r="H19" s="805" t="s">
        <v>2072</v>
      </c>
      <c r="I19" s="786" t="s">
        <v>657</v>
      </c>
      <c r="J19" s="53">
        <f ca="1">ROUND(IF(项目基本情况!B11="自然人",J7*M19,J20+J21+J22),0)</f>
        <v>0</v>
      </c>
      <c r="K19" s="1980" t="s">
        <v>658</v>
      </c>
      <c r="L19" s="1978" t="s">
        <v>659</v>
      </c>
      <c r="M19" s="812"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5" t="s">
        <v>1853</v>
      </c>
      <c r="B20" s="786" t="s">
        <v>660</v>
      </c>
      <c r="C20" s="53">
        <f ca="1">ROUND(C16*F20,0)</f>
        <v>0</v>
      </c>
      <c r="D20" s="786" t="s">
        <v>649</v>
      </c>
      <c r="E20" s="786" t="s">
        <v>650</v>
      </c>
      <c r="F20" s="811">
        <f>'数据-取费表'!B36</f>
        <v>1.4999999999999999E-2</v>
      </c>
      <c r="G20" s="1593"/>
      <c r="H20" s="805" t="s">
        <v>1832</v>
      </c>
      <c r="I20" s="786" t="s">
        <v>661</v>
      </c>
      <c r="J20" s="53">
        <f ca="1">ROUND(J7*M20/1.05,1)</f>
        <v>0</v>
      </c>
      <c r="K20" s="1978" t="s">
        <v>662</v>
      </c>
      <c r="L20" s="786" t="s">
        <v>650</v>
      </c>
      <c r="M20" s="811">
        <f>'数据-取费表'!B41</f>
        <v>5.6000000000000001E-2</v>
      </c>
      <c r="N20" s="2064"/>
      <c r="O20" s="2064"/>
      <c r="P20" s="2064"/>
      <c r="Q20" s="2064"/>
      <c r="R20" s="2064"/>
      <c r="S20" s="2064"/>
      <c r="T20" s="2064"/>
      <c r="U20" s="2064"/>
      <c r="V20" s="2064"/>
      <c r="W20" s="2064"/>
      <c r="X20" s="2064"/>
      <c r="Y20" s="2064"/>
    </row>
    <row r="21" spans="1:25" ht="18" customHeight="1">
      <c r="A21" s="805" t="s">
        <v>1877</v>
      </c>
      <c r="B21" s="786" t="s">
        <v>663</v>
      </c>
      <c r="C21" s="53">
        <f ca="1">SUM(C16:C20)</f>
        <v>0</v>
      </c>
      <c r="D21" s="261" t="s">
        <v>664</v>
      </c>
      <c r="E21" s="1983"/>
      <c r="F21" s="56"/>
      <c r="G21" s="1592"/>
      <c r="H21" s="1831" t="s">
        <v>1850</v>
      </c>
      <c r="I21" s="786" t="s">
        <v>665</v>
      </c>
      <c r="J21" s="53">
        <f ca="1">IF(K21="按租金收入计税",ROUND(J7*M21,1),ROUND(C31*F35*0.7,1))</f>
        <v>0</v>
      </c>
      <c r="K21" s="813" t="s">
        <v>666</v>
      </c>
      <c r="L21" s="786" t="s">
        <v>650</v>
      </c>
      <c r="M21" s="811">
        <f>IF(K21="按租金收入计税",'数据-取费表'!B51,'数据-取费表'!B50)</f>
        <v>1.2E-2</v>
      </c>
    </row>
    <row r="22" spans="1:25" s="2065" customFormat="1" ht="18" customHeight="1">
      <c r="A22" s="805" t="s">
        <v>1878</v>
      </c>
      <c r="B22" s="786" t="s">
        <v>667</v>
      </c>
      <c r="C22" s="53">
        <f ca="1">ROUND(C21*F22,0)</f>
        <v>0</v>
      </c>
      <c r="D22" s="814" t="s">
        <v>668</v>
      </c>
      <c r="E22" s="786" t="s">
        <v>650</v>
      </c>
      <c r="F22" s="811">
        <f>'数据-取费表'!B37</f>
        <v>1.4999999999999999E-2</v>
      </c>
      <c r="G22" s="1593"/>
      <c r="H22" s="1833" t="s">
        <v>1851</v>
      </c>
      <c r="I22" s="1823" t="s">
        <v>669</v>
      </c>
      <c r="J22" s="54">
        <f ca="1">ROUND(M22*M23/10000,0)</f>
        <v>0</v>
      </c>
      <c r="K22" s="816" t="s">
        <v>670</v>
      </c>
      <c r="L22" s="786" t="s">
        <v>671</v>
      </c>
      <c r="M22" s="642">
        <f>'数据-取费表'!B52</f>
        <v>24</v>
      </c>
      <c r="N22" s="2064"/>
      <c r="O22" s="2064"/>
      <c r="P22" s="2064"/>
      <c r="Q22" s="2064"/>
      <c r="R22" s="2064"/>
      <c r="S22" s="2064"/>
      <c r="T22" s="2064"/>
      <c r="U22" s="2064"/>
      <c r="V22" s="2064"/>
      <c r="W22" s="2064"/>
      <c r="X22" s="2064"/>
      <c r="Y22" s="2064"/>
    </row>
    <row r="23" spans="1:25" s="2065" customFormat="1" ht="18" customHeight="1">
      <c r="A23" s="805" t="s">
        <v>1879</v>
      </c>
      <c r="B23" s="786" t="s">
        <v>672</v>
      </c>
      <c r="C23" s="53" t="s">
        <v>1</v>
      </c>
      <c r="D23" s="814" t="s">
        <v>673</v>
      </c>
      <c r="E23" s="786" t="s">
        <v>674</v>
      </c>
      <c r="F23" s="811">
        <f>'数据-取费表'!B38</f>
        <v>0.03</v>
      </c>
      <c r="G23" s="1593"/>
      <c r="H23" s="1834"/>
      <c r="I23" s="1825"/>
      <c r="J23" s="69"/>
      <c r="K23" s="818"/>
      <c r="L23" s="786" t="s">
        <v>675</v>
      </c>
      <c r="M23" s="787">
        <f ca="1">INDIRECT("'数据-取费表'!r"&amp;$G$1)</f>
        <v>0</v>
      </c>
      <c r="N23" s="2064"/>
      <c r="O23" s="2064"/>
      <c r="P23" s="2064"/>
      <c r="Q23" s="2064"/>
      <c r="R23" s="2064"/>
      <c r="S23" s="2064"/>
      <c r="T23" s="2064"/>
      <c r="U23" s="2064"/>
      <c r="V23" s="2064"/>
      <c r="W23" s="2064"/>
      <c r="X23" s="2064"/>
      <c r="Y23" s="2064"/>
    </row>
    <row r="24" spans="1:25" ht="18" customHeight="1">
      <c r="A24" s="805" t="s">
        <v>1880</v>
      </c>
      <c r="B24" s="786" t="s">
        <v>676</v>
      </c>
      <c r="C24" s="53"/>
      <c r="D24" s="2597" t="str">
        <f>IF(F25&lt;=1,"单利计息。","复利计息。")&amp;"建造成本、管理费用、销售费用产生的利息。"</f>
        <v>复利计息。建造成本、管理费用、销售费用产生的利息。</v>
      </c>
      <c r="E24" s="1983"/>
      <c r="F24" s="56"/>
      <c r="G24" s="1592"/>
      <c r="H24" s="1832" t="s">
        <v>2073</v>
      </c>
      <c r="I24" s="786" t="s">
        <v>677</v>
      </c>
      <c r="J24" s="53">
        <f ca="1">ROUND(J16*M24,0)</f>
        <v>0</v>
      </c>
      <c r="K24" s="1978" t="s">
        <v>678</v>
      </c>
      <c r="L24" s="786" t="s">
        <v>650</v>
      </c>
      <c r="M24" s="819">
        <f ca="1">INDIRECT("'数据-取费表'!Ak"&amp;$G$1)</f>
        <v>0</v>
      </c>
    </row>
    <row r="25" spans="1:25" s="2065" customFormat="1" ht="18" customHeight="1">
      <c r="A25" s="805" t="s">
        <v>1876</v>
      </c>
      <c r="B25" s="786" t="s">
        <v>2437</v>
      </c>
      <c r="C25" s="53">
        <f ca="1">ROUND(IF('数据-取费表'!B22&lt;=1,(C21+C22)*F26*F25/2,(C21+C22)*(POWER((1+F26),F25/2)-1)),0)</f>
        <v>0</v>
      </c>
      <c r="D25" s="2596" t="str">
        <f>IF(F25&lt;=1,"(建造成本+管理费用)×利率×(建设周期÷2)","(建造成本+管理费用)×((1+利率)^(建设周期÷2)-1)")</f>
        <v>(建造成本+管理费用)×((1+利率)^(建设周期÷2)-1)</v>
      </c>
      <c r="E25" s="786" t="s">
        <v>679</v>
      </c>
      <c r="F25" s="642">
        <f>'数据-取费表'!B20</f>
        <v>4</v>
      </c>
      <c r="G25" s="1593"/>
      <c r="H25" s="805" t="s">
        <v>1879</v>
      </c>
      <c r="I25" s="786" t="s">
        <v>680</v>
      </c>
      <c r="J25" s="53">
        <f ca="1">ROUND(J15*M25,0)</f>
        <v>0</v>
      </c>
      <c r="K25" s="1978" t="s">
        <v>681</v>
      </c>
      <c r="L25" s="786" t="s">
        <v>650</v>
      </c>
      <c r="M25" s="820">
        <f ca="1">INDIRECT("'数据-取费表'!Al"&amp;$G$1)</f>
        <v>0</v>
      </c>
      <c r="N25" s="2064"/>
      <c r="O25" s="2064"/>
      <c r="P25" s="2064"/>
      <c r="Q25" s="2064"/>
      <c r="R25" s="2064"/>
      <c r="S25" s="2064"/>
      <c r="T25" s="2064"/>
      <c r="U25" s="2064"/>
      <c r="V25" s="2064"/>
      <c r="W25" s="2064"/>
      <c r="X25" s="2064"/>
      <c r="Y25" s="2064"/>
    </row>
    <row r="26" spans="1:25" s="2065" customFormat="1" ht="18" customHeight="1">
      <c r="A26" s="805" t="s">
        <v>1850</v>
      </c>
      <c r="B26" s="786" t="s">
        <v>682</v>
      </c>
      <c r="C26" s="53">
        <f ca="1">ROUND(IF('数据-取费表'!B22&lt;=1,F23*F26*F25/2,F23*(POWER((1+F26),F25/2)-1)),4)</f>
        <v>2.8999999999999998E-3</v>
      </c>
      <c r="D26" s="2596" t="str">
        <f>IF(F25&lt;=1,"销售费用×利率×(建设周期÷2)","销售费用×((1+利率)^(建设周期÷2)-1)")</f>
        <v>销售费用×((1+利率)^(建设周期÷2)-1)</v>
      </c>
      <c r="E26" s="786" t="s">
        <v>683</v>
      </c>
      <c r="F26" s="821">
        <f ca="1">'数据-取费表'!B40</f>
        <v>4.7500000000000001E-2</v>
      </c>
      <c r="G26" s="1593"/>
      <c r="H26" s="805" t="s">
        <v>1880</v>
      </c>
      <c r="I26" s="786" t="s">
        <v>667</v>
      </c>
      <c r="J26" s="53">
        <f ca="1">ROUND(J7*M26,0)</f>
        <v>0</v>
      </c>
      <c r="K26" s="1978" t="s">
        <v>684</v>
      </c>
      <c r="L26" s="786" t="s">
        <v>650</v>
      </c>
      <c r="M26" s="796">
        <f ca="1">INDIRECT("'数据-取费表'!Am"&amp;$G$1)</f>
        <v>0</v>
      </c>
      <c r="N26" s="2064"/>
      <c r="O26" s="2064"/>
      <c r="P26" s="2064"/>
      <c r="Q26" s="2064"/>
      <c r="R26" s="2064"/>
      <c r="S26" s="2064"/>
      <c r="T26" s="2064"/>
      <c r="U26" s="2064"/>
      <c r="V26" s="2064"/>
      <c r="W26" s="2064"/>
      <c r="X26" s="2064"/>
      <c r="Y26" s="2064"/>
    </row>
    <row r="27" spans="1:25" ht="18" customHeight="1">
      <c r="A27" s="805" t="s">
        <v>1882</v>
      </c>
      <c r="B27" s="786" t="s">
        <v>685</v>
      </c>
      <c r="C27" s="53"/>
      <c r="D27" s="261" t="s">
        <v>686</v>
      </c>
      <c r="E27" s="1983"/>
      <c r="F27" s="56"/>
      <c r="G27" s="1592"/>
      <c r="H27" s="799" t="s">
        <v>1829</v>
      </c>
      <c r="I27" s="3038" t="s">
        <v>2825</v>
      </c>
      <c r="J27" s="801">
        <f ca="1">J7-J18</f>
        <v>0</v>
      </c>
      <c r="K27" s="1980" t="s">
        <v>701</v>
      </c>
      <c r="L27" s="1982"/>
      <c r="M27" s="822"/>
    </row>
    <row r="28" spans="1:25" ht="18" customHeight="1">
      <c r="A28" s="805" t="s">
        <v>1876</v>
      </c>
      <c r="B28" s="786" t="s">
        <v>2438</v>
      </c>
      <c r="C28" s="53">
        <f ca="1">ROUND((C21+C22)*F28,0)</f>
        <v>0</v>
      </c>
      <c r="D28" s="814" t="s">
        <v>702</v>
      </c>
      <c r="E28" s="797" t="s">
        <v>703</v>
      </c>
      <c r="F28" s="796">
        <f ca="1">INDIRECT("'数据-取费表'!q"&amp;$G$1)</f>
        <v>0</v>
      </c>
      <c r="G28" s="1592"/>
      <c r="H28" s="783" t="s">
        <v>1838</v>
      </c>
      <c r="I28" s="784" t="s">
        <v>704</v>
      </c>
      <c r="J28" s="785">
        <f ca="1">IF(J7&lt;&gt;0,ROUND(J27*(1-((1+M30)/(1+M28))^M29)/(M28-M30),0),0)</f>
        <v>0</v>
      </c>
      <c r="K28" s="816" t="s">
        <v>705</v>
      </c>
      <c r="L28" s="786" t="s">
        <v>706</v>
      </c>
      <c r="M28" s="796">
        <f ca="1">INDIRECT("'数据-取费表'!I"&amp;$G$1)</f>
        <v>0</v>
      </c>
    </row>
    <row r="29" spans="1:25" ht="18" customHeight="1">
      <c r="A29" s="805" t="s">
        <v>1850</v>
      </c>
      <c r="B29" s="786" t="s">
        <v>687</v>
      </c>
      <c r="C29" s="53">
        <f ca="1">ROUND(F23*F28,4)</f>
        <v>0</v>
      </c>
      <c r="D29" s="814" t="s">
        <v>707</v>
      </c>
      <c r="E29" s="808"/>
      <c r="F29" s="809"/>
      <c r="G29" s="1592"/>
      <c r="H29" s="788"/>
      <c r="I29" s="789"/>
      <c r="J29" s="790"/>
      <c r="K29" s="823" t="s">
        <v>708</v>
      </c>
      <c r="L29" s="786" t="s">
        <v>709</v>
      </c>
      <c r="M29" s="824">
        <f ca="1">INDIRECT("'数据-取费表'!ag"&amp;$G$1)</f>
        <v>0</v>
      </c>
    </row>
    <row r="30" spans="1:25" s="2065" customFormat="1" ht="18" customHeight="1">
      <c r="A30" s="805" t="s">
        <v>1883</v>
      </c>
      <c r="B30" s="786" t="s">
        <v>688</v>
      </c>
      <c r="C30" s="53">
        <f>ROUND(F30/(1+'数据-取费表'!C42),4)</f>
        <v>5.33E-2</v>
      </c>
      <c r="D30" s="814" t="s">
        <v>710</v>
      </c>
      <c r="E30" s="786" t="s">
        <v>650</v>
      </c>
      <c r="F30" s="811">
        <f>'数据-取费表'!B41</f>
        <v>5.6000000000000001E-2</v>
      </c>
      <c r="G30" s="1593"/>
      <c r="H30" s="792"/>
      <c r="I30" s="793"/>
      <c r="J30" s="794"/>
      <c r="K30" s="818"/>
      <c r="L30" s="786" t="s">
        <v>711</v>
      </c>
      <c r="M30" s="796">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1884</v>
      </c>
      <c r="B31" s="2566" t="s">
        <v>2826</v>
      </c>
      <c r="C31" s="2569">
        <f ca="1">ROUND((C21+C22+C25+C28)/(1-F23-C26-C29-C30),0)</f>
        <v>0</v>
      </c>
      <c r="D31" s="2570"/>
      <c r="E31" s="2571"/>
      <c r="F31" s="2572"/>
      <c r="G31" s="1593"/>
      <c r="H31" s="825" t="s">
        <v>1873</v>
      </c>
      <c r="I31" s="3039" t="s">
        <v>2827</v>
      </c>
      <c r="J31" s="827">
        <f ca="1">ROUND(J28/(1+F45)^F46,0)</f>
        <v>0</v>
      </c>
      <c r="K31" s="828" t="s">
        <v>689</v>
      </c>
      <c r="L31" s="829"/>
      <c r="M31" s="830">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4">
        <f ca="1">ROUND(C33+C38+C39+C40,0)</f>
        <v>0</v>
      </c>
      <c r="D32" s="1822" t="s">
        <v>653</v>
      </c>
      <c r="E32" s="2512"/>
      <c r="F32" s="2516"/>
      <c r="G32" s="2063"/>
      <c r="H32" s="2066"/>
      <c r="I32" s="2067"/>
      <c r="J32" s="2068"/>
      <c r="K32" s="2069"/>
      <c r="L32" s="2070"/>
      <c r="M32" s="2071"/>
    </row>
    <row r="33" spans="1:18" ht="18" customHeight="1">
      <c r="A33" s="805" t="s">
        <v>1877</v>
      </c>
      <c r="B33" s="786" t="s">
        <v>657</v>
      </c>
      <c r="C33" s="53">
        <f ca="1">ROUND(IF(项目基本情况!B11="自然人",C7*F33,C34+C35+C36),1)</f>
        <v>0</v>
      </c>
      <c r="D33" s="1980" t="s">
        <v>658</v>
      </c>
      <c r="E33" s="1978" t="s">
        <v>691</v>
      </c>
      <c r="F33" s="812" t="str">
        <f ca="1">IF(项目基本情况!B11="企业","",IF(INDIRECT("'数据-取费表'!c"&amp;$G$1)="住宅",5%,IF(F8*F9*F10/12/(1+'数据-取费表'!C42)&gt;20000,12%,7%)))</f>
        <v/>
      </c>
      <c r="G33" s="2063"/>
      <c r="H33" s="2066"/>
      <c r="I33" s="2067"/>
      <c r="J33" s="2068"/>
      <c r="K33" s="2069"/>
      <c r="L33" s="2070"/>
      <c r="M33" s="2071"/>
    </row>
    <row r="34" spans="1:18" ht="18" customHeight="1">
      <c r="A34" s="805" t="s">
        <v>1876</v>
      </c>
      <c r="B34" s="786" t="s">
        <v>661</v>
      </c>
      <c r="C34" s="53">
        <f ca="1">ROUND(C7*F34/1.05,1)</f>
        <v>0</v>
      </c>
      <c r="D34" s="1978" t="s">
        <v>662</v>
      </c>
      <c r="E34" s="786" t="s">
        <v>650</v>
      </c>
      <c r="F34" s="811">
        <f>'数据-取费表'!B41</f>
        <v>5.6000000000000001E-2</v>
      </c>
      <c r="G34" s="2063"/>
      <c r="H34" s="2072"/>
      <c r="I34" s="2073"/>
      <c r="J34" s="2074"/>
      <c r="K34" s="2075"/>
      <c r="L34" s="2076"/>
      <c r="M34" s="2077"/>
    </row>
    <row r="35" spans="1:18" ht="18" customHeight="1">
      <c r="A35" s="805" t="s">
        <v>1850</v>
      </c>
      <c r="B35" s="786" t="s">
        <v>665</v>
      </c>
      <c r="C35" s="53">
        <f ca="1">IF(D35="按租金收入计税",ROUND(C7*F35,1),IF(D35="按房产原值计税",ROUND(C31*F35*0.7,1),INDIRECT("'数据-取费表'!Aj"&amp;$G$1)))</f>
        <v>0</v>
      </c>
      <c r="D35" s="813" t="s">
        <v>1681</v>
      </c>
      <c r="E35" s="786" t="s">
        <v>650</v>
      </c>
      <c r="F35" s="811">
        <f>IF(D35="按租金收入计税",'数据-取费表'!B51,'数据-取费表'!B50)</f>
        <v>1.2E-2</v>
      </c>
      <c r="G35" s="2063"/>
      <c r="H35" s="2078"/>
      <c r="I35" s="2078"/>
      <c r="J35" s="2078"/>
      <c r="K35" s="2079"/>
      <c r="L35" s="2078"/>
      <c r="M35" s="2078"/>
    </row>
    <row r="36" spans="1:18" ht="18" customHeight="1">
      <c r="A36" s="815" t="s">
        <v>1881</v>
      </c>
      <c r="B36" s="344" t="s">
        <v>669</v>
      </c>
      <c r="C36" s="54">
        <f ca="1">ROUND(F36*F37/10000,1)</f>
        <v>0</v>
      </c>
      <c r="D36" s="816" t="s">
        <v>670</v>
      </c>
      <c r="E36" s="786" t="s">
        <v>671</v>
      </c>
      <c r="F36" s="642">
        <f>'数据-取费表'!B52</f>
        <v>24</v>
      </c>
      <c r="G36" s="2063"/>
      <c r="H36" s="2066"/>
      <c r="I36" s="3577"/>
      <c r="J36" s="2080"/>
      <c r="K36" s="2081"/>
      <c r="L36" s="2080"/>
      <c r="M36" s="2080"/>
    </row>
    <row r="37" spans="1:18" ht="18" customHeight="1">
      <c r="A37" s="817"/>
      <c r="B37" s="795"/>
      <c r="C37" s="69"/>
      <c r="D37" s="818"/>
      <c r="E37" s="786" t="s">
        <v>675</v>
      </c>
      <c r="F37" s="787">
        <f ca="1">INDIRECT("'数据-取费表'!r"&amp;$G$1)</f>
        <v>0</v>
      </c>
      <c r="G37" s="2063"/>
      <c r="H37" s="2066"/>
      <c r="I37" s="3577"/>
      <c r="J37" s="2078"/>
      <c r="K37" s="2079"/>
      <c r="L37" s="2078"/>
      <c r="M37" s="2078"/>
    </row>
    <row r="38" spans="1:18" ht="18" customHeight="1">
      <c r="A38" s="805" t="s">
        <v>1878</v>
      </c>
      <c r="B38" s="786" t="s">
        <v>677</v>
      </c>
      <c r="C38" s="53">
        <f ca="1">ROUND(C31*F38,1)</f>
        <v>0</v>
      </c>
      <c r="D38" s="1978" t="s">
        <v>692</v>
      </c>
      <c r="E38" s="786" t="s">
        <v>650</v>
      </c>
      <c r="F38" s="819">
        <f ca="1">INDIRECT("'数据-取费表'!Ak"&amp;$G$1)</f>
        <v>0</v>
      </c>
      <c r="G38" s="2063"/>
      <c r="H38" s="2078"/>
      <c r="I38" s="2082"/>
      <c r="J38" s="1989"/>
      <c r="K38" s="2083"/>
      <c r="L38" s="2078"/>
      <c r="M38" s="2078"/>
    </row>
    <row r="39" spans="1:18" ht="18" customHeight="1">
      <c r="A39" s="805" t="s">
        <v>1879</v>
      </c>
      <c r="B39" s="786" t="s">
        <v>680</v>
      </c>
      <c r="C39" s="53">
        <f ca="1">ROUND(C15*F39,1)</f>
        <v>0</v>
      </c>
      <c r="D39" s="1978" t="s">
        <v>681</v>
      </c>
      <c r="E39" s="786" t="s">
        <v>650</v>
      </c>
      <c r="F39" s="820">
        <f ca="1">INDIRECT("'数据-取费表'!Al"&amp;$G$1)</f>
        <v>0</v>
      </c>
      <c r="G39" s="2063"/>
      <c r="H39" s="2078"/>
      <c r="I39" s="2082"/>
      <c r="J39" s="1989"/>
      <c r="K39" s="2083"/>
      <c r="L39" s="2078"/>
      <c r="M39" s="2078"/>
    </row>
    <row r="40" spans="1:18" ht="18" customHeight="1" thickBot="1">
      <c r="A40" s="2585" t="s">
        <v>1880</v>
      </c>
      <c r="B40" s="2571" t="s">
        <v>667</v>
      </c>
      <c r="C40" s="2569">
        <f ca="1">ROUND(C7*F40,1)</f>
        <v>0</v>
      </c>
      <c r="D40" s="2570" t="s">
        <v>684</v>
      </c>
      <c r="E40" s="2571" t="s">
        <v>650</v>
      </c>
      <c r="F40" s="2567">
        <f ca="1">INDIRECT("'数据-取费表'!Am"&amp;$G$1)</f>
        <v>0</v>
      </c>
      <c r="G40" s="2063"/>
      <c r="H40" s="2078"/>
      <c r="I40" s="2082"/>
      <c r="J40" s="1989"/>
      <c r="K40" s="2084"/>
      <c r="L40" s="2078"/>
      <c r="M40" s="2078"/>
    </row>
    <row r="41" spans="1:18" ht="18" customHeight="1" thickTop="1">
      <c r="A41" s="1830">
        <v>4</v>
      </c>
      <c r="B41" s="1828" t="s">
        <v>693</v>
      </c>
      <c r="C41" s="1353"/>
      <c r="D41" s="1354"/>
      <c r="E41" s="1354"/>
      <c r="F41" s="1355"/>
      <c r="G41" s="2063"/>
      <c r="H41" s="2063"/>
      <c r="I41" s="2063"/>
      <c r="J41" s="2063"/>
      <c r="K41" s="2084"/>
      <c r="L41" s="2063"/>
      <c r="M41" s="2063"/>
    </row>
    <row r="42" spans="1:18" ht="18" customHeight="1">
      <c r="A42" s="805" t="s">
        <v>1877</v>
      </c>
      <c r="B42" s="837" t="s">
        <v>694</v>
      </c>
      <c r="C42" s="831">
        <f ca="1">C7-C32</f>
        <v>0</v>
      </c>
      <c r="D42" s="1980" t="s">
        <v>695</v>
      </c>
      <c r="E42" s="1982"/>
      <c r="F42" s="822"/>
      <c r="G42" s="2063"/>
      <c r="H42" s="2063"/>
      <c r="I42" s="2063"/>
      <c r="J42" s="2063"/>
      <c r="K42" s="2084"/>
      <c r="L42" s="2063"/>
      <c r="M42" s="2063"/>
    </row>
    <row r="43" spans="1:18" ht="18" customHeight="1">
      <c r="A43" s="805" t="s">
        <v>1878</v>
      </c>
      <c r="B43" s="837" t="s">
        <v>712</v>
      </c>
      <c r="C43" s="838">
        <f ca="1">ROUND(C15*F43,0)</f>
        <v>0</v>
      </c>
      <c r="D43" s="1356" t="s">
        <v>713</v>
      </c>
      <c r="E43" s="3155" t="s">
        <v>2960</v>
      </c>
      <c r="F43" s="3156">
        <f ca="1">INDIRECT("'数据-取费表'!j"&amp;$G$1)</f>
        <v>0</v>
      </c>
      <c r="G43" s="2063"/>
      <c r="H43" s="2063"/>
      <c r="I43" s="2063"/>
      <c r="J43" s="2063"/>
      <c r="K43" s="2084"/>
      <c r="L43" s="2063"/>
      <c r="M43" s="2063"/>
    </row>
    <row r="44" spans="1:18" ht="18" customHeight="1">
      <c r="A44" s="805" t="s">
        <v>1879</v>
      </c>
      <c r="B44" s="837" t="s">
        <v>714</v>
      </c>
      <c r="C44" s="1357">
        <f ca="1">C42-C43</f>
        <v>0</v>
      </c>
      <c r="D44" s="466" t="s">
        <v>715</v>
      </c>
      <c r="E44" s="467"/>
      <c r="F44" s="468"/>
      <c r="G44" s="2063"/>
      <c r="H44" s="2063"/>
      <c r="I44" s="2063"/>
      <c r="J44" s="2063"/>
      <c r="K44" s="2084"/>
      <c r="L44" s="2063"/>
      <c r="M44" s="2063"/>
    </row>
    <row r="45" spans="1:18" ht="18" customHeight="1">
      <c r="A45" s="805" t="s">
        <v>1880</v>
      </c>
      <c r="B45" s="1356" t="s">
        <v>716</v>
      </c>
      <c r="C45" s="3065">
        <f ca="1">ROUND(-PV(F45,F46,C44,0),0)</f>
        <v>0</v>
      </c>
      <c r="D45" s="1358" t="s">
        <v>717</v>
      </c>
      <c r="E45" s="808" t="s">
        <v>718</v>
      </c>
      <c r="F45" s="832">
        <f ca="1">INDIRECT("'数据-取费表'!h"&amp;$G$1)</f>
        <v>0</v>
      </c>
      <c r="G45" s="2063"/>
      <c r="H45" s="2063"/>
      <c r="I45" s="2063"/>
      <c r="J45" s="2063"/>
      <c r="K45" s="2084"/>
      <c r="L45" s="2063"/>
      <c r="M45" s="2063"/>
    </row>
    <row r="46" spans="1:18" ht="18" customHeight="1" thickBot="1">
      <c r="A46" s="833"/>
      <c r="B46" s="1359"/>
      <c r="C46" s="1360"/>
      <c r="D46" s="1361"/>
      <c r="E46" s="3157" t="s">
        <v>2963</v>
      </c>
      <c r="F46" s="830">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2342</v>
      </c>
      <c r="J47" s="2380"/>
      <c r="K47" s="2381"/>
      <c r="L47" s="2382" t="str">
        <f ca="1">IF(M48="住宅",0,IF(L49&gt;J52,L61,J61))</f>
        <v>0</v>
      </c>
      <c r="O47" s="2419" t="s">
        <v>2410</v>
      </c>
      <c r="P47" s="1592"/>
      <c r="Q47" s="1604"/>
      <c r="R47" s="1592"/>
    </row>
    <row r="48" spans="1:18" s="2060" customFormat="1" ht="18" customHeight="1" thickBot="1">
      <c r="A48" s="2085"/>
      <c r="C48" s="2088"/>
      <c r="D48" s="2089"/>
      <c r="E48" s="2089"/>
      <c r="F48" s="2090"/>
      <c r="G48" s="2091"/>
      <c r="I48" s="2383" t="s">
        <v>2343</v>
      </c>
      <c r="J48" s="2388"/>
      <c r="K48" s="2389" t="s">
        <v>2349</v>
      </c>
      <c r="L48" s="2390">
        <f ca="1">INDIRECT("'数据-取费表'!d"&amp;$G$1)</f>
        <v>0</v>
      </c>
      <c r="M48" s="3152" t="str">
        <f>IF(ISNUMBER(FIND("住宅",C1)),"住宅","非住宅")</f>
        <v>非住宅</v>
      </c>
      <c r="O48" s="2420" t="s">
        <v>2375</v>
      </c>
      <c r="P48" s="2421" t="s">
        <v>2376</v>
      </c>
      <c r="Q48" s="2422" t="s">
        <v>2377</v>
      </c>
      <c r="R48" s="2421" t="s">
        <v>2378</v>
      </c>
    </row>
    <row r="49" spans="1:18" s="2060" customFormat="1" ht="18" customHeight="1" thickBot="1">
      <c r="A49" s="2085"/>
      <c r="D49" s="2092"/>
      <c r="E49" s="2093"/>
      <c r="F49" s="2090"/>
      <c r="G49" s="2091"/>
      <c r="H49" s="2094"/>
      <c r="I49" s="2384" t="s">
        <v>2344</v>
      </c>
      <c r="J49" s="2391"/>
      <c r="K49" s="2392" t="s">
        <v>2351</v>
      </c>
      <c r="L49" s="2393">
        <f ca="1">INDIRECT("'数据-取费表'!f"&amp;$G$1)</f>
        <v>0</v>
      </c>
      <c r="O49" s="2423" t="s">
        <v>2379</v>
      </c>
      <c r="P49" s="2424" t="s">
        <v>2405</v>
      </c>
      <c r="Q49" s="2425">
        <f ca="1">C41+J31</f>
        <v>0</v>
      </c>
      <c r="R49" s="2424" t="s">
        <v>2380</v>
      </c>
    </row>
    <row r="50" spans="1:18" s="2060" customFormat="1" ht="18" customHeight="1" thickBot="1">
      <c r="A50" s="2085"/>
      <c r="D50" s="2095"/>
      <c r="E50" s="2095"/>
      <c r="F50" s="2089"/>
      <c r="G50" s="2096"/>
      <c r="H50" s="2094"/>
      <c r="I50" s="2384" t="s">
        <v>2345</v>
      </c>
      <c r="J50" s="2394"/>
      <c r="K50" s="2395" t="s">
        <v>2352</v>
      </c>
      <c r="L50" s="2396"/>
      <c r="O50" s="2423" t="s">
        <v>2381</v>
      </c>
      <c r="P50" s="2424" t="s">
        <v>2406</v>
      </c>
      <c r="Q50" s="2425" t="str">
        <f ca="1">J61</f>
        <v>0</v>
      </c>
      <c r="R50" s="2424" t="s">
        <v>2382</v>
      </c>
    </row>
    <row r="51" spans="1:18" s="2060" customFormat="1" ht="18" customHeight="1" thickBot="1">
      <c r="A51" s="2097"/>
      <c r="D51" s="2095"/>
      <c r="E51" s="2095"/>
      <c r="F51" s="2086"/>
      <c r="H51" s="2094"/>
      <c r="I51" s="2384" t="s">
        <v>2346</v>
      </c>
      <c r="J51" s="2397">
        <f>SUMPRODUCT((I64:I66=J48)*(J63:L63=J49)*(J64:L66))</f>
        <v>0</v>
      </c>
      <c r="K51" s="2395" t="s">
        <v>2353</v>
      </c>
      <c r="L51" s="2396"/>
      <c r="O51" s="2426" t="s">
        <v>2383</v>
      </c>
      <c r="P51" s="2424" t="s">
        <v>2407</v>
      </c>
      <c r="Q51" s="2425">
        <f ca="1">C31</f>
        <v>0</v>
      </c>
      <c r="R51" s="2424" t="s">
        <v>2380</v>
      </c>
    </row>
    <row r="52" spans="1:18" s="2060" customFormat="1" ht="18" customHeight="1" thickBot="1">
      <c r="A52" s="2097"/>
      <c r="F52" s="2086"/>
      <c r="I52" s="2385" t="s">
        <v>2347</v>
      </c>
      <c r="J52" s="2398">
        <f>IF(J50="",J51,J50+J51-YEAR('数据-取费表'!B3))</f>
        <v>0</v>
      </c>
      <c r="K52" s="2384" t="s">
        <v>2354</v>
      </c>
      <c r="L52" s="2399">
        <f ca="1">ROUND(-PV(INDIRECT("'数据-取费表'!h"&amp;$G$1),L49,(C40-C14*J36),0),0)</f>
        <v>0</v>
      </c>
      <c r="O52" s="2426" t="s">
        <v>2384</v>
      </c>
      <c r="P52" s="2424" t="s">
        <v>2385</v>
      </c>
      <c r="Q52" s="2427" t="e">
        <f ca="1">J59</f>
        <v>#VALUE!</v>
      </c>
      <c r="R52" s="2428"/>
    </row>
    <row r="53" spans="1:18" s="2060" customFormat="1" ht="18" customHeight="1" thickBot="1">
      <c r="A53" s="2097"/>
      <c r="F53" s="2086"/>
      <c r="I53" s="2386" t="s">
        <v>2421</v>
      </c>
      <c r="J53" s="2400"/>
      <c r="K53" s="2386" t="s">
        <v>2420</v>
      </c>
      <c r="L53" s="2400"/>
      <c r="O53" s="2426" t="s">
        <v>2386</v>
      </c>
      <c r="P53" s="2424" t="s">
        <v>2387</v>
      </c>
      <c r="Q53" s="2427">
        <f>J53</f>
        <v>0</v>
      </c>
      <c r="R53" s="2428"/>
    </row>
    <row r="54" spans="1:18" s="2060" customFormat="1" ht="43.5" thickBot="1">
      <c r="A54" s="2097"/>
      <c r="I54" s="2387" t="s">
        <v>2348</v>
      </c>
      <c r="J54" s="2401">
        <f ca="1">IF(M48="住宅",J52,IF(J52&gt;L49,L49-'数据-取费表'!B25,J52))</f>
        <v>0</v>
      </c>
      <c r="K54" s="3582"/>
      <c r="L54" s="3583"/>
      <c r="O54" s="2426" t="s">
        <v>2388</v>
      </c>
      <c r="P54" s="2424" t="s">
        <v>2389</v>
      </c>
      <c r="Q54" s="2425">
        <f ca="1">J54</f>
        <v>0</v>
      </c>
      <c r="R54" s="2424" t="s">
        <v>2390</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2391</v>
      </c>
      <c r="P55" s="2424" t="s">
        <v>2408</v>
      </c>
      <c r="Q55" s="2425">
        <f ca="1">Q49+Q50</f>
        <v>0</v>
      </c>
      <c r="R55" s="2428" t="s">
        <v>2392</v>
      </c>
    </row>
    <row r="56" spans="1:18" s="2060" customFormat="1" ht="16.5" thickBot="1">
      <c r="A56" s="2097"/>
      <c r="B56" s="2098"/>
      <c r="C56" s="2098"/>
      <c r="I56" s="3129" t="s">
        <v>2355</v>
      </c>
      <c r="J56" s="3153" t="e">
        <f ca="1">ROUND(IF(J48="钢混",J58/J51,1-(1-2%)*(J51-J58)/J51),3)</f>
        <v>#VALUE!</v>
      </c>
      <c r="K56" s="2402" t="s">
        <v>2356</v>
      </c>
      <c r="L56" s="2403"/>
      <c r="O56" s="2429" t="s">
        <v>2411</v>
      </c>
      <c r="P56" s="1592"/>
      <c r="Q56" s="1604"/>
      <c r="R56" s="1592"/>
    </row>
    <row r="57" spans="1:18" s="2060" customFormat="1" ht="43.5" thickBot="1">
      <c r="A57" s="2097"/>
      <c r="B57" s="2098"/>
      <c r="C57" s="2098"/>
      <c r="I57" s="2404" t="s">
        <v>2357</v>
      </c>
      <c r="J57" s="3152" t="s">
        <v>1679</v>
      </c>
      <c r="K57" s="2384" t="s">
        <v>2362</v>
      </c>
      <c r="L57" s="2393">
        <f ca="1">IF(L49&lt;J52,"——",L49-J52)</f>
        <v>0</v>
      </c>
      <c r="O57" s="2420" t="s">
        <v>2375</v>
      </c>
      <c r="P57" s="2421" t="s">
        <v>2376</v>
      </c>
      <c r="Q57" s="2422" t="s">
        <v>2377</v>
      </c>
      <c r="R57" s="2421" t="s">
        <v>2378</v>
      </c>
    </row>
    <row r="58" spans="1:18" s="2060" customFormat="1" ht="29.25" thickBot="1">
      <c r="A58" s="2097"/>
      <c r="B58" s="2098"/>
      <c r="C58" s="2098"/>
      <c r="I58" s="2405" t="s">
        <v>2358</v>
      </c>
      <c r="J58" s="2407" t="str">
        <f ca="1">IF(OR(M48="住宅",J52&lt;L49,J57="是"),"——",J52-L49)</f>
        <v>——</v>
      </c>
      <c r="K58" s="2384" t="s">
        <v>2363</v>
      </c>
      <c r="L58" s="2393">
        <f ca="1">IF(L49&lt;J52,"——",IF(L56="比较法",L50,IF(L56="基准地价",L51,L52)))</f>
        <v>0</v>
      </c>
      <c r="O58" s="2423" t="s">
        <v>2379</v>
      </c>
      <c r="P58" s="2424" t="s">
        <v>2405</v>
      </c>
      <c r="Q58" s="2425">
        <f ca="1">C41+J31</f>
        <v>0</v>
      </c>
      <c r="R58" s="2424" t="s">
        <v>2380</v>
      </c>
    </row>
    <row r="59" spans="1:18" s="2060" customFormat="1" ht="29.25" thickBot="1">
      <c r="A59" s="2097"/>
      <c r="B59" s="2098"/>
      <c r="C59" s="2098"/>
      <c r="I59" s="2405" t="s">
        <v>2359</v>
      </c>
      <c r="J59" s="3154" t="e">
        <f ca="1">IF(J56&lt;0.4,0.4,J56)</f>
        <v>#VALUE!</v>
      </c>
      <c r="K59" s="2384" t="s">
        <v>2364</v>
      </c>
      <c r="L59" s="2393">
        <f ca="1">IF(ISERROR(POWER(1+L53,L48-L49)*(POWER(1+L53,L49)-1)/(POWER(1+L53,L48)-1)),0,POWER(1+L53,L48-L49)*(POWER(1+L53,L49)-1)/(POWER(1+L53,L48)-1))</f>
        <v>0</v>
      </c>
      <c r="O59" s="2423" t="s">
        <v>2381</v>
      </c>
      <c r="P59" s="2424" t="s">
        <v>2412</v>
      </c>
      <c r="Q59" s="2425" t="e">
        <f ca="1">L61</f>
        <v>#DIV/0!</v>
      </c>
      <c r="R59" s="2428" t="s">
        <v>2414</v>
      </c>
    </row>
    <row r="60" spans="1:18" s="2060" customFormat="1" ht="29.25" thickBot="1">
      <c r="A60" s="2097"/>
      <c r="B60" s="2098"/>
      <c r="C60" s="2098"/>
      <c r="I60" s="2405" t="s">
        <v>2360</v>
      </c>
      <c r="J60" s="2407" t="str">
        <f ca="1">IF(OR(M48="住宅",J52&lt;L49,J57="是"),"——",ROUND(C30*J59,0))</f>
        <v>——</v>
      </c>
      <c r="K60" s="2384" t="s">
        <v>2365</v>
      </c>
      <c r="L60" s="2393">
        <f ca="1">IF(ISERROR(POWER(1+L53,L48-J52)*(POWER(1+L53,J52)-1)/(POWER(1+L53,L48)-1)),0,POWER(1+L53,L48-J52)*(POWER(1+L53,J52)-1)/(POWER(1+L53,L48)-1))</f>
        <v>0</v>
      </c>
      <c r="O60" s="2426" t="s">
        <v>2383</v>
      </c>
      <c r="P60" s="2424" t="s">
        <v>2413</v>
      </c>
      <c r="Q60" s="2425">
        <f>IF(L56="比较法",L50,IF(L56="基准地价",L51,0))</f>
        <v>0</v>
      </c>
      <c r="R60" s="2424" t="s">
        <v>2380</v>
      </c>
    </row>
    <row r="61" spans="1:18" s="2060" customFormat="1" ht="15.75" thickBot="1">
      <c r="A61" s="2097"/>
      <c r="B61" s="2098"/>
      <c r="C61" s="2098"/>
      <c r="I61" s="2406" t="s">
        <v>2361</v>
      </c>
      <c r="J61" s="2408" t="str">
        <f ca="1">IF(OR(M48="住宅",J52&lt;L49,J57="是"),"0",ROUND(J60/(1+J53)^J54,0))</f>
        <v>0</v>
      </c>
      <c r="K61" s="2409" t="s">
        <v>2366</v>
      </c>
      <c r="L61" s="2408" t="e">
        <f ca="1">IF(OR(M48="住宅",L49&lt;J52),0,ROUND(L58*(L59/L60-1),0))</f>
        <v>#DIV/0!</v>
      </c>
      <c r="O61" s="2426" t="s">
        <v>2384</v>
      </c>
      <c r="P61" s="2424" t="s">
        <v>2393</v>
      </c>
      <c r="Q61" s="2427">
        <f>L53</f>
        <v>0</v>
      </c>
      <c r="R61" s="2428"/>
    </row>
    <row r="62" spans="1:18" s="2060" customFormat="1" ht="20.25" thickBot="1">
      <c r="A62" s="2097"/>
      <c r="B62" s="2098"/>
      <c r="C62" s="2098"/>
      <c r="K62" s="2087"/>
      <c r="O62" s="2426" t="s">
        <v>2386</v>
      </c>
      <c r="P62" s="2424" t="s">
        <v>2394</v>
      </c>
      <c r="Q62" s="2425">
        <f ca="1">L59</f>
        <v>0</v>
      </c>
      <c r="R62" s="2428" t="s">
        <v>2395</v>
      </c>
    </row>
    <row r="63" spans="1:18" s="2060" customFormat="1" ht="20.25" thickBot="1">
      <c r="A63" s="2097"/>
      <c r="B63" s="2098"/>
      <c r="C63" s="2098"/>
      <c r="I63" s="2410" t="s">
        <v>2367</v>
      </c>
      <c r="J63" s="2411" t="s">
        <v>2368</v>
      </c>
      <c r="K63" s="2411" t="s">
        <v>2369</v>
      </c>
      <c r="L63" s="2411" t="s">
        <v>2350</v>
      </c>
      <c r="M63" s="3131" t="s">
        <v>2939</v>
      </c>
      <c r="O63" s="2426" t="s">
        <v>2388</v>
      </c>
      <c r="P63" s="2424" t="s">
        <v>2396</v>
      </c>
      <c r="Q63" s="2425">
        <f ca="1">L60</f>
        <v>0</v>
      </c>
      <c r="R63" s="2428" t="s">
        <v>2397</v>
      </c>
    </row>
    <row r="64" spans="1:18" s="2060" customFormat="1" ht="15.75" thickBot="1">
      <c r="A64" s="2097"/>
      <c r="B64" s="2098"/>
      <c r="C64" s="2098"/>
      <c r="I64" s="2410" t="s">
        <v>2370</v>
      </c>
      <c r="J64" s="2411">
        <v>70</v>
      </c>
      <c r="K64" s="2411">
        <v>50</v>
      </c>
      <c r="L64" s="2411">
        <v>80</v>
      </c>
      <c r="M64" s="3132">
        <v>0.02</v>
      </c>
      <c r="O64" s="2423" t="s">
        <v>2391</v>
      </c>
      <c r="P64" s="2424" t="s">
        <v>2408</v>
      </c>
      <c r="Q64" s="2425" t="e">
        <f ca="1">Q58+Q59</f>
        <v>#DIV/0!</v>
      </c>
      <c r="R64" s="2428" t="s">
        <v>2392</v>
      </c>
    </row>
    <row r="65" spans="1:18" s="2060" customFormat="1" ht="16.5" thickBot="1">
      <c r="A65" s="2097"/>
      <c r="B65" s="2098"/>
      <c r="C65" s="2098"/>
      <c r="I65" s="2410" t="s">
        <v>2371</v>
      </c>
      <c r="J65" s="2411">
        <v>50</v>
      </c>
      <c r="K65" s="2411">
        <v>35</v>
      </c>
      <c r="L65" s="2411">
        <v>60</v>
      </c>
      <c r="M65" s="3133">
        <v>0</v>
      </c>
      <c r="O65" s="2429" t="s">
        <v>2415</v>
      </c>
      <c r="P65" s="1592"/>
      <c r="Q65" s="1604"/>
      <c r="R65" s="1592"/>
    </row>
    <row r="66" spans="1:18" s="2060" customFormat="1" ht="15.75" thickBot="1">
      <c r="A66" s="2097"/>
      <c r="B66" s="2098"/>
      <c r="C66" s="2098"/>
      <c r="I66" s="2410" t="s">
        <v>2372</v>
      </c>
      <c r="J66" s="2411">
        <v>40</v>
      </c>
      <c r="K66" s="2411">
        <v>30</v>
      </c>
      <c r="L66" s="2411">
        <v>50</v>
      </c>
      <c r="M66" s="3132">
        <v>0.02</v>
      </c>
      <c r="O66" s="2420" t="s">
        <v>2375</v>
      </c>
      <c r="P66" s="2421" t="s">
        <v>2376</v>
      </c>
      <c r="Q66" s="2422" t="s">
        <v>2377</v>
      </c>
      <c r="R66" s="2421" t="s">
        <v>2378</v>
      </c>
    </row>
    <row r="67" spans="1:18" s="2060" customFormat="1" ht="15.75" thickBot="1">
      <c r="A67" s="2097"/>
      <c r="B67" s="2098"/>
      <c r="C67" s="2098"/>
      <c r="K67" s="2087"/>
      <c r="O67" s="2423" t="s">
        <v>2379</v>
      </c>
      <c r="P67" s="2424" t="s">
        <v>2405</v>
      </c>
      <c r="Q67" s="2425">
        <f ca="1">C41+J31</f>
        <v>0</v>
      </c>
      <c r="R67" s="2424" t="s">
        <v>2380</v>
      </c>
    </row>
    <row r="68" spans="1:18" s="2060" customFormat="1" ht="20.25" thickBot="1">
      <c r="A68" s="2097"/>
      <c r="B68" s="2098"/>
      <c r="C68" s="2098"/>
      <c r="K68" s="2087"/>
      <c r="O68" s="2423" t="s">
        <v>2381</v>
      </c>
      <c r="P68" s="2424" t="s">
        <v>2412</v>
      </c>
      <c r="Q68" s="2425" t="e">
        <f ca="1">L61</f>
        <v>#DIV/0!</v>
      </c>
      <c r="R68" s="2428" t="s">
        <v>2414</v>
      </c>
    </row>
    <row r="69" spans="1:18" s="2060" customFormat="1" ht="21.75" thickBot="1">
      <c r="A69" s="2097"/>
      <c r="B69" s="2098"/>
      <c r="C69" s="2098"/>
      <c r="K69" s="2087"/>
      <c r="O69" s="2426" t="s">
        <v>2383</v>
      </c>
      <c r="P69" s="2424" t="s">
        <v>2413</v>
      </c>
      <c r="Q69" s="2430">
        <f ca="1">L52</f>
        <v>0</v>
      </c>
      <c r="R69" s="2431" t="s">
        <v>2416</v>
      </c>
    </row>
    <row r="70" spans="1:18" s="2060" customFormat="1" ht="20.25" thickBot="1">
      <c r="A70" s="2097"/>
      <c r="B70" s="2098"/>
      <c r="C70" s="2098"/>
      <c r="K70" s="2087"/>
      <c r="O70" s="2426" t="s">
        <v>2384</v>
      </c>
      <c r="P70" s="2432" t="s">
        <v>2398</v>
      </c>
      <c r="Q70" s="2425">
        <f ca="1">ROUND(Q71-Q72*Q73,0)</f>
        <v>0</v>
      </c>
      <c r="R70" s="2428"/>
    </row>
    <row r="71" spans="1:18" s="2060" customFormat="1" ht="15.75" thickBot="1">
      <c r="A71" s="2097"/>
      <c r="B71" s="2098"/>
      <c r="C71" s="2098"/>
      <c r="K71" s="2087"/>
      <c r="O71" s="2426" t="s">
        <v>2399</v>
      </c>
      <c r="P71" s="2432" t="s">
        <v>2400</v>
      </c>
      <c r="Q71" s="2425">
        <f ca="1">C42</f>
        <v>0</v>
      </c>
      <c r="R71" s="2424" t="s">
        <v>2380</v>
      </c>
    </row>
    <row r="72" spans="1:18" s="2060" customFormat="1" ht="15.75" thickBot="1">
      <c r="A72" s="2097"/>
      <c r="B72" s="2098"/>
      <c r="C72" s="2098"/>
      <c r="K72" s="2087"/>
      <c r="O72" s="2426" t="s">
        <v>2401</v>
      </c>
      <c r="P72" s="2432" t="s">
        <v>2402</v>
      </c>
      <c r="Q72" s="2425">
        <f ca="1">C15</f>
        <v>0</v>
      </c>
      <c r="R72" s="2424" t="s">
        <v>2380</v>
      </c>
    </row>
    <row r="73" spans="1:18" s="2060" customFormat="1" ht="15.75" thickBot="1">
      <c r="A73" s="2097"/>
      <c r="B73" s="2098"/>
      <c r="C73" s="2098"/>
      <c r="K73" s="2087"/>
      <c r="O73" s="2426" t="s">
        <v>2403</v>
      </c>
      <c r="P73" s="2432" t="s">
        <v>2404</v>
      </c>
      <c r="Q73" s="2427">
        <f ca="1">F43</f>
        <v>0</v>
      </c>
      <c r="R73" s="2428"/>
    </row>
    <row r="74" spans="1:18" s="2060" customFormat="1" ht="15.75" thickBot="1">
      <c r="A74" s="2097"/>
      <c r="B74" s="2098"/>
      <c r="C74" s="2098"/>
      <c r="K74" s="2087"/>
      <c r="O74" s="2426" t="s">
        <v>2386</v>
      </c>
      <c r="P74" s="2424" t="s">
        <v>2393</v>
      </c>
      <c r="Q74" s="2427">
        <f>L53</f>
        <v>0</v>
      </c>
      <c r="R74" s="2428"/>
    </row>
    <row r="75" spans="1:18" s="2060" customFormat="1" ht="20.25" thickBot="1">
      <c r="A75" s="2097"/>
      <c r="B75" s="2098"/>
      <c r="C75" s="2098"/>
      <c r="K75" s="2087"/>
      <c r="O75" s="2426" t="s">
        <v>2388</v>
      </c>
      <c r="P75" s="2424" t="s">
        <v>2394</v>
      </c>
      <c r="Q75" s="2425">
        <f ca="1">L59</f>
        <v>0</v>
      </c>
      <c r="R75" s="2428" t="s">
        <v>2395</v>
      </c>
    </row>
    <row r="76" spans="1:18" s="2060" customFormat="1" ht="20.25" thickBot="1">
      <c r="A76" s="2097"/>
      <c r="B76" s="2098"/>
      <c r="C76" s="2098"/>
      <c r="K76" s="2087"/>
      <c r="O76" s="2426" t="s">
        <v>2417</v>
      </c>
      <c r="P76" s="2424" t="s">
        <v>2396</v>
      </c>
      <c r="Q76" s="2425">
        <f ca="1">L60</f>
        <v>0</v>
      </c>
      <c r="R76" s="2428" t="s">
        <v>2397</v>
      </c>
    </row>
    <row r="77" spans="1:18" s="2060" customFormat="1" ht="15.75" thickBot="1">
      <c r="A77" s="2097"/>
      <c r="B77" s="2098"/>
      <c r="C77" s="2098"/>
      <c r="K77" s="2087"/>
      <c r="O77" s="2423" t="s">
        <v>2391</v>
      </c>
      <c r="P77" s="2424" t="s">
        <v>2408</v>
      </c>
      <c r="Q77" s="2425" t="e">
        <f ca="1">Q67+Q68</f>
        <v>#DIV/0!</v>
      </c>
      <c r="R77" s="2428"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586" t="s">
        <v>2578</v>
      </c>
      <c r="C1" s="3586"/>
      <c r="D1" s="3586"/>
      <c r="E1" s="3586"/>
      <c r="F1" s="3586"/>
      <c r="G1" s="3585" t="s">
        <v>2579</v>
      </c>
      <c r="H1" s="3585"/>
      <c r="I1" s="3585"/>
      <c r="J1" s="3585"/>
      <c r="K1" s="3585"/>
      <c r="L1" s="3585"/>
      <c r="N1" s="3585" t="s">
        <v>2580</v>
      </c>
      <c r="O1" s="3585"/>
      <c r="P1" s="3585"/>
      <c r="Q1" s="3585"/>
      <c r="R1" s="2680"/>
      <c r="S1" s="3585" t="s">
        <v>2581</v>
      </c>
      <c r="T1" s="3585"/>
      <c r="U1" s="3585"/>
      <c r="V1" s="3585"/>
      <c r="X1" s="3584" t="s">
        <v>2642</v>
      </c>
      <c r="Y1" s="3585"/>
      <c r="Z1" s="3585"/>
      <c r="AA1" s="3585"/>
      <c r="AB1" s="3585"/>
      <c r="AD1" s="3584" t="s">
        <v>2647</v>
      </c>
      <c r="AE1" s="3585"/>
      <c r="AF1" s="3585"/>
      <c r="AG1" s="3585"/>
      <c r="AH1" s="3585"/>
    </row>
    <row r="2" spans="1:34" s="2782" customFormat="1" ht="14.25" thickBot="1">
      <c r="B2" s="2791" t="s">
        <v>2582</v>
      </c>
      <c r="C2" s="2791" t="s">
        <v>2645</v>
      </c>
      <c r="D2" s="2783" t="s">
        <v>1645</v>
      </c>
      <c r="E2" s="2783" t="s">
        <v>1952</v>
      </c>
      <c r="F2" s="2791" t="s">
        <v>2646</v>
      </c>
      <c r="G2" s="2786"/>
      <c r="H2" s="2785"/>
      <c r="I2" s="2791" t="s">
        <v>2954</v>
      </c>
      <c r="J2" s="2783" t="s">
        <v>2956</v>
      </c>
      <c r="K2" s="2783" t="s">
        <v>2957</v>
      </c>
      <c r="L2" s="2791" t="s">
        <v>2958</v>
      </c>
      <c r="N2" s="2791" t="s">
        <v>2582</v>
      </c>
      <c r="O2" s="2783" t="s">
        <v>2955</v>
      </c>
      <c r="P2" s="2783" t="s">
        <v>1952</v>
      </c>
      <c r="Q2" s="2791" t="s">
        <v>2646</v>
      </c>
      <c r="R2" s="2784"/>
      <c r="S2" s="2791" t="s">
        <v>2582</v>
      </c>
      <c r="T2" s="2783" t="s">
        <v>2955</v>
      </c>
      <c r="U2" s="2783" t="s">
        <v>1952</v>
      </c>
      <c r="V2" s="2791" t="s">
        <v>2646</v>
      </c>
      <c r="X2" s="2791" t="s">
        <v>2582</v>
      </c>
      <c r="Y2" s="2791" t="s">
        <v>2645</v>
      </c>
      <c r="Z2" s="2783" t="s">
        <v>1645</v>
      </c>
      <c r="AA2" s="2783" t="s">
        <v>1952</v>
      </c>
      <c r="AB2" s="2791" t="s">
        <v>2646</v>
      </c>
      <c r="AD2" s="2791" t="s">
        <v>2582</v>
      </c>
      <c r="AE2" s="2791" t="s">
        <v>2645</v>
      </c>
      <c r="AF2" s="2783" t="s">
        <v>1645</v>
      </c>
      <c r="AG2" s="2783" t="s">
        <v>1952</v>
      </c>
      <c r="AH2" s="2791" t="s">
        <v>2646</v>
      </c>
    </row>
    <row r="3" spans="1:34" s="2775" customFormat="1" ht="14.25">
      <c r="B3" s="2776"/>
      <c r="C3" s="2776"/>
      <c r="D3" s="2777"/>
      <c r="E3" s="2777"/>
      <c r="F3" s="2776"/>
      <c r="G3" s="2781"/>
      <c r="H3" s="2778"/>
      <c r="I3" s="3163"/>
      <c r="J3" s="3163"/>
      <c r="K3" s="3163"/>
      <c r="L3" s="3163"/>
      <c r="N3" s="2781"/>
      <c r="O3" s="2779"/>
      <c r="P3" s="2779"/>
      <c r="Q3" s="2779"/>
      <c r="R3" s="2779"/>
      <c r="S3" s="2781"/>
      <c r="T3" s="2779"/>
      <c r="U3" s="2779"/>
      <c r="V3" s="2779"/>
      <c r="X3" s="2780">
        <f>ROUND(SUMPRODUCT(PRODUCT(1+N3:N$19)),4)</f>
        <v>1.4742</v>
      </c>
      <c r="Y3" s="2780">
        <f>ROUND(SUMPRODUCT(PRODUCT(1+O3:O$19)),4)</f>
        <v>1.2875000000000001</v>
      </c>
      <c r="Z3" s="2780">
        <f t="shared" ref="Z3:Z17" si="0">Y3</f>
        <v>1.2875000000000001</v>
      </c>
      <c r="AA3" s="2780">
        <f>ROUND(SUMPRODUCT(PRODUCT(1+P3:P$19)),4)</f>
        <v>1.5399</v>
      </c>
      <c r="AB3" s="2780">
        <f>ROUND(SUMPRODUCT(PRODUCT(1+Q3:Q$19)),4)</f>
        <v>1.2475000000000001</v>
      </c>
      <c r="AD3" s="2700">
        <f>ROUND(AVERAGE(I3:I$20)/100,4)</f>
        <v>2.4899999999999999E-2</v>
      </c>
      <c r="AE3" s="2700">
        <f>ROUND(AVERAGE(J3:J$20)/100,4)</f>
        <v>1.6400000000000001E-2</v>
      </c>
      <c r="AF3" s="2700">
        <f t="shared" ref="AF3:AF18" si="1">AE3</f>
        <v>1.6400000000000001E-2</v>
      </c>
      <c r="AG3" s="2700">
        <f>ROUND(AVERAGE(K3:K$20)/100,4)</f>
        <v>2.7799999999999998E-2</v>
      </c>
      <c r="AH3" s="2700">
        <f>ROUND(AVERAGE(L3:L$20)/100,4)</f>
        <v>1.3899999999999999E-2</v>
      </c>
    </row>
    <row r="4" spans="1:34" s="2775" customFormat="1" ht="13.5" thickBot="1">
      <c r="A4" s="2681" t="s">
        <v>2966</v>
      </c>
      <c r="B4" s="2695">
        <f>B5*(1+N4)</f>
        <v>453.57903691012211</v>
      </c>
      <c r="C4" s="2695">
        <f t="shared" ref="C4" si="2">C5*(1+O4)</f>
        <v>331.18001284964259</v>
      </c>
      <c r="D4" s="2695">
        <f t="shared" ref="D4:D9" si="3">C4</f>
        <v>331.18001284964259</v>
      </c>
      <c r="E4" s="2695">
        <f t="shared" ref="E4" si="4">E5*(1+P4)</f>
        <v>650.68458238034486</v>
      </c>
      <c r="F4" s="2695">
        <f t="shared" ref="F4" si="5">F5*(1+Q4)</f>
        <v>287.29097305893981</v>
      </c>
      <c r="G4" s="2781">
        <v>2018</v>
      </c>
      <c r="H4" s="2778">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79"/>
      <c r="S4" s="2781"/>
      <c r="T4" s="2779"/>
      <c r="U4" s="2779"/>
      <c r="V4" s="2779"/>
      <c r="X4" s="2780"/>
      <c r="Y4" s="2780"/>
      <c r="Z4" s="2780"/>
      <c r="AA4" s="2780"/>
      <c r="AB4" s="2780"/>
      <c r="AD4" s="2700"/>
      <c r="AE4" s="2700"/>
      <c r="AF4" s="2700"/>
      <c r="AG4" s="2700"/>
      <c r="AH4" s="2700"/>
    </row>
    <row r="5" spans="1:34" s="3146" customFormat="1">
      <c r="A5" s="3144" t="s">
        <v>2965</v>
      </c>
      <c r="B5" s="2822">
        <f t="shared" ref="B5" si="11">B6*(1+N5)</f>
        <v>442.55931008890832</v>
      </c>
      <c r="C5" s="2822">
        <f t="shared" ref="C5" si="12">C6*(1+O5)</f>
        <v>325.83629756950273</v>
      </c>
      <c r="D5" s="2822">
        <f t="shared" si="3"/>
        <v>325.83629756950273</v>
      </c>
      <c r="E5" s="2822">
        <f t="shared" ref="E5" si="13">E6*(1+P5)</f>
        <v>633.08482426575677</v>
      </c>
      <c r="F5" s="2822">
        <f t="shared" ref="F5" si="14">F6*(1+Q5)</f>
        <v>283.35237504580311</v>
      </c>
      <c r="G5" s="3593">
        <v>2017</v>
      </c>
      <c r="H5" s="3145">
        <v>4</v>
      </c>
      <c r="I5" s="3164">
        <f>ROUND(AVERAGE(I6:I20),2)</f>
        <v>2.4900000000000002</v>
      </c>
      <c r="J5" s="3164">
        <f>ROUND(AVERAGE(J6:J20),2)</f>
        <v>1.64</v>
      </c>
      <c r="K5" s="3164">
        <f>ROUND(AVERAGE(K6:K20),2)</f>
        <v>2.78</v>
      </c>
      <c r="L5" s="3164">
        <f>ROUND(AVERAGE(L6:L20),2)</f>
        <v>1.39</v>
      </c>
      <c r="N5" s="2788">
        <f t="shared" si="7"/>
        <v>2.4900000000000002E-2</v>
      </c>
      <c r="O5" s="2788">
        <f t="shared" ref="O5" si="15">J5/100</f>
        <v>1.6399999999999998E-2</v>
      </c>
      <c r="P5" s="2788">
        <f t="shared" ref="P5" si="16">K5/100</f>
        <v>2.7799999999999998E-2</v>
      </c>
      <c r="Q5" s="2788">
        <f t="shared" ref="Q5" si="17">L5/100</f>
        <v>1.3899999999999999E-2</v>
      </c>
      <c r="R5" s="3147"/>
      <c r="S5" s="3148"/>
      <c r="T5" s="3147"/>
      <c r="U5" s="3147"/>
      <c r="V5" s="3147"/>
      <c r="W5" s="2789" t="s">
        <v>2643</v>
      </c>
      <c r="X5" s="3149">
        <f>ROUND(SUMPRODUCT(PRODUCT(1+N5:N$19)),4)</f>
        <v>1.4383999999999999</v>
      </c>
      <c r="Y5" s="3149">
        <f>ROUND(SUMPRODUCT(PRODUCT(1+O5:O$19)),4)</f>
        <v>1.2667999999999999</v>
      </c>
      <c r="Z5" s="3149">
        <f t="shared" si="0"/>
        <v>1.2667999999999999</v>
      </c>
      <c r="AA5" s="3149">
        <f>ROUND(SUMPRODUCT(PRODUCT(1+P5:P$19)),4)</f>
        <v>1.4982</v>
      </c>
      <c r="AB5" s="3149">
        <f>ROUND(SUMPRODUCT(PRODUCT(1+Q5:Q$19)),4)</f>
        <v>1.2303999999999999</v>
      </c>
      <c r="AD5" s="3150">
        <f>ROUND(AVERAGE(I5:I$20)/100,4)</f>
        <v>2.4899999999999999E-2</v>
      </c>
      <c r="AE5" s="3150">
        <f>ROUND(AVERAGE(J5:J$20)/100,4)</f>
        <v>1.6400000000000001E-2</v>
      </c>
      <c r="AF5" s="3150">
        <f t="shared" si="1"/>
        <v>1.6400000000000001E-2</v>
      </c>
      <c r="AG5" s="3150">
        <f>ROUND(AVERAGE(K5:K$20)/100,4)</f>
        <v>2.7799999999999998E-2</v>
      </c>
      <c r="AH5" s="3150">
        <f>ROUND(AVERAGE(L5:L$20)/100,4)</f>
        <v>1.3899999999999999E-2</v>
      </c>
    </row>
    <row r="6" spans="1:34" s="3146" customFormat="1">
      <c r="A6" s="2681" t="s">
        <v>2583</v>
      </c>
      <c r="B6" s="2695">
        <f t="shared" ref="B6:C8" si="18">B7*(1+N6)</f>
        <v>431.80730811680002</v>
      </c>
      <c r="C6" s="2695">
        <f t="shared" si="18"/>
        <v>320.57880516480003</v>
      </c>
      <c r="D6" s="2695">
        <f t="shared" si="3"/>
        <v>320.57880516480003</v>
      </c>
      <c r="E6" s="2695">
        <f t="shared" ref="E6:F8" si="19">E7*(1+P6)</f>
        <v>615.96110553196797</v>
      </c>
      <c r="F6" s="2695">
        <f t="shared" si="19"/>
        <v>279.46777300108801</v>
      </c>
      <c r="G6" s="3588"/>
      <c r="H6" s="2685">
        <v>3</v>
      </c>
      <c r="I6" s="2685">
        <v>2.98</v>
      </c>
      <c r="J6" s="2685">
        <v>2.11</v>
      </c>
      <c r="K6" s="2685">
        <v>3.24</v>
      </c>
      <c r="L6" s="2696">
        <v>1.72</v>
      </c>
      <c r="N6" s="2690">
        <f t="shared" si="7"/>
        <v>2.98E-2</v>
      </c>
      <c r="O6" s="2691">
        <f t="shared" ref="O6:O7" si="20">J6/100</f>
        <v>2.1099999999999997E-2</v>
      </c>
      <c r="P6" s="2691">
        <f t="shared" ref="P6:P7" si="21">K6/100</f>
        <v>3.2400000000000005E-2</v>
      </c>
      <c r="Q6" s="2691">
        <f t="shared" ref="Q6:Q7" si="22">L6/100</f>
        <v>1.72E-2</v>
      </c>
      <c r="R6" s="3147"/>
      <c r="S6" s="2684"/>
      <c r="T6" s="3160"/>
      <c r="U6" s="3160"/>
      <c r="V6" s="3160"/>
      <c r="W6" s="2679"/>
      <c r="X6" s="2780">
        <f>ROUND(SUMPRODUCT(PRODUCT(1+N6:N$19)),4)</f>
        <v>1.4034</v>
      </c>
      <c r="Y6" s="2780">
        <f>ROUND(SUMPRODUCT(PRODUCT(1+O6:O$19)),4)</f>
        <v>1.2463</v>
      </c>
      <c r="Z6" s="2780">
        <f t="shared" si="0"/>
        <v>1.2463</v>
      </c>
      <c r="AA6" s="2780">
        <f>ROUND(SUMPRODUCT(PRODUCT(1+P6:P$19)),4)</f>
        <v>1.4577</v>
      </c>
      <c r="AB6" s="2780">
        <f>ROUND(SUMPRODUCT(PRODUCT(1+Q6:Q$19)),4)</f>
        <v>1.2136</v>
      </c>
      <c r="AC6" s="2679"/>
      <c r="AD6" s="2700">
        <f>ROUND(AVERAGE(I6:I$20)/100,4)</f>
        <v>2.4899999999999999E-2</v>
      </c>
      <c r="AE6" s="2700">
        <f>ROUND(AVERAGE(J6:J$20)/100,4)</f>
        <v>1.6400000000000001E-2</v>
      </c>
      <c r="AF6" s="2700">
        <f t="shared" si="1"/>
        <v>1.6400000000000001E-2</v>
      </c>
      <c r="AG6" s="2700">
        <f>ROUND(AVERAGE(K6:K$20)/100,4)</f>
        <v>2.7799999999999998E-2</v>
      </c>
      <c r="AH6" s="2700">
        <f>ROUND(AVERAGE(L6:L$20)/100,4)</f>
        <v>1.3899999999999999E-2</v>
      </c>
    </row>
    <row r="7" spans="1:34" s="2679" customFormat="1">
      <c r="A7" s="2681" t="s">
        <v>2584</v>
      </c>
      <c r="B7" s="2695">
        <f t="shared" si="18"/>
        <v>419.31181600000002</v>
      </c>
      <c r="C7" s="2695">
        <f t="shared" si="18"/>
        <v>313.95436800000004</v>
      </c>
      <c r="D7" s="2695">
        <f t="shared" si="3"/>
        <v>313.95436800000004</v>
      </c>
      <c r="E7" s="2695">
        <f t="shared" si="19"/>
        <v>596.63028431999999</v>
      </c>
      <c r="F7" s="2695">
        <f t="shared" si="19"/>
        <v>274.74220703999998</v>
      </c>
      <c r="G7" s="3588"/>
      <c r="H7" s="2686">
        <v>2</v>
      </c>
      <c r="I7" s="2686">
        <v>3.4</v>
      </c>
      <c r="J7" s="2686">
        <v>2</v>
      </c>
      <c r="K7" s="2686">
        <v>3.82</v>
      </c>
      <c r="L7" s="2697">
        <v>1.68</v>
      </c>
      <c r="N7" s="2690">
        <f t="shared" si="7"/>
        <v>3.4000000000000002E-2</v>
      </c>
      <c r="O7" s="2691">
        <f t="shared" si="20"/>
        <v>0.02</v>
      </c>
      <c r="P7" s="2691">
        <f t="shared" si="21"/>
        <v>3.8199999999999998E-2</v>
      </c>
      <c r="Q7" s="2691">
        <f t="shared" si="22"/>
        <v>1.6799999999999999E-2</v>
      </c>
      <c r="R7" s="2680"/>
      <c r="S7" s="2684"/>
      <c r="T7" s="2680"/>
      <c r="U7" s="2680"/>
      <c r="V7" s="2680"/>
      <c r="X7" s="2780">
        <f>ROUND(SUMPRODUCT(PRODUCT(1+N7:N$19)),4)</f>
        <v>1.3628</v>
      </c>
      <c r="Y7" s="2780">
        <f>ROUND(SUMPRODUCT(PRODUCT(1+O7:O$19)),4)</f>
        <v>1.2205999999999999</v>
      </c>
      <c r="Z7" s="2780">
        <f t="shared" si="0"/>
        <v>1.2205999999999999</v>
      </c>
      <c r="AA7" s="2780">
        <f>ROUND(SUMPRODUCT(PRODUCT(1+P7:P$19)),4)</f>
        <v>1.4118999999999999</v>
      </c>
      <c r="AB7" s="2780">
        <f>ROUND(SUMPRODUCT(PRODUCT(1+Q7:Q$19)),4)</f>
        <v>1.1930000000000001</v>
      </c>
      <c r="AD7" s="2700">
        <f>ROUND(AVERAGE(I7:I$20)/100,4)</f>
        <v>2.46E-2</v>
      </c>
      <c r="AE7" s="2700">
        <f>ROUND(AVERAGE(J7:J$20)/100,4)</f>
        <v>1.6E-2</v>
      </c>
      <c r="AF7" s="2700">
        <f t="shared" si="1"/>
        <v>1.6E-2</v>
      </c>
      <c r="AG7" s="2700">
        <f>ROUND(AVERAGE(K7:K$20)/100,4)</f>
        <v>2.75E-2</v>
      </c>
      <c r="AH7" s="2700">
        <f>ROUND(AVERAGE(L7:L$20)/100,4)</f>
        <v>1.37E-2</v>
      </c>
    </row>
    <row r="8" spans="1:34" s="2787" customFormat="1" ht="13.5" thickBot="1">
      <c r="A8" s="2681" t="s">
        <v>2585</v>
      </c>
      <c r="B8" s="2695">
        <f t="shared" si="18"/>
        <v>405.524</v>
      </c>
      <c r="C8" s="2695">
        <f t="shared" si="18"/>
        <v>307.79840000000002</v>
      </c>
      <c r="D8" s="2695">
        <f t="shared" si="3"/>
        <v>307.79840000000002</v>
      </c>
      <c r="E8" s="2695">
        <f t="shared" si="19"/>
        <v>574.67759999999998</v>
      </c>
      <c r="F8" s="2695">
        <f t="shared" si="19"/>
        <v>270.20280000000002</v>
      </c>
      <c r="G8" s="3589"/>
      <c r="H8" s="2685">
        <v>1</v>
      </c>
      <c r="I8" s="2685">
        <v>3.45</v>
      </c>
      <c r="J8" s="2685">
        <v>1.92</v>
      </c>
      <c r="K8" s="2685">
        <v>3.92</v>
      </c>
      <c r="L8" s="2696">
        <v>1.58</v>
      </c>
      <c r="M8" s="2689"/>
      <c r="N8" s="2690">
        <f t="shared" si="7"/>
        <v>3.4500000000000003E-2</v>
      </c>
      <c r="O8" s="2691">
        <f t="shared" ref="O8" si="23">J8/100</f>
        <v>1.9199999999999998E-2</v>
      </c>
      <c r="P8" s="2691">
        <f t="shared" ref="P8" si="24">K8/100</f>
        <v>3.9199999999999999E-2</v>
      </c>
      <c r="Q8" s="2691">
        <f t="shared" ref="Q8" si="25">L8/100</f>
        <v>1.5800000000000002E-2</v>
      </c>
      <c r="R8" s="2692"/>
      <c r="S8" s="2698">
        <f>B8/B9-1</f>
        <v>3.4499999999999975E-2</v>
      </c>
      <c r="T8" s="2699">
        <f>C8/C9-1</f>
        <v>1.9200000000000106E-2</v>
      </c>
      <c r="U8" s="2699">
        <f>E8/E9-1</f>
        <v>3.9199999999999902E-2</v>
      </c>
      <c r="V8" s="2699">
        <f>F8/F9-1</f>
        <v>1.5800000000000036E-2</v>
      </c>
      <c r="W8" s="2689"/>
      <c r="X8" s="2780">
        <f>ROUND(SUMPRODUCT(PRODUCT(1+N8:N$19)),4)</f>
        <v>1.3180000000000001</v>
      </c>
      <c r="Y8" s="2780">
        <f>ROUND(SUMPRODUCT(PRODUCT(1+O8:O$19)),4)</f>
        <v>1.1966000000000001</v>
      </c>
      <c r="Z8" s="2780">
        <f t="shared" si="0"/>
        <v>1.1966000000000001</v>
      </c>
      <c r="AA8" s="2780">
        <f>ROUND(SUMPRODUCT(PRODUCT(1+P8:P$19)),4)</f>
        <v>1.36</v>
      </c>
      <c r="AB8" s="2780">
        <f>ROUND(SUMPRODUCT(PRODUCT(1+Q8:Q$19)),4)</f>
        <v>1.1733</v>
      </c>
      <c r="AC8" s="2689"/>
      <c r="AD8" s="2700">
        <f>ROUND(AVERAGE(I8:I$20)/100,4)</f>
        <v>2.3900000000000001E-2</v>
      </c>
      <c r="AE8" s="2700">
        <f>ROUND(AVERAGE(J8:J$20)/100,4)</f>
        <v>1.5699999999999999E-2</v>
      </c>
      <c r="AF8" s="2700">
        <f t="shared" si="1"/>
        <v>1.5699999999999999E-2</v>
      </c>
      <c r="AG8" s="2700">
        <f>ROUND(AVERAGE(K8:K$20)/100,4)</f>
        <v>2.6599999999999999E-2</v>
      </c>
      <c r="AH8" s="2700">
        <f>ROUND(AVERAGE(L8:L$20)/100,4)</f>
        <v>1.34E-2</v>
      </c>
    </row>
    <row r="9" spans="1:34">
      <c r="A9" s="2681" t="s">
        <v>971</v>
      </c>
      <c r="B9" s="2687">
        <v>392</v>
      </c>
      <c r="C9" s="2687">
        <v>302</v>
      </c>
      <c r="D9" s="2687">
        <f t="shared" si="3"/>
        <v>302</v>
      </c>
      <c r="E9" s="2687">
        <v>553</v>
      </c>
      <c r="F9" s="2688">
        <v>266</v>
      </c>
      <c r="G9" s="3593">
        <v>2016</v>
      </c>
      <c r="H9" s="2682">
        <v>4</v>
      </c>
      <c r="I9" s="2682">
        <v>4.5599999999999996</v>
      </c>
      <c r="J9" s="2682">
        <v>2.15</v>
      </c>
      <c r="K9" s="2682">
        <v>5.32</v>
      </c>
      <c r="L9" s="2683">
        <v>1.57</v>
      </c>
      <c r="N9" s="2690">
        <f t="shared" si="7"/>
        <v>4.5599999999999995E-2</v>
      </c>
      <c r="O9" s="2691">
        <f t="shared" ref="O9:Q24" si="26">J9/100</f>
        <v>2.1499999999999998E-2</v>
      </c>
      <c r="P9" s="2691">
        <f t="shared" si="26"/>
        <v>5.3200000000000004E-2</v>
      </c>
      <c r="Q9" s="2691">
        <f t="shared" si="26"/>
        <v>1.5700000000000002E-2</v>
      </c>
      <c r="R9" s="2692"/>
      <c r="S9" s="2693"/>
      <c r="T9" s="2694"/>
      <c r="U9" s="2694"/>
      <c r="V9" s="2694"/>
      <c r="X9" s="2780">
        <f>ROUND(SUMPRODUCT(PRODUCT(1+N9:N$19)),4)</f>
        <v>1.274</v>
      </c>
      <c r="Y9" s="2780">
        <f>ROUND(SUMPRODUCT(PRODUCT(1+O9:O$19)),4)</f>
        <v>1.1740999999999999</v>
      </c>
      <c r="Z9" s="2780">
        <f t="shared" si="0"/>
        <v>1.1740999999999999</v>
      </c>
      <c r="AA9" s="2780">
        <f>ROUND(SUMPRODUCT(PRODUCT(1+P9:P$19)),4)</f>
        <v>1.3087</v>
      </c>
      <c r="AB9" s="2780">
        <f>ROUND(SUMPRODUCT(PRODUCT(1+Q9:Q$19)),4)</f>
        <v>1.1551</v>
      </c>
      <c r="AD9" s="2700">
        <f>ROUND(AVERAGE(I9:I$20)/100,4)</f>
        <v>2.3E-2</v>
      </c>
      <c r="AE9" s="2700">
        <f>ROUND(AVERAGE(J9:J$20)/100,4)</f>
        <v>1.55E-2</v>
      </c>
      <c r="AF9" s="2700">
        <f t="shared" si="1"/>
        <v>1.55E-2</v>
      </c>
      <c r="AG9" s="2700">
        <f>ROUND(AVERAGE(K9:K$20)/100,4)</f>
        <v>2.5600000000000001E-2</v>
      </c>
      <c r="AH9" s="2700">
        <f>ROUND(AVERAGE(L9:L$20)/100,4)</f>
        <v>1.32E-2</v>
      </c>
    </row>
    <row r="10" spans="1:34">
      <c r="A10" s="2681" t="s">
        <v>970</v>
      </c>
      <c r="B10" s="2695">
        <f t="shared" ref="B10:C12" si="27">B9/(1+N9)</f>
        <v>374.90436113236416</v>
      </c>
      <c r="C10" s="2695">
        <f t="shared" si="27"/>
        <v>295.64366128242779</v>
      </c>
      <c r="D10" s="2695">
        <f t="shared" ref="D10:D69" si="28">C10</f>
        <v>295.64366128242779</v>
      </c>
      <c r="E10" s="2695">
        <f t="shared" ref="E10:F12" si="29">E9/(1+P9)</f>
        <v>525.06646410938095</v>
      </c>
      <c r="F10" s="2695">
        <f t="shared" si="29"/>
        <v>261.88835286009646</v>
      </c>
      <c r="G10" s="3588"/>
      <c r="H10" s="2685">
        <v>3</v>
      </c>
      <c r="I10" s="2685">
        <v>4.12</v>
      </c>
      <c r="J10" s="2685">
        <v>2</v>
      </c>
      <c r="K10" s="2685">
        <v>4.79</v>
      </c>
      <c r="L10" s="2696">
        <v>1.97</v>
      </c>
      <c r="N10" s="2690">
        <f t="shared" ref="N10:Q44" si="30">I10/100</f>
        <v>4.1200000000000001E-2</v>
      </c>
      <c r="O10" s="2691">
        <f t="shared" si="26"/>
        <v>0.02</v>
      </c>
      <c r="P10" s="2691">
        <f t="shared" si="26"/>
        <v>4.7899999999999998E-2</v>
      </c>
      <c r="Q10" s="2691">
        <f t="shared" si="26"/>
        <v>1.9699999999999999E-2</v>
      </c>
      <c r="R10" s="2692"/>
      <c r="S10" s="2690"/>
      <c r="T10" s="2691"/>
      <c r="U10" s="2691"/>
      <c r="V10" s="2691"/>
      <c r="X10" s="2780">
        <f>ROUND(SUMPRODUCT(PRODUCT(1+N10:N$19)),4)</f>
        <v>1.2184999999999999</v>
      </c>
      <c r="Y10" s="2780">
        <f>ROUND(SUMPRODUCT(PRODUCT(1+O10:O$19)),4)</f>
        <v>1.1494</v>
      </c>
      <c r="Z10" s="2780">
        <f t="shared" si="0"/>
        <v>1.1494</v>
      </c>
      <c r="AA10" s="2780">
        <f>ROUND(SUMPRODUCT(PRODUCT(1+P10:P$19)),4)</f>
        <v>1.2425999999999999</v>
      </c>
      <c r="AB10" s="2780">
        <f>ROUND(SUMPRODUCT(PRODUCT(1+Q10:Q$19)),4)</f>
        <v>1.1372</v>
      </c>
      <c r="AD10" s="2700">
        <f>ROUND(AVERAGE(I10:I$20)/100,4)</f>
        <v>2.0899999999999998E-2</v>
      </c>
      <c r="AE10" s="2700">
        <f>ROUND(AVERAGE(J10:J$20)/100,4)</f>
        <v>1.49E-2</v>
      </c>
      <c r="AF10" s="2700">
        <f t="shared" si="1"/>
        <v>1.49E-2</v>
      </c>
      <c r="AG10" s="2700">
        <f>ROUND(AVERAGE(K10:K$20)/100,4)</f>
        <v>2.3099999999999999E-2</v>
      </c>
      <c r="AH10" s="2700">
        <f>ROUND(AVERAGE(L10:L$20)/100,4)</f>
        <v>1.2999999999999999E-2</v>
      </c>
    </row>
    <row r="11" spans="1:34">
      <c r="A11" s="2681" t="s">
        <v>960</v>
      </c>
      <c r="B11" s="2695">
        <f t="shared" si="27"/>
        <v>360.06949782209392</v>
      </c>
      <c r="C11" s="2695">
        <f t="shared" si="27"/>
        <v>289.84672674747821</v>
      </c>
      <c r="D11" s="2695">
        <f t="shared" si="28"/>
        <v>289.84672674747821</v>
      </c>
      <c r="E11" s="2695">
        <f t="shared" si="29"/>
        <v>501.06543001181495</v>
      </c>
      <c r="F11" s="2695">
        <f t="shared" si="29"/>
        <v>256.82882500744967</v>
      </c>
      <c r="G11" s="3588"/>
      <c r="H11" s="2686">
        <v>2</v>
      </c>
      <c r="I11" s="2686">
        <v>3.85</v>
      </c>
      <c r="J11" s="2686">
        <v>1.95</v>
      </c>
      <c r="K11" s="2686">
        <v>4.4800000000000004</v>
      </c>
      <c r="L11" s="2697">
        <v>1.41</v>
      </c>
      <c r="N11" s="2690">
        <f t="shared" si="30"/>
        <v>3.85E-2</v>
      </c>
      <c r="O11" s="2691">
        <f t="shared" si="26"/>
        <v>1.95E-2</v>
      </c>
      <c r="P11" s="2691">
        <f t="shared" si="26"/>
        <v>4.4800000000000006E-2</v>
      </c>
      <c r="Q11" s="2691">
        <f t="shared" si="26"/>
        <v>1.41E-2</v>
      </c>
      <c r="R11" s="2692"/>
      <c r="S11" s="2690"/>
      <c r="T11" s="2691"/>
      <c r="U11" s="2691"/>
      <c r="V11" s="2691"/>
      <c r="X11" s="2780">
        <f>ROUND(SUMPRODUCT(PRODUCT(1+N11:N$19)),4)</f>
        <v>1.1702999999999999</v>
      </c>
      <c r="Y11" s="2780">
        <f>ROUND(SUMPRODUCT(PRODUCT(1+O11:O$19)),4)</f>
        <v>1.1269</v>
      </c>
      <c r="Z11" s="2780">
        <f t="shared" si="0"/>
        <v>1.1269</v>
      </c>
      <c r="AA11" s="2780">
        <f>ROUND(SUMPRODUCT(PRODUCT(1+P11:P$19)),4)</f>
        <v>1.1858</v>
      </c>
      <c r="AB11" s="2780">
        <f>ROUND(SUMPRODUCT(PRODUCT(1+Q11:Q$19)),4)</f>
        <v>1.1152</v>
      </c>
      <c r="AD11" s="2700">
        <f>ROUND(AVERAGE(I11:I$20)/100,4)</f>
        <v>1.89E-2</v>
      </c>
      <c r="AE11" s="2700">
        <f>ROUND(AVERAGE(J11:J$20)/100,4)</f>
        <v>1.44E-2</v>
      </c>
      <c r="AF11" s="2700">
        <f t="shared" si="1"/>
        <v>1.44E-2</v>
      </c>
      <c r="AG11" s="2700">
        <f>ROUND(AVERAGE(K11:K$20)/100,4)</f>
        <v>2.06E-2</v>
      </c>
      <c r="AH11" s="2700">
        <f>ROUND(AVERAGE(L11:L$20)/100,4)</f>
        <v>1.23E-2</v>
      </c>
    </row>
    <row r="12" spans="1:34" ht="13.5" thickBot="1">
      <c r="A12" s="2681" t="s">
        <v>969</v>
      </c>
      <c r="B12" s="2695">
        <f t="shared" si="27"/>
        <v>346.720748986128</v>
      </c>
      <c r="C12" s="2695">
        <f t="shared" si="27"/>
        <v>284.30282172386285</v>
      </c>
      <c r="D12" s="2695">
        <f t="shared" si="28"/>
        <v>284.30282172386285</v>
      </c>
      <c r="E12" s="2695">
        <f t="shared" si="29"/>
        <v>479.58023546306947</v>
      </c>
      <c r="F12" s="2695">
        <f t="shared" si="29"/>
        <v>253.25788877571213</v>
      </c>
      <c r="G12" s="3589"/>
      <c r="H12" s="2685">
        <v>1</v>
      </c>
      <c r="I12" s="2685">
        <v>4.09</v>
      </c>
      <c r="J12" s="2685">
        <v>2.93</v>
      </c>
      <c r="K12" s="2685">
        <v>4.54</v>
      </c>
      <c r="L12" s="2696">
        <v>1.48</v>
      </c>
      <c r="N12" s="2690">
        <f t="shared" si="30"/>
        <v>4.0899999999999999E-2</v>
      </c>
      <c r="O12" s="2691">
        <f t="shared" si="26"/>
        <v>2.9300000000000003E-2</v>
      </c>
      <c r="P12" s="2691">
        <f t="shared" si="26"/>
        <v>4.5400000000000003E-2</v>
      </c>
      <c r="Q12" s="2691">
        <f t="shared" si="26"/>
        <v>1.4800000000000001E-2</v>
      </c>
      <c r="R12" s="2692"/>
      <c r="S12" s="2698">
        <f>B12/B13-1</f>
        <v>4.1203450408792808E-2</v>
      </c>
      <c r="T12" s="2699">
        <f>C12/C13-1</f>
        <v>2.6363977342465095E-2</v>
      </c>
      <c r="U12" s="2699">
        <f>E12/E13-1</f>
        <v>4.4837114298626357E-2</v>
      </c>
      <c r="V12" s="2699">
        <f>F12/F13-1</f>
        <v>1.7099954922538574E-2</v>
      </c>
      <c r="X12" s="2780">
        <f>ROUND(SUMPRODUCT(PRODUCT(1+N12:N$19)),4)</f>
        <v>1.1269</v>
      </c>
      <c r="Y12" s="2780">
        <f>ROUND(SUMPRODUCT(PRODUCT(1+O12:O$19)),4)</f>
        <v>1.1052999999999999</v>
      </c>
      <c r="Z12" s="2780">
        <f t="shared" si="0"/>
        <v>1.1052999999999999</v>
      </c>
      <c r="AA12" s="2780">
        <f>ROUND(SUMPRODUCT(PRODUCT(1+P12:P$19)),4)</f>
        <v>1.1349</v>
      </c>
      <c r="AB12" s="2780">
        <f>ROUND(SUMPRODUCT(PRODUCT(1+Q12:Q$19)),4)</f>
        <v>1.0996999999999999</v>
      </c>
      <c r="AD12" s="2700">
        <f>ROUND(AVERAGE(I12:I$20)/100,4)</f>
        <v>1.67E-2</v>
      </c>
      <c r="AE12" s="2700">
        <f>ROUND(AVERAGE(J12:J$20)/100,4)</f>
        <v>1.38E-2</v>
      </c>
      <c r="AF12" s="2700">
        <f t="shared" si="1"/>
        <v>1.38E-2</v>
      </c>
      <c r="AG12" s="2700">
        <f>ROUND(AVERAGE(K12:K$20)/100,4)</f>
        <v>1.7899999999999999E-2</v>
      </c>
      <c r="AH12" s="2700">
        <f>ROUND(AVERAGE(L12:L$20)/100,4)</f>
        <v>1.21E-2</v>
      </c>
    </row>
    <row r="13" spans="1:34" ht="13.5" thickBot="1">
      <c r="A13" s="2681" t="s">
        <v>968</v>
      </c>
      <c r="B13" s="2687">
        <v>333</v>
      </c>
      <c r="C13" s="2687">
        <v>277</v>
      </c>
      <c r="D13" s="2687">
        <f t="shared" si="28"/>
        <v>277</v>
      </c>
      <c r="E13" s="2687">
        <v>459</v>
      </c>
      <c r="F13" s="2688">
        <v>249</v>
      </c>
      <c r="G13" s="3587">
        <v>2015</v>
      </c>
      <c r="H13" s="2701">
        <v>4</v>
      </c>
      <c r="I13" s="2701">
        <v>1.63</v>
      </c>
      <c r="J13" s="2701">
        <v>1.1100000000000001</v>
      </c>
      <c r="K13" s="2701">
        <v>1.77</v>
      </c>
      <c r="L13" s="2702">
        <v>1.89</v>
      </c>
      <c r="N13" s="2703">
        <f t="shared" si="30"/>
        <v>1.6299999999999999E-2</v>
      </c>
      <c r="O13" s="2704">
        <f t="shared" si="26"/>
        <v>1.11E-2</v>
      </c>
      <c r="P13" s="2704">
        <f t="shared" si="26"/>
        <v>1.77E-2</v>
      </c>
      <c r="Q13" s="2704">
        <f t="shared" si="26"/>
        <v>1.89E-2</v>
      </c>
      <c r="R13" s="2692"/>
      <c r="X13" s="2780">
        <f>ROUND(SUMPRODUCT(PRODUCT(1+N13:N$19)),4)</f>
        <v>1.0826</v>
      </c>
      <c r="Y13" s="2780">
        <f>ROUND(SUMPRODUCT(PRODUCT(1+O13:O$19)),4)</f>
        <v>1.0738000000000001</v>
      </c>
      <c r="Z13" s="2780">
        <f t="shared" si="0"/>
        <v>1.0738000000000001</v>
      </c>
      <c r="AA13" s="2780">
        <f>ROUND(SUMPRODUCT(PRODUCT(1+P13:P$19)),4)</f>
        <v>1.0855999999999999</v>
      </c>
      <c r="AB13" s="2780">
        <f>ROUND(SUMPRODUCT(PRODUCT(1+Q13:Q$19)),4)</f>
        <v>1.0837000000000001</v>
      </c>
      <c r="AD13" s="2700">
        <f>ROUND(AVERAGE(I13:I$20)/100,4)</f>
        <v>1.37E-2</v>
      </c>
      <c r="AE13" s="2700">
        <f>ROUND(AVERAGE(J13:J$20)/100,4)</f>
        <v>1.1900000000000001E-2</v>
      </c>
      <c r="AF13" s="2700">
        <f t="shared" si="1"/>
        <v>1.1900000000000001E-2</v>
      </c>
      <c r="AG13" s="2700">
        <f>ROUND(AVERAGE(K13:K$20)/100,4)</f>
        <v>1.4500000000000001E-2</v>
      </c>
      <c r="AH13" s="2700">
        <f>ROUND(AVERAGE(L13:L$20)/100,4)</f>
        <v>1.18E-2</v>
      </c>
    </row>
    <row r="14" spans="1:34">
      <c r="A14" s="2681" t="s">
        <v>967</v>
      </c>
      <c r="B14" s="2695">
        <f t="shared" ref="B14:C16" si="31">B13/(1+N13)</f>
        <v>327.65915576109415</v>
      </c>
      <c r="C14" s="2695">
        <f t="shared" si="31"/>
        <v>273.95905449510434</v>
      </c>
      <c r="D14" s="2695">
        <f t="shared" si="28"/>
        <v>273.95905449510434</v>
      </c>
      <c r="E14" s="2695">
        <f t="shared" ref="E14:F16" si="32">E13/(1+P13)</f>
        <v>451.01699911565294</v>
      </c>
      <c r="F14" s="2695">
        <f t="shared" si="32"/>
        <v>244.38119540681129</v>
      </c>
      <c r="G14" s="3588"/>
      <c r="H14" s="2706">
        <v>3</v>
      </c>
      <c r="I14" s="2706">
        <v>1.65</v>
      </c>
      <c r="J14" s="2706">
        <v>0.92</v>
      </c>
      <c r="K14" s="2706">
        <v>1.88</v>
      </c>
      <c r="L14" s="2707">
        <v>1.26</v>
      </c>
      <c r="N14" s="2690">
        <f t="shared" si="30"/>
        <v>1.6500000000000001E-2</v>
      </c>
      <c r="O14" s="2708">
        <f t="shared" si="26"/>
        <v>9.1999999999999998E-3</v>
      </c>
      <c r="P14" s="2708">
        <f t="shared" si="26"/>
        <v>1.8799999999999997E-2</v>
      </c>
      <c r="Q14" s="2708">
        <f t="shared" si="26"/>
        <v>1.26E-2</v>
      </c>
      <c r="R14" s="2692"/>
      <c r="S14" s="2690"/>
      <c r="T14" s="2691"/>
      <c r="U14" s="2691"/>
      <c r="V14" s="2691"/>
      <c r="X14" s="2780">
        <f>ROUND(SUMPRODUCT(PRODUCT(1+N14:N$19)),4)</f>
        <v>1.0651999999999999</v>
      </c>
      <c r="Y14" s="2780">
        <f>ROUND(SUMPRODUCT(PRODUCT(1+O14:O$19)),4)</f>
        <v>1.0621</v>
      </c>
      <c r="Z14" s="2780">
        <f t="shared" si="0"/>
        <v>1.0621</v>
      </c>
      <c r="AA14" s="2780">
        <f>ROUND(SUMPRODUCT(PRODUCT(1+P14:P$19)),4)</f>
        <v>1.0668</v>
      </c>
      <c r="AB14" s="2780">
        <f>ROUND(SUMPRODUCT(PRODUCT(1+Q14:Q$19)),4)</f>
        <v>1.0636000000000001</v>
      </c>
      <c r="AD14" s="2700">
        <f>ROUND(AVERAGE(I14:I$20)/100,4)</f>
        <v>1.3299999999999999E-2</v>
      </c>
      <c r="AE14" s="2700">
        <f>ROUND(AVERAGE(J14:J$20)/100,4)</f>
        <v>1.2E-2</v>
      </c>
      <c r="AF14" s="2700">
        <f t="shared" si="1"/>
        <v>1.2E-2</v>
      </c>
      <c r="AG14" s="2700">
        <f>ROUND(AVERAGE(K14:K$20)/100,4)</f>
        <v>1.4E-2</v>
      </c>
      <c r="AH14" s="2700">
        <f>ROUND(AVERAGE(L14:L$20)/100,4)</f>
        <v>1.0800000000000001E-2</v>
      </c>
    </row>
    <row r="15" spans="1:34">
      <c r="A15" s="2681" t="s">
        <v>966</v>
      </c>
      <c r="B15" s="2695">
        <f t="shared" si="31"/>
        <v>322.34053690220776</v>
      </c>
      <c r="C15" s="2695">
        <f t="shared" si="31"/>
        <v>271.46160770422546</v>
      </c>
      <c r="D15" s="2695">
        <f t="shared" si="28"/>
        <v>271.46160770422546</v>
      </c>
      <c r="E15" s="2695">
        <f t="shared" si="32"/>
        <v>442.69434542172456</v>
      </c>
      <c r="F15" s="2695">
        <f t="shared" si="32"/>
        <v>241.34030753190925</v>
      </c>
      <c r="G15" s="3588"/>
      <c r="H15" s="2686">
        <v>2</v>
      </c>
      <c r="I15" s="2686">
        <v>0.77</v>
      </c>
      <c r="J15" s="2686">
        <v>0.69</v>
      </c>
      <c r="K15" s="2686">
        <v>0.8</v>
      </c>
      <c r="L15" s="2697">
        <v>0.88</v>
      </c>
      <c r="N15" s="2690">
        <f t="shared" si="30"/>
        <v>7.7000000000000002E-3</v>
      </c>
      <c r="O15" s="2708">
        <f t="shared" si="26"/>
        <v>6.8999999999999999E-3</v>
      </c>
      <c r="P15" s="2708">
        <f t="shared" si="26"/>
        <v>8.0000000000000002E-3</v>
      </c>
      <c r="Q15" s="2708">
        <f t="shared" si="26"/>
        <v>8.8000000000000005E-3</v>
      </c>
      <c r="R15" s="2692"/>
      <c r="S15" s="2690"/>
      <c r="T15" s="2691"/>
      <c r="U15" s="2691"/>
      <c r="V15" s="2691"/>
      <c r="X15" s="2780">
        <f>ROUND(SUMPRODUCT(PRODUCT(1+N15:N$19)),4)</f>
        <v>1.048</v>
      </c>
      <c r="Y15" s="2780">
        <f>ROUND(SUMPRODUCT(PRODUCT(1+O15:O$19)),4)</f>
        <v>1.0524</v>
      </c>
      <c r="Z15" s="2780">
        <f t="shared" si="0"/>
        <v>1.0524</v>
      </c>
      <c r="AA15" s="2780">
        <f>ROUND(SUMPRODUCT(PRODUCT(1+P15:P$19)),4)</f>
        <v>1.0470999999999999</v>
      </c>
      <c r="AB15" s="2780">
        <f>ROUND(SUMPRODUCT(PRODUCT(1+Q15:Q$19)),4)</f>
        <v>1.0504</v>
      </c>
      <c r="AD15" s="2700">
        <f>ROUND(AVERAGE(I15:I$20)/100,4)</f>
        <v>1.2800000000000001E-2</v>
      </c>
      <c r="AE15" s="2700">
        <f>ROUND(AVERAGE(J15:J$20)/100,4)</f>
        <v>1.2500000000000001E-2</v>
      </c>
      <c r="AF15" s="2700">
        <f t="shared" si="1"/>
        <v>1.2500000000000001E-2</v>
      </c>
      <c r="AG15" s="2700">
        <f>ROUND(AVERAGE(K15:K$20)/100,4)</f>
        <v>1.32E-2</v>
      </c>
      <c r="AH15" s="2700">
        <f>ROUND(AVERAGE(L15:L$20)/100,4)</f>
        <v>1.0500000000000001E-2</v>
      </c>
    </row>
    <row r="16" spans="1:34">
      <c r="A16" s="2681" t="s">
        <v>965</v>
      </c>
      <c r="B16" s="2695">
        <f t="shared" si="31"/>
        <v>319.87748030386797</v>
      </c>
      <c r="C16" s="2695">
        <f t="shared" si="31"/>
        <v>269.60135833173649</v>
      </c>
      <c r="D16" s="2695">
        <f t="shared" si="28"/>
        <v>269.60135833173649</v>
      </c>
      <c r="E16" s="2695">
        <f t="shared" si="32"/>
        <v>439.18089823583784</v>
      </c>
      <c r="F16" s="2695">
        <f t="shared" si="32"/>
        <v>239.23503918706311</v>
      </c>
      <c r="G16" s="3589"/>
      <c r="H16" s="2685">
        <v>1</v>
      </c>
      <c r="I16" s="2685">
        <v>0.51</v>
      </c>
      <c r="J16" s="2685">
        <v>0.54</v>
      </c>
      <c r="K16" s="2685">
        <v>0.48</v>
      </c>
      <c r="L16" s="2696">
        <v>0.93</v>
      </c>
      <c r="N16" s="2698">
        <f t="shared" si="30"/>
        <v>5.1000000000000004E-3</v>
      </c>
      <c r="O16" s="2699">
        <f t="shared" si="26"/>
        <v>5.4000000000000003E-3</v>
      </c>
      <c r="P16" s="2699">
        <f t="shared" si="26"/>
        <v>4.7999999999999996E-3</v>
      </c>
      <c r="Q16" s="2699">
        <f t="shared" si="26"/>
        <v>9.300000000000001E-3</v>
      </c>
      <c r="R16" s="2692"/>
      <c r="S16" s="2698">
        <f>B16/B17-1</f>
        <v>5.9040261127922822E-3</v>
      </c>
      <c r="T16" s="2699">
        <f>C16/C17-1</f>
        <v>5.9752176557332781E-3</v>
      </c>
      <c r="U16" s="2699">
        <f>E16/E17-1</f>
        <v>4.9906138119859556E-3</v>
      </c>
      <c r="V16" s="2699">
        <f>F16/F17-1</f>
        <v>9.4305450930933787E-3</v>
      </c>
      <c r="X16" s="2780">
        <f>ROUND(SUMPRODUCT(PRODUCT(1+N16:N$19)),4)</f>
        <v>1.0399</v>
      </c>
      <c r="Y16" s="2780">
        <f>ROUND(SUMPRODUCT(PRODUCT(1+O16:O$19)),4)</f>
        <v>1.0451999999999999</v>
      </c>
      <c r="Z16" s="2780">
        <f t="shared" si="0"/>
        <v>1.0451999999999999</v>
      </c>
      <c r="AA16" s="2780">
        <f>ROUND(SUMPRODUCT(PRODUCT(1+P16:P$19)),4)</f>
        <v>1.0387999999999999</v>
      </c>
      <c r="AB16" s="2780">
        <f>ROUND(SUMPRODUCT(PRODUCT(1+Q16:Q$19)),4)</f>
        <v>1.0411999999999999</v>
      </c>
      <c r="AD16" s="2700">
        <f>ROUND(AVERAGE(I16:I$20)/100,4)</f>
        <v>1.38E-2</v>
      </c>
      <c r="AE16" s="2700">
        <f>ROUND(AVERAGE(J16:J$20)/100,4)</f>
        <v>1.3599999999999999E-2</v>
      </c>
      <c r="AF16" s="2700">
        <f t="shared" si="1"/>
        <v>1.3599999999999999E-2</v>
      </c>
      <c r="AG16" s="2700">
        <f>ROUND(AVERAGE(K16:K$20)/100,4)</f>
        <v>1.4200000000000001E-2</v>
      </c>
      <c r="AH16" s="2700">
        <f>ROUND(AVERAGE(L16:L$20)/100,4)</f>
        <v>1.0800000000000001E-2</v>
      </c>
    </row>
    <row r="17" spans="1:34" ht="13.5" thickBot="1">
      <c r="A17" s="2681" t="s">
        <v>964</v>
      </c>
      <c r="B17" s="2709">
        <v>318</v>
      </c>
      <c r="C17" s="2709">
        <v>268</v>
      </c>
      <c r="D17" s="2709">
        <f t="shared" si="28"/>
        <v>268</v>
      </c>
      <c r="E17" s="2709">
        <v>437</v>
      </c>
      <c r="F17" s="2710">
        <v>237</v>
      </c>
      <c r="G17" s="3587">
        <v>2014</v>
      </c>
      <c r="H17" s="2701">
        <v>4</v>
      </c>
      <c r="I17" s="2701">
        <v>0.21</v>
      </c>
      <c r="J17" s="2701">
        <v>0.41</v>
      </c>
      <c r="K17" s="2701">
        <v>0.12</v>
      </c>
      <c r="L17" s="2702">
        <v>0.89</v>
      </c>
      <c r="N17" s="2690">
        <f t="shared" si="30"/>
        <v>2.0999999999999999E-3</v>
      </c>
      <c r="O17" s="2691">
        <f t="shared" si="26"/>
        <v>4.0999999999999995E-3</v>
      </c>
      <c r="P17" s="2691">
        <f t="shared" si="26"/>
        <v>1.1999999999999999E-3</v>
      </c>
      <c r="Q17" s="2691">
        <f t="shared" si="26"/>
        <v>8.8999999999999999E-3</v>
      </c>
      <c r="R17" s="2692"/>
      <c r="S17" s="2693"/>
      <c r="T17" s="2694"/>
      <c r="U17" s="2694"/>
      <c r="V17" s="2694"/>
      <c r="X17" s="2780">
        <f>ROUND(SUMPRODUCT(PRODUCT(1+N17:N$19)),4)</f>
        <v>1.0347</v>
      </c>
      <c r="Y17" s="2780">
        <f>ROUND(SUMPRODUCT(PRODUCT(1+O17:O$19)),4)</f>
        <v>1.0395000000000001</v>
      </c>
      <c r="Z17" s="2780">
        <f t="shared" si="0"/>
        <v>1.0395000000000001</v>
      </c>
      <c r="AA17" s="2780">
        <f>ROUND(SUMPRODUCT(PRODUCT(1+P17:P$19)),4)</f>
        <v>1.0338000000000001</v>
      </c>
      <c r="AB17" s="2780">
        <f>ROUND(SUMPRODUCT(PRODUCT(1+Q17:Q$19)),4)</f>
        <v>1.0316000000000001</v>
      </c>
      <c r="AD17" s="2700">
        <f>ROUND(AVERAGE(I17:I$20)/100,4)</f>
        <v>1.6E-2</v>
      </c>
      <c r="AE17" s="2700">
        <f>ROUND(AVERAGE(J17:J$20)/100,4)</f>
        <v>1.5599999999999999E-2</v>
      </c>
      <c r="AF17" s="2700">
        <f t="shared" si="1"/>
        <v>1.5599999999999999E-2</v>
      </c>
      <c r="AG17" s="2700">
        <f>ROUND(AVERAGE(K17:K$20)/100,4)</f>
        <v>1.66E-2</v>
      </c>
      <c r="AH17" s="2700">
        <f>ROUND(AVERAGE(L17:L$20)/100,4)</f>
        <v>1.12E-2</v>
      </c>
    </row>
    <row r="18" spans="1:34">
      <c r="A18" s="2681" t="s">
        <v>963</v>
      </c>
      <c r="B18" s="2695">
        <f t="shared" ref="B18:C20" si="33">B17/(1+N17)</f>
        <v>317.33359944117353</v>
      </c>
      <c r="C18" s="2695">
        <f t="shared" si="33"/>
        <v>266.90568668459315</v>
      </c>
      <c r="D18" s="2695">
        <f t="shared" si="28"/>
        <v>266.90568668459315</v>
      </c>
      <c r="E18" s="2695">
        <f t="shared" ref="E18:F20" si="34">E17/(1+P17)</f>
        <v>436.47622852576905</v>
      </c>
      <c r="F18" s="2695">
        <f t="shared" si="34"/>
        <v>234.90930716622066</v>
      </c>
      <c r="G18" s="3588"/>
      <c r="H18" s="2711">
        <v>3</v>
      </c>
      <c r="I18" s="2711">
        <v>0.83</v>
      </c>
      <c r="J18" s="2711">
        <v>1.47</v>
      </c>
      <c r="K18" s="2711">
        <v>0.65</v>
      </c>
      <c r="L18" s="2712">
        <v>0.72</v>
      </c>
      <c r="N18" s="2690">
        <f t="shared" si="30"/>
        <v>8.3000000000000001E-3</v>
      </c>
      <c r="O18" s="2691">
        <f t="shared" si="26"/>
        <v>1.47E-2</v>
      </c>
      <c r="P18" s="2691">
        <f t="shared" si="26"/>
        <v>6.5000000000000006E-3</v>
      </c>
      <c r="Q18" s="2691">
        <f t="shared" si="26"/>
        <v>7.1999999999999998E-3</v>
      </c>
      <c r="R18" s="2692"/>
      <c r="S18" s="2690"/>
      <c r="T18" s="2691"/>
      <c r="U18" s="2691"/>
      <c r="V18" s="2691"/>
      <c r="X18" s="2780">
        <f>ROUND(SUMPRODUCT(PRODUCT(1+N18:N$19)),4)</f>
        <v>1.0325</v>
      </c>
      <c r="Y18" s="2780">
        <f>ROUND(SUMPRODUCT(PRODUCT(1+O18:O$19)),4)</f>
        <v>1.0353000000000001</v>
      </c>
      <c r="Z18" s="2780">
        <f t="shared" ref="Z18:Z19" si="35">Y18</f>
        <v>1.0353000000000001</v>
      </c>
      <c r="AA18" s="2780">
        <f>ROUND(SUMPRODUCT(PRODUCT(1+P18:P$19)),4)</f>
        <v>1.0326</v>
      </c>
      <c r="AB18" s="2780">
        <f>ROUND(SUMPRODUCT(PRODUCT(1+Q18:Q$19)),4)</f>
        <v>1.0225</v>
      </c>
      <c r="AD18" s="2700">
        <f>ROUND(AVERAGE(I18:I$20)/100,4)</f>
        <v>2.07E-2</v>
      </c>
      <c r="AE18" s="2700">
        <f>ROUND(AVERAGE(J18:J$20)/100,4)</f>
        <v>1.95E-2</v>
      </c>
      <c r="AF18" s="2700">
        <f t="shared" si="1"/>
        <v>1.95E-2</v>
      </c>
      <c r="AG18" s="2700">
        <f>ROUND(AVERAGE(K18:K$20)/100,4)</f>
        <v>2.1700000000000001E-2</v>
      </c>
      <c r="AH18" s="2700">
        <f>ROUND(AVERAGE(L18:L$20)/100,4)</f>
        <v>1.2E-2</v>
      </c>
    </row>
    <row r="19" spans="1:34" ht="13.5" thickBot="1">
      <c r="A19" s="2681" t="s">
        <v>962</v>
      </c>
      <c r="B19" s="2695">
        <f t="shared" si="33"/>
        <v>314.72141172386546</v>
      </c>
      <c r="C19" s="2695">
        <f t="shared" si="33"/>
        <v>263.03901319069001</v>
      </c>
      <c r="D19" s="2695">
        <f t="shared" si="28"/>
        <v>263.03901319069001</v>
      </c>
      <c r="E19" s="2695">
        <f t="shared" si="34"/>
        <v>433.65745506782821</v>
      </c>
      <c r="F19" s="2695">
        <f t="shared" si="34"/>
        <v>233.23005080045735</v>
      </c>
      <c r="G19" s="3588"/>
      <c r="H19" s="2701">
        <v>2</v>
      </c>
      <c r="I19" s="2701">
        <v>2.4</v>
      </c>
      <c r="J19" s="2701">
        <v>2.0299999999999998</v>
      </c>
      <c r="K19" s="2701">
        <v>2.59</v>
      </c>
      <c r="L19" s="2702">
        <v>1.52</v>
      </c>
      <c r="N19" s="2690">
        <f t="shared" si="30"/>
        <v>2.4E-2</v>
      </c>
      <c r="O19" s="2691">
        <f t="shared" si="26"/>
        <v>2.0299999999999999E-2</v>
      </c>
      <c r="P19" s="2691">
        <f t="shared" si="26"/>
        <v>2.5899999999999999E-2</v>
      </c>
      <c r="Q19" s="2691">
        <f t="shared" si="26"/>
        <v>1.52E-2</v>
      </c>
      <c r="R19" s="2692"/>
      <c r="S19" s="2690"/>
      <c r="T19" s="2691"/>
      <c r="U19" s="2691"/>
      <c r="V19" s="2691"/>
      <c r="X19" s="2780">
        <f>1+N19</f>
        <v>1.024</v>
      </c>
      <c r="Y19" s="2780">
        <f>1+O19</f>
        <v>1.0203</v>
      </c>
      <c r="Z19" s="2780">
        <f t="shared" si="35"/>
        <v>1.0203</v>
      </c>
      <c r="AA19" s="2780">
        <f>1+P19</f>
        <v>1.0259</v>
      </c>
      <c r="AB19" s="2780">
        <f>1+Q19</f>
        <v>1.0152000000000001</v>
      </c>
      <c r="AD19" s="2700">
        <f>ROUND(AVERAGE(I19:I$20)/100,4)</f>
        <v>2.69E-2</v>
      </c>
      <c r="AE19" s="2700">
        <f>ROUND(AVERAGE(J19:J$20)/100,4)</f>
        <v>2.1899999999999999E-2</v>
      </c>
      <c r="AF19" s="2700">
        <f t="shared" ref="AF19" si="36">AE19</f>
        <v>2.1899999999999999E-2</v>
      </c>
      <c r="AG19" s="2700">
        <f>ROUND(AVERAGE(K19:K$20)/100,4)</f>
        <v>2.9399999999999999E-2</v>
      </c>
      <c r="AH19" s="2700">
        <f>ROUND(AVERAGE(L19:L$20)/100,4)</f>
        <v>1.44E-2</v>
      </c>
    </row>
    <row r="20" spans="1:34" s="2717" customFormat="1" ht="13.5" thickBot="1">
      <c r="A20" s="2713" t="s">
        <v>961</v>
      </c>
      <c r="B20" s="2714">
        <f t="shared" si="33"/>
        <v>307.34512863658733</v>
      </c>
      <c r="C20" s="2714">
        <f t="shared" si="33"/>
        <v>257.80556031626975</v>
      </c>
      <c r="D20" s="2714">
        <f t="shared" si="28"/>
        <v>257.80556031626975</v>
      </c>
      <c r="E20" s="2714">
        <f t="shared" si="34"/>
        <v>422.70928459677179</v>
      </c>
      <c r="F20" s="2714">
        <f t="shared" si="34"/>
        <v>229.73803270336617</v>
      </c>
      <c r="G20" s="3589"/>
      <c r="H20" s="2715">
        <v>1</v>
      </c>
      <c r="I20" s="2715">
        <v>2.97</v>
      </c>
      <c r="J20" s="2715">
        <v>2.34</v>
      </c>
      <c r="K20" s="2715">
        <v>3.28</v>
      </c>
      <c r="L20" s="2716">
        <v>1.36</v>
      </c>
      <c r="N20" s="2718">
        <f t="shared" si="30"/>
        <v>2.9700000000000001E-2</v>
      </c>
      <c r="O20" s="2719">
        <f t="shared" si="26"/>
        <v>2.3399999999999997E-2</v>
      </c>
      <c r="P20" s="2719">
        <f t="shared" si="26"/>
        <v>3.2799999999999996E-2</v>
      </c>
      <c r="Q20" s="2719">
        <f t="shared" si="26"/>
        <v>1.3600000000000001E-2</v>
      </c>
      <c r="R20" s="2720"/>
      <c r="S20" s="2721">
        <f>B20/B21-1</f>
        <v>2.7910129219355539E-2</v>
      </c>
      <c r="T20" s="2722">
        <f>C20/C21-1</f>
        <v>2.3037937762975247E-2</v>
      </c>
      <c r="U20" s="2722">
        <f>E20/E21-1</f>
        <v>3.3519033243940788E-2</v>
      </c>
      <c r="V20" s="2722">
        <f>F20/F21-1</f>
        <v>1.2061818076502862E-2</v>
      </c>
      <c r="W20" s="2790" t="s">
        <v>2644</v>
      </c>
      <c r="X20" s="2792">
        <v>1</v>
      </c>
      <c r="Y20" s="2792">
        <v>1</v>
      </c>
      <c r="Z20" s="2792">
        <v>1</v>
      </c>
      <c r="AA20" s="2792">
        <v>1</v>
      </c>
      <c r="AB20" s="2792">
        <v>1</v>
      </c>
      <c r="AD20" s="3036">
        <f>I20/100</f>
        <v>2.9700000000000001E-2</v>
      </c>
      <c r="AE20" s="3036">
        <f>J20/100</f>
        <v>2.3399999999999997E-2</v>
      </c>
      <c r="AF20" s="3036">
        <f>AE20</f>
        <v>2.3399999999999997E-2</v>
      </c>
      <c r="AG20" s="3036">
        <f>K20/100</f>
        <v>3.2799999999999996E-2</v>
      </c>
      <c r="AH20" s="3036">
        <f>L20/100</f>
        <v>1.3600000000000001E-2</v>
      </c>
    </row>
    <row r="21" spans="1:34" ht="13.5" thickBot="1">
      <c r="A21" s="2681" t="s">
        <v>2586</v>
      </c>
      <c r="B21" s="2687">
        <v>299</v>
      </c>
      <c r="C21" s="2687">
        <v>252</v>
      </c>
      <c r="D21" s="2687">
        <f t="shared" si="28"/>
        <v>252</v>
      </c>
      <c r="E21" s="2687">
        <v>409</v>
      </c>
      <c r="F21" s="2688">
        <v>227</v>
      </c>
      <c r="G21" s="3590">
        <v>2013</v>
      </c>
      <c r="H21" s="2723">
        <v>4</v>
      </c>
      <c r="I21" s="2723">
        <v>1.83</v>
      </c>
      <c r="J21" s="2723">
        <v>1.68</v>
      </c>
      <c r="K21" s="2723">
        <v>1.97</v>
      </c>
      <c r="L21" s="2724">
        <v>0.87</v>
      </c>
      <c r="N21" s="2703">
        <f t="shared" si="30"/>
        <v>1.83E-2</v>
      </c>
      <c r="O21" s="2704">
        <f t="shared" si="26"/>
        <v>1.6799999999999999E-2</v>
      </c>
      <c r="P21" s="2704">
        <f t="shared" si="26"/>
        <v>1.9699999999999999E-2</v>
      </c>
      <c r="Q21" s="2704">
        <f t="shared" si="26"/>
        <v>8.6999999999999994E-3</v>
      </c>
      <c r="R21" s="2692"/>
      <c r="S21" s="2693"/>
      <c r="T21" s="2694"/>
      <c r="U21" s="2694"/>
      <c r="V21" s="2694"/>
      <c r="X21" s="2694"/>
      <c r="Y21" s="2694"/>
      <c r="Z21" s="2694"/>
    </row>
    <row r="22" spans="1:34">
      <c r="A22" s="2681" t="s">
        <v>2587</v>
      </c>
      <c r="B22" s="2695">
        <f t="shared" ref="B22:C24" si="37">B21/(1+N21)</f>
        <v>293.62663262299913</v>
      </c>
      <c r="C22" s="2695">
        <f t="shared" si="37"/>
        <v>247.83634933123525</v>
      </c>
      <c r="D22" s="2695">
        <f t="shared" si="28"/>
        <v>247.83634933123525</v>
      </c>
      <c r="E22" s="2695">
        <f t="shared" ref="E22:F24" si="38">E21/(1+P21)</f>
        <v>401.09836226341076</v>
      </c>
      <c r="F22" s="2695">
        <f t="shared" si="38"/>
        <v>225.04213343908003</v>
      </c>
      <c r="G22" s="3591"/>
      <c r="H22" s="2706">
        <v>3</v>
      </c>
      <c r="I22" s="2706">
        <v>1.86</v>
      </c>
      <c r="J22" s="2706">
        <v>1.72</v>
      </c>
      <c r="K22" s="2706">
        <v>1.98</v>
      </c>
      <c r="L22" s="2707">
        <v>0.88</v>
      </c>
      <c r="N22" s="2690">
        <f t="shared" si="30"/>
        <v>1.8600000000000002E-2</v>
      </c>
      <c r="O22" s="2708">
        <f t="shared" si="26"/>
        <v>1.72E-2</v>
      </c>
      <c r="P22" s="2708">
        <f t="shared" si="26"/>
        <v>1.9799999999999998E-2</v>
      </c>
      <c r="Q22" s="2708">
        <f t="shared" si="26"/>
        <v>8.8000000000000005E-3</v>
      </c>
      <c r="R22" s="2692"/>
      <c r="S22" s="2690"/>
      <c r="T22" s="2691"/>
      <c r="U22" s="2691"/>
      <c r="V22" s="2691"/>
    </row>
    <row r="23" spans="1:34">
      <c r="A23" s="2681" t="s">
        <v>2588</v>
      </c>
      <c r="B23" s="2695">
        <f t="shared" si="37"/>
        <v>288.2649053828776</v>
      </c>
      <c r="C23" s="2695">
        <f t="shared" si="37"/>
        <v>243.64564425013293</v>
      </c>
      <c r="D23" s="2695">
        <f t="shared" si="28"/>
        <v>243.64564425013293</v>
      </c>
      <c r="E23" s="2695">
        <f t="shared" si="38"/>
        <v>393.31080825986544</v>
      </c>
      <c r="F23" s="2695">
        <f t="shared" si="38"/>
        <v>223.07903790551154</v>
      </c>
      <c r="G23" s="3591"/>
      <c r="H23" s="2686">
        <v>2</v>
      </c>
      <c r="I23" s="2686">
        <v>2.04</v>
      </c>
      <c r="J23" s="2686">
        <v>2.33</v>
      </c>
      <c r="K23" s="2686">
        <v>2.0699999999999998</v>
      </c>
      <c r="L23" s="2697">
        <v>0.69</v>
      </c>
      <c r="N23" s="2690">
        <f t="shared" si="30"/>
        <v>2.0400000000000001E-2</v>
      </c>
      <c r="O23" s="2708">
        <f t="shared" si="26"/>
        <v>2.3300000000000001E-2</v>
      </c>
      <c r="P23" s="2708">
        <f t="shared" si="26"/>
        <v>2.07E-2</v>
      </c>
      <c r="Q23" s="2708">
        <f t="shared" si="26"/>
        <v>6.8999999999999999E-3</v>
      </c>
      <c r="R23" s="2692"/>
      <c r="S23" s="2690"/>
      <c r="T23" s="2691"/>
      <c r="U23" s="2691"/>
      <c r="V23" s="2691"/>
      <c r="X23" s="2793"/>
      <c r="Y23" s="2795"/>
    </row>
    <row r="24" spans="1:34">
      <c r="A24" s="2681" t="s">
        <v>2589</v>
      </c>
      <c r="B24" s="2695">
        <f t="shared" si="37"/>
        <v>282.50186729015837</v>
      </c>
      <c r="C24" s="2695">
        <f t="shared" si="37"/>
        <v>238.09796174155468</v>
      </c>
      <c r="D24" s="2695">
        <f t="shared" si="28"/>
        <v>238.09796174155468</v>
      </c>
      <c r="E24" s="2695">
        <f t="shared" si="38"/>
        <v>385.33438646014054</v>
      </c>
      <c r="F24" s="2695">
        <f t="shared" si="38"/>
        <v>221.55034055567739</v>
      </c>
      <c r="G24" s="3592"/>
      <c r="H24" s="2685">
        <v>1</v>
      </c>
      <c r="I24" s="2685">
        <v>1.67</v>
      </c>
      <c r="J24" s="2685">
        <v>1.31</v>
      </c>
      <c r="K24" s="2685">
        <v>1.85</v>
      </c>
      <c r="L24" s="2696">
        <v>0.96</v>
      </c>
      <c r="N24" s="2698">
        <f t="shared" si="30"/>
        <v>1.67E-2</v>
      </c>
      <c r="O24" s="2699">
        <f t="shared" si="26"/>
        <v>1.3100000000000001E-2</v>
      </c>
      <c r="P24" s="2699">
        <f t="shared" si="26"/>
        <v>1.8500000000000003E-2</v>
      </c>
      <c r="Q24" s="2699">
        <f t="shared" si="26"/>
        <v>9.5999999999999992E-3</v>
      </c>
      <c r="R24" s="2692"/>
      <c r="S24" s="2698">
        <f>B24/B25-1</f>
        <v>1.6193767230785472E-2</v>
      </c>
      <c r="T24" s="2699">
        <f>C24/C25-1</f>
        <v>1.7512657015190891E-2</v>
      </c>
      <c r="U24" s="2699">
        <f>E24/E25-1</f>
        <v>1.6713420739157048E-2</v>
      </c>
      <c r="V24" s="2699">
        <f>F24/F25-1</f>
        <v>7.0470025258062563E-3</v>
      </c>
      <c r="X24" s="2794"/>
      <c r="Y24" s="2700"/>
      <c r="Z24" s="2700"/>
    </row>
    <row r="25" spans="1:34" ht="13.5" thickBot="1">
      <c r="A25" s="2681" t="s">
        <v>2590</v>
      </c>
      <c r="B25" s="2725">
        <v>278</v>
      </c>
      <c r="C25" s="2725">
        <v>234</v>
      </c>
      <c r="D25" s="2725">
        <f t="shared" si="28"/>
        <v>234</v>
      </c>
      <c r="E25" s="2725">
        <v>379</v>
      </c>
      <c r="F25" s="2726">
        <v>220</v>
      </c>
      <c r="G25" s="3587">
        <v>2012</v>
      </c>
      <c r="H25" s="2701">
        <v>4</v>
      </c>
      <c r="I25" s="2701">
        <v>0.91</v>
      </c>
      <c r="J25" s="2701">
        <v>0.68</v>
      </c>
      <c r="K25" s="2701">
        <v>0.98</v>
      </c>
      <c r="L25" s="2702">
        <v>0.9</v>
      </c>
      <c r="N25" s="2690">
        <f t="shared" si="30"/>
        <v>9.1000000000000004E-3</v>
      </c>
      <c r="O25" s="2691">
        <f t="shared" si="30"/>
        <v>6.8000000000000005E-3</v>
      </c>
      <c r="P25" s="2691">
        <f t="shared" si="30"/>
        <v>9.7999999999999997E-3</v>
      </c>
      <c r="Q25" s="2691">
        <f t="shared" si="30"/>
        <v>9.0000000000000011E-3</v>
      </c>
      <c r="R25" s="2692"/>
      <c r="S25" s="2693"/>
      <c r="T25" s="2694"/>
      <c r="U25" s="2694"/>
      <c r="V25" s="2694"/>
      <c r="X25" s="2694"/>
      <c r="Y25" s="2694"/>
      <c r="Z25" s="2694"/>
    </row>
    <row r="26" spans="1:34">
      <c r="A26" s="2681" t="s">
        <v>2591</v>
      </c>
      <c r="B26" s="2695">
        <f>B25/(1+N25)</f>
        <v>275.49301357645425</v>
      </c>
      <c r="C26" s="2695">
        <f>C25/(1+O25)</f>
        <v>232.41954707985698</v>
      </c>
      <c r="D26" s="2695">
        <f t="shared" si="28"/>
        <v>232.41954707985698</v>
      </c>
      <c r="E26" s="2695">
        <f t="shared" ref="E26:F28" si="39">E25/(1+P25)</f>
        <v>375.32184591008121</v>
      </c>
      <c r="F26" s="2695">
        <f t="shared" si="39"/>
        <v>218.03766105054513</v>
      </c>
      <c r="G26" s="3588"/>
      <c r="H26" s="2706">
        <v>3</v>
      </c>
      <c r="I26" s="2706">
        <v>0.09</v>
      </c>
      <c r="J26" s="2706">
        <v>0.28999999999999998</v>
      </c>
      <c r="K26" s="2706">
        <v>-0.01</v>
      </c>
      <c r="L26" s="2707">
        <v>0.57999999999999996</v>
      </c>
      <c r="N26" s="2690">
        <f t="shared" si="30"/>
        <v>8.9999999999999998E-4</v>
      </c>
      <c r="O26" s="2691">
        <f t="shared" si="30"/>
        <v>2.8999999999999998E-3</v>
      </c>
      <c r="P26" s="2691">
        <f t="shared" si="30"/>
        <v>-1E-4</v>
      </c>
      <c r="Q26" s="2691">
        <f t="shared" si="30"/>
        <v>5.7999999999999996E-3</v>
      </c>
      <c r="R26" s="2692"/>
      <c r="S26" s="2690"/>
      <c r="T26" s="2691"/>
      <c r="U26" s="2691"/>
      <c r="V26" s="2691"/>
    </row>
    <row r="27" spans="1:34">
      <c r="A27" s="2681" t="s">
        <v>2592</v>
      </c>
      <c r="B27" s="2695">
        <f>B26/(1+N26)</f>
        <v>275.24529281292263</v>
      </c>
      <c r="C27" s="2695">
        <f>C26/(1+O26)</f>
        <v>231.74747938962707</v>
      </c>
      <c r="D27" s="2695">
        <f t="shared" si="28"/>
        <v>231.74747938962707</v>
      </c>
      <c r="E27" s="2695">
        <f t="shared" si="39"/>
        <v>375.35938184826603</v>
      </c>
      <c r="F27" s="2695">
        <f t="shared" si="39"/>
        <v>216.78033510692495</v>
      </c>
      <c r="G27" s="3588"/>
      <c r="H27" s="2686">
        <v>2</v>
      </c>
      <c r="I27" s="2686">
        <v>0.02</v>
      </c>
      <c r="J27" s="2686">
        <v>0.12</v>
      </c>
      <c r="K27" s="2686">
        <v>-0.08</v>
      </c>
      <c r="L27" s="2697">
        <v>1.24</v>
      </c>
      <c r="N27" s="2690">
        <f t="shared" si="30"/>
        <v>2.0000000000000001E-4</v>
      </c>
      <c r="O27" s="2691">
        <f t="shared" si="30"/>
        <v>1.1999999999999999E-3</v>
      </c>
      <c r="P27" s="2691">
        <f t="shared" si="30"/>
        <v>-8.0000000000000004E-4</v>
      </c>
      <c r="Q27" s="2691">
        <f t="shared" si="30"/>
        <v>1.24E-2</v>
      </c>
      <c r="R27" s="2692"/>
      <c r="S27" s="2690"/>
      <c r="T27" s="2691"/>
      <c r="U27" s="2691"/>
      <c r="V27" s="2691"/>
    </row>
    <row r="28" spans="1:34" ht="13.5" thickBot="1">
      <c r="A28" s="2681" t="s">
        <v>2593</v>
      </c>
      <c r="B28" s="2695">
        <f>B27/(1+N27)</f>
        <v>275.19025476197027</v>
      </c>
      <c r="C28" s="2727">
        <v>232</v>
      </c>
      <c r="D28" s="2727">
        <f t="shared" si="28"/>
        <v>232</v>
      </c>
      <c r="E28" s="2695">
        <f t="shared" si="39"/>
        <v>375.65990977608692</v>
      </c>
      <c r="F28" s="2695">
        <f t="shared" si="39"/>
        <v>214.12518283971252</v>
      </c>
      <c r="G28" s="3589"/>
      <c r="H28" s="2685">
        <v>1</v>
      </c>
      <c r="I28" s="2685">
        <v>0.02</v>
      </c>
      <c r="J28" s="2685">
        <v>0.13</v>
      </c>
      <c r="K28" s="2685">
        <v>-0.04</v>
      </c>
      <c r="L28" s="2696">
        <v>0.46</v>
      </c>
      <c r="N28" s="2690">
        <f t="shared" si="30"/>
        <v>2.0000000000000001E-4</v>
      </c>
      <c r="O28" s="2691">
        <f t="shared" si="30"/>
        <v>1.2999999999999999E-3</v>
      </c>
      <c r="P28" s="2691">
        <f t="shared" si="30"/>
        <v>-4.0000000000000002E-4</v>
      </c>
      <c r="Q28" s="2691">
        <f t="shared" si="30"/>
        <v>4.5999999999999999E-3</v>
      </c>
      <c r="R28" s="2692"/>
      <c r="S28" s="2698">
        <f>B28/B29-1</f>
        <v>6.9183549807361189E-4</v>
      </c>
      <c r="T28" s="2699">
        <f>C28/C29-1</f>
        <v>0</v>
      </c>
      <c r="U28" s="2699">
        <f>E28/E29-1</f>
        <v>-9.0449527636460303E-4</v>
      </c>
      <c r="V28" s="2699">
        <f>F28/F29-1</f>
        <v>5.2825485432512753E-3</v>
      </c>
      <c r="X28" s="2700"/>
      <c r="Y28" s="2700"/>
      <c r="Z28" s="2700"/>
    </row>
    <row r="29" spans="1:34" ht="13.5" thickBot="1">
      <c r="A29" s="2681" t="s">
        <v>2594</v>
      </c>
      <c r="B29" s="2687">
        <v>275</v>
      </c>
      <c r="C29" s="2687">
        <v>232</v>
      </c>
      <c r="D29" s="2687">
        <f t="shared" si="28"/>
        <v>232</v>
      </c>
      <c r="E29" s="2687">
        <v>376</v>
      </c>
      <c r="F29" s="2688">
        <v>213</v>
      </c>
      <c r="G29" s="3587">
        <v>2011</v>
      </c>
      <c r="H29" s="2701">
        <v>4</v>
      </c>
      <c r="I29" s="2701">
        <v>-0.2</v>
      </c>
      <c r="J29" s="2701">
        <v>0.04</v>
      </c>
      <c r="K29" s="2701">
        <v>-0.34</v>
      </c>
      <c r="L29" s="2702">
        <v>0.46</v>
      </c>
      <c r="N29" s="2703">
        <f t="shared" si="30"/>
        <v>-2E-3</v>
      </c>
      <c r="O29" s="2704">
        <f t="shared" si="30"/>
        <v>4.0000000000000002E-4</v>
      </c>
      <c r="P29" s="2704">
        <f t="shared" si="30"/>
        <v>-3.4000000000000002E-3</v>
      </c>
      <c r="Q29" s="2704">
        <f t="shared" si="30"/>
        <v>4.5999999999999999E-3</v>
      </c>
      <c r="R29" s="2692"/>
      <c r="S29" s="2693"/>
      <c r="T29" s="2694"/>
      <c r="U29" s="2694"/>
      <c r="V29" s="2694"/>
      <c r="X29" s="2694"/>
      <c r="Y29" s="2694"/>
      <c r="Z29" s="2694"/>
    </row>
    <row r="30" spans="1:34">
      <c r="A30" s="2681" t="s">
        <v>2595</v>
      </c>
      <c r="B30" s="2695">
        <f t="shared" ref="B30:C32" si="40">B29/(1+N29)</f>
        <v>275.55110220440883</v>
      </c>
      <c r="C30" s="2695">
        <f t="shared" si="40"/>
        <v>231.90723710515795</v>
      </c>
      <c r="D30" s="2695">
        <f t="shared" si="28"/>
        <v>231.90723710515795</v>
      </c>
      <c r="E30" s="2695">
        <f t="shared" ref="E30:F32" si="41">E29/(1+P29)</f>
        <v>377.28276138872161</v>
      </c>
      <c r="F30" s="2695">
        <f t="shared" si="41"/>
        <v>212.02468644236512</v>
      </c>
      <c r="G30" s="3588">
        <v>2011</v>
      </c>
      <c r="H30" s="2706">
        <v>3</v>
      </c>
      <c r="I30" s="2706">
        <v>0.13</v>
      </c>
      <c r="J30" s="2706">
        <v>0.75</v>
      </c>
      <c r="K30" s="2706">
        <v>-0.08</v>
      </c>
      <c r="L30" s="2707">
        <v>0.53</v>
      </c>
      <c r="N30" s="2690">
        <f t="shared" si="30"/>
        <v>1.2999999999999999E-3</v>
      </c>
      <c r="O30" s="2708">
        <f t="shared" si="30"/>
        <v>7.4999999999999997E-3</v>
      </c>
      <c r="P30" s="2708">
        <f t="shared" si="30"/>
        <v>-8.0000000000000004E-4</v>
      </c>
      <c r="Q30" s="2708">
        <f t="shared" si="30"/>
        <v>5.3E-3</v>
      </c>
      <c r="R30" s="2692"/>
      <c r="S30" s="2690"/>
      <c r="T30" s="2691"/>
      <c r="U30" s="2691"/>
      <c r="V30" s="2691"/>
    </row>
    <row r="31" spans="1:34">
      <c r="A31" s="2681" t="s">
        <v>2596</v>
      </c>
      <c r="B31" s="2695">
        <f t="shared" si="40"/>
        <v>275.19335084830601</v>
      </c>
      <c r="C31" s="2695">
        <f t="shared" si="40"/>
        <v>230.18088050139744</v>
      </c>
      <c r="D31" s="2695">
        <f t="shared" si="28"/>
        <v>230.18088050139744</v>
      </c>
      <c r="E31" s="2695">
        <f t="shared" si="41"/>
        <v>377.58482925212331</v>
      </c>
      <c r="F31" s="2695">
        <f t="shared" si="41"/>
        <v>210.90687997847917</v>
      </c>
      <c r="G31" s="3588">
        <v>2011</v>
      </c>
      <c r="H31" s="2686">
        <v>2</v>
      </c>
      <c r="I31" s="2686">
        <v>-0.4</v>
      </c>
      <c r="J31" s="2686">
        <v>0.17</v>
      </c>
      <c r="K31" s="2686">
        <v>-0.57999999999999996</v>
      </c>
      <c r="L31" s="2697">
        <v>-0.2</v>
      </c>
      <c r="N31" s="2690">
        <f t="shared" si="30"/>
        <v>-4.0000000000000001E-3</v>
      </c>
      <c r="O31" s="2708">
        <f t="shared" si="30"/>
        <v>1.7000000000000001E-3</v>
      </c>
      <c r="P31" s="2708">
        <f t="shared" si="30"/>
        <v>-5.7999999999999996E-3</v>
      </c>
      <c r="Q31" s="2708">
        <f t="shared" si="30"/>
        <v>-2E-3</v>
      </c>
      <c r="R31" s="2692"/>
      <c r="S31" s="2690"/>
      <c r="T31" s="2691"/>
      <c r="U31" s="2691"/>
      <c r="V31" s="2691"/>
    </row>
    <row r="32" spans="1:34" ht="13.5" thickBot="1">
      <c r="A32" s="2681" t="s">
        <v>2597</v>
      </c>
      <c r="B32" s="2695">
        <f t="shared" si="40"/>
        <v>276.29854502841971</v>
      </c>
      <c r="C32" s="2695">
        <f t="shared" si="40"/>
        <v>229.79023709833027</v>
      </c>
      <c r="D32" s="2695">
        <f t="shared" si="28"/>
        <v>229.79023709833027</v>
      </c>
      <c r="E32" s="2695">
        <f t="shared" si="41"/>
        <v>379.78759731655936</v>
      </c>
      <c r="F32" s="2695">
        <f t="shared" si="41"/>
        <v>211.32953905659235</v>
      </c>
      <c r="G32" s="3589">
        <v>2011</v>
      </c>
      <c r="H32" s="2685">
        <v>1</v>
      </c>
      <c r="I32" s="2685">
        <v>2.65</v>
      </c>
      <c r="J32" s="2685">
        <v>3.76</v>
      </c>
      <c r="K32" s="2685">
        <v>1.89</v>
      </c>
      <c r="L32" s="2696">
        <v>7.95</v>
      </c>
      <c r="N32" s="2698">
        <f t="shared" si="30"/>
        <v>2.6499999999999999E-2</v>
      </c>
      <c r="O32" s="2699">
        <f t="shared" si="30"/>
        <v>3.7599999999999995E-2</v>
      </c>
      <c r="P32" s="2699">
        <f t="shared" si="30"/>
        <v>1.89E-2</v>
      </c>
      <c r="Q32" s="2699">
        <f t="shared" si="30"/>
        <v>7.9500000000000001E-2</v>
      </c>
      <c r="R32" s="2692"/>
      <c r="S32" s="2698">
        <f>B32/B33-1</f>
        <v>2.713213765211786E-2</v>
      </c>
      <c r="T32" s="2699">
        <f>C32/C33-1</f>
        <v>3.9774828499231862E-2</v>
      </c>
      <c r="U32" s="2699">
        <f>E32/E33-1</f>
        <v>1.8197311840641772E-2</v>
      </c>
      <c r="V32" s="2699">
        <f>F32/F33-1</f>
        <v>7.8211933962205826E-2</v>
      </c>
      <c r="X32" s="2700"/>
      <c r="Y32" s="2700"/>
      <c r="Z32" s="2700"/>
    </row>
    <row r="33" spans="1:26" ht="13.5" thickBot="1">
      <c r="A33" s="2681" t="s">
        <v>2598</v>
      </c>
      <c r="B33" s="2687">
        <v>269</v>
      </c>
      <c r="C33" s="2687">
        <v>221</v>
      </c>
      <c r="D33" s="2687">
        <f t="shared" si="28"/>
        <v>221</v>
      </c>
      <c r="E33" s="2687">
        <v>373</v>
      </c>
      <c r="F33" s="2688">
        <v>196</v>
      </c>
      <c r="G33" s="3587">
        <v>2010</v>
      </c>
      <c r="H33" s="2701">
        <v>4</v>
      </c>
      <c r="I33" s="2701">
        <v>5.72</v>
      </c>
      <c r="J33" s="2701">
        <v>6.57</v>
      </c>
      <c r="K33" s="2701">
        <v>5.72</v>
      </c>
      <c r="L33" s="2702">
        <v>2.72</v>
      </c>
      <c r="N33" s="2690">
        <f t="shared" si="30"/>
        <v>5.7200000000000001E-2</v>
      </c>
      <c r="O33" s="2691">
        <f t="shared" si="30"/>
        <v>6.5700000000000008E-2</v>
      </c>
      <c r="P33" s="2691">
        <f t="shared" si="30"/>
        <v>5.7200000000000001E-2</v>
      </c>
      <c r="Q33" s="2691">
        <f t="shared" si="30"/>
        <v>2.7200000000000002E-2</v>
      </c>
      <c r="R33" s="2692"/>
      <c r="S33" s="2693"/>
      <c r="T33" s="2694"/>
      <c r="U33" s="2694"/>
      <c r="V33" s="2694"/>
      <c r="X33" s="2694"/>
      <c r="Y33" s="2694"/>
      <c r="Z33" s="2694"/>
    </row>
    <row r="34" spans="1:26">
      <c r="A34" s="2681" t="s">
        <v>2599</v>
      </c>
      <c r="B34" s="2695">
        <f t="shared" ref="B34:C36" si="42">B33/(1+N33)</f>
        <v>254.44570563753314</v>
      </c>
      <c r="C34" s="2695">
        <f t="shared" si="42"/>
        <v>207.37543398705074</v>
      </c>
      <c r="D34" s="2695">
        <f t="shared" si="28"/>
        <v>207.37543398705074</v>
      </c>
      <c r="E34" s="2695">
        <f t="shared" ref="E34:F36" si="43">E33/(1+P33)</f>
        <v>352.81876655315932</v>
      </c>
      <c r="F34" s="2695">
        <f t="shared" si="43"/>
        <v>190.809968847352</v>
      </c>
      <c r="G34" s="3588">
        <v>2010</v>
      </c>
      <c r="H34" s="2706">
        <v>3</v>
      </c>
      <c r="I34" s="2706">
        <v>4.7300000000000004</v>
      </c>
      <c r="J34" s="2706">
        <v>3.9</v>
      </c>
      <c r="K34" s="2706">
        <v>5.03</v>
      </c>
      <c r="L34" s="2707">
        <v>4.21</v>
      </c>
      <c r="N34" s="2690">
        <f t="shared" si="30"/>
        <v>4.7300000000000002E-2</v>
      </c>
      <c r="O34" s="2691">
        <f t="shared" si="30"/>
        <v>3.9E-2</v>
      </c>
      <c r="P34" s="2691">
        <f t="shared" si="30"/>
        <v>5.0300000000000004E-2</v>
      </c>
      <c r="Q34" s="2691">
        <f t="shared" si="30"/>
        <v>4.2099999999999999E-2</v>
      </c>
      <c r="R34" s="2692"/>
      <c r="S34" s="2690"/>
      <c r="T34" s="2691"/>
      <c r="U34" s="2691"/>
      <c r="V34" s="2691"/>
    </row>
    <row r="35" spans="1:26">
      <c r="A35" s="2681" t="s">
        <v>2600</v>
      </c>
      <c r="B35" s="2695">
        <f t="shared" si="42"/>
        <v>242.95398227588385</v>
      </c>
      <c r="C35" s="2695">
        <f t="shared" si="42"/>
        <v>199.59137053614126</v>
      </c>
      <c r="D35" s="2695">
        <f t="shared" si="28"/>
        <v>199.59137053614126</v>
      </c>
      <c r="E35" s="2695">
        <f t="shared" si="43"/>
        <v>335.92189522342125</v>
      </c>
      <c r="F35" s="2695">
        <f t="shared" si="43"/>
        <v>183.10139991109489</v>
      </c>
      <c r="G35" s="3588">
        <v>2010</v>
      </c>
      <c r="H35" s="2686">
        <v>2</v>
      </c>
      <c r="I35" s="2686">
        <v>4.6900000000000004</v>
      </c>
      <c r="J35" s="2686">
        <v>3.55</v>
      </c>
      <c r="K35" s="2686">
        <v>5.07</v>
      </c>
      <c r="L35" s="2697">
        <v>4.2300000000000004</v>
      </c>
      <c r="N35" s="2690">
        <f t="shared" si="30"/>
        <v>4.6900000000000004E-2</v>
      </c>
      <c r="O35" s="2691">
        <f t="shared" si="30"/>
        <v>3.5499999999999997E-2</v>
      </c>
      <c r="P35" s="2691">
        <f t="shared" si="30"/>
        <v>5.0700000000000002E-2</v>
      </c>
      <c r="Q35" s="2691">
        <f t="shared" si="30"/>
        <v>4.2300000000000004E-2</v>
      </c>
      <c r="R35" s="2692"/>
      <c r="S35" s="2690"/>
      <c r="T35" s="2691"/>
      <c r="U35" s="2691"/>
      <c r="V35" s="2691"/>
    </row>
    <row r="36" spans="1:26" ht="13.5" thickBot="1">
      <c r="A36" s="2681" t="s">
        <v>2601</v>
      </c>
      <c r="B36" s="2695">
        <f t="shared" si="42"/>
        <v>232.06990378821649</v>
      </c>
      <c r="C36" s="2695">
        <f t="shared" si="42"/>
        <v>192.74878854286936</v>
      </c>
      <c r="D36" s="2695">
        <f t="shared" si="28"/>
        <v>192.74878854286936</v>
      </c>
      <c r="E36" s="2695">
        <f t="shared" si="43"/>
        <v>319.71247284992984</v>
      </c>
      <c r="F36" s="2695">
        <f t="shared" si="43"/>
        <v>175.67053622862409</v>
      </c>
      <c r="G36" s="3589">
        <v>2010</v>
      </c>
      <c r="H36" s="2685">
        <v>1</v>
      </c>
      <c r="I36" s="2685">
        <v>5.4</v>
      </c>
      <c r="J36" s="2685">
        <v>3.2</v>
      </c>
      <c r="K36" s="2685">
        <v>6.16</v>
      </c>
      <c r="L36" s="2696">
        <v>4.51</v>
      </c>
      <c r="N36" s="2690">
        <f t="shared" si="30"/>
        <v>5.4000000000000006E-2</v>
      </c>
      <c r="O36" s="2691">
        <f t="shared" si="30"/>
        <v>3.2000000000000001E-2</v>
      </c>
      <c r="P36" s="2691">
        <f t="shared" si="30"/>
        <v>6.1600000000000002E-2</v>
      </c>
      <c r="Q36" s="2691">
        <f t="shared" si="30"/>
        <v>4.5100000000000001E-2</v>
      </c>
      <c r="R36" s="2692"/>
      <c r="S36" s="2698">
        <f>B36/B37-1</f>
        <v>5.4863199037347599E-2</v>
      </c>
      <c r="T36" s="2699">
        <f>C36/C37-1</f>
        <v>3.0742184721226584E-2</v>
      </c>
      <c r="U36" s="2699">
        <f>E36/E37-1</f>
        <v>6.2167683886810154E-2</v>
      </c>
      <c r="V36" s="2699">
        <f>F36/F37-1</f>
        <v>4.5657953741810031E-2</v>
      </c>
      <c r="X36" s="2700"/>
      <c r="Y36" s="2700"/>
      <c r="Z36" s="2700"/>
    </row>
    <row r="37" spans="1:26" ht="13.5" thickBot="1">
      <c r="A37" s="2681" t="s">
        <v>2602</v>
      </c>
      <c r="B37" s="2687">
        <v>220</v>
      </c>
      <c r="C37" s="2687">
        <v>187</v>
      </c>
      <c r="D37" s="2687">
        <f t="shared" si="28"/>
        <v>187</v>
      </c>
      <c r="E37" s="2687">
        <v>301</v>
      </c>
      <c r="F37" s="2688">
        <v>168</v>
      </c>
      <c r="G37" s="3587">
        <v>2009</v>
      </c>
      <c r="H37" s="2701">
        <v>4</v>
      </c>
      <c r="I37" s="2701">
        <v>2.2999999999999998</v>
      </c>
      <c r="J37" s="2701">
        <v>1.04</v>
      </c>
      <c r="K37" s="2701">
        <v>2.84</v>
      </c>
      <c r="L37" s="2702">
        <v>0.67</v>
      </c>
      <c r="N37" s="2703">
        <f t="shared" si="30"/>
        <v>2.3E-2</v>
      </c>
      <c r="O37" s="2704">
        <f t="shared" si="30"/>
        <v>1.04E-2</v>
      </c>
      <c r="P37" s="2704">
        <f t="shared" si="30"/>
        <v>2.8399999999999998E-2</v>
      </c>
      <c r="Q37" s="2704">
        <f t="shared" si="30"/>
        <v>6.7000000000000002E-3</v>
      </c>
      <c r="R37" s="2692"/>
      <c r="S37" s="2693"/>
      <c r="T37" s="2694"/>
      <c r="U37" s="2694"/>
      <c r="V37" s="2694"/>
      <c r="X37" s="2694"/>
      <c r="Y37" s="2694"/>
      <c r="Z37" s="2694"/>
    </row>
    <row r="38" spans="1:26">
      <c r="A38" s="2681" t="s">
        <v>2603</v>
      </c>
      <c r="B38" s="2695">
        <f t="shared" ref="B38:C40" si="44">B37/(1+N37)</f>
        <v>215.05376344086022</v>
      </c>
      <c r="C38" s="2695">
        <f t="shared" si="44"/>
        <v>185.0752177355503</v>
      </c>
      <c r="D38" s="2695">
        <f t="shared" si="28"/>
        <v>185.0752177355503</v>
      </c>
      <c r="E38" s="2695">
        <f t="shared" ref="E38:F40" si="45">E37/(1+P37)</f>
        <v>292.68767016725008</v>
      </c>
      <c r="F38" s="2695">
        <f t="shared" si="45"/>
        <v>166.88189132810174</v>
      </c>
      <c r="G38" s="3588">
        <v>2009</v>
      </c>
      <c r="H38" s="2706">
        <v>3</v>
      </c>
      <c r="I38" s="2706">
        <v>2.1</v>
      </c>
      <c r="J38" s="2706">
        <v>1.86</v>
      </c>
      <c r="K38" s="2706">
        <v>2.29</v>
      </c>
      <c r="L38" s="2707">
        <v>0.85</v>
      </c>
      <c r="N38" s="2690">
        <f t="shared" si="30"/>
        <v>2.1000000000000001E-2</v>
      </c>
      <c r="O38" s="2708">
        <f t="shared" si="30"/>
        <v>1.8600000000000002E-2</v>
      </c>
      <c r="P38" s="2708">
        <f t="shared" si="30"/>
        <v>2.29E-2</v>
      </c>
      <c r="Q38" s="2708">
        <f t="shared" si="30"/>
        <v>8.5000000000000006E-3</v>
      </c>
      <c r="R38" s="2692"/>
      <c r="S38" s="2690"/>
      <c r="T38" s="2691"/>
      <c r="U38" s="2691"/>
      <c r="V38" s="2691"/>
    </row>
    <row r="39" spans="1:26">
      <c r="A39" s="2681" t="s">
        <v>2604</v>
      </c>
      <c r="B39" s="2695">
        <f t="shared" si="44"/>
        <v>210.630522469011</v>
      </c>
      <c r="C39" s="2695">
        <f t="shared" si="44"/>
        <v>181.69567812247232</v>
      </c>
      <c r="D39" s="2695">
        <f t="shared" si="28"/>
        <v>181.69567812247232</v>
      </c>
      <c r="E39" s="2695">
        <f t="shared" si="45"/>
        <v>286.13517466736738</v>
      </c>
      <c r="F39" s="2695">
        <f t="shared" si="45"/>
        <v>165.47535084591149</v>
      </c>
      <c r="G39" s="3588">
        <v>2009</v>
      </c>
      <c r="H39" s="2686">
        <v>2</v>
      </c>
      <c r="I39" s="2686">
        <v>0.86</v>
      </c>
      <c r="J39" s="2686">
        <v>-1.1299999999999999</v>
      </c>
      <c r="K39" s="2686">
        <v>1.79</v>
      </c>
      <c r="L39" s="2697">
        <v>-2.0699999999999998</v>
      </c>
      <c r="N39" s="2690">
        <f t="shared" si="30"/>
        <v>8.6E-3</v>
      </c>
      <c r="O39" s="2708">
        <f t="shared" si="30"/>
        <v>-1.1299999999999999E-2</v>
      </c>
      <c r="P39" s="2708">
        <f t="shared" si="30"/>
        <v>1.7899999999999999E-2</v>
      </c>
      <c r="Q39" s="2708">
        <f t="shared" si="30"/>
        <v>-2.07E-2</v>
      </c>
      <c r="R39" s="2692"/>
      <c r="S39" s="2690"/>
      <c r="T39" s="2691"/>
      <c r="U39" s="2691"/>
      <c r="V39" s="2691"/>
    </row>
    <row r="40" spans="1:26">
      <c r="A40" s="2681" t="s">
        <v>2605</v>
      </c>
      <c r="B40" s="2695">
        <f t="shared" si="44"/>
        <v>208.83454537875372</v>
      </c>
      <c r="C40" s="2695">
        <f t="shared" si="44"/>
        <v>183.77230517090351</v>
      </c>
      <c r="D40" s="2695">
        <f t="shared" si="28"/>
        <v>183.77230517090351</v>
      </c>
      <c r="E40" s="2695">
        <f t="shared" si="45"/>
        <v>281.10342338870947</v>
      </c>
      <c r="F40" s="2695">
        <f t="shared" si="45"/>
        <v>168.97309388942256</v>
      </c>
      <c r="G40" s="3589">
        <v>2009</v>
      </c>
      <c r="H40" s="2685">
        <v>1</v>
      </c>
      <c r="I40" s="2685">
        <v>-2.64</v>
      </c>
      <c r="J40" s="2685">
        <v>-2.5299999999999998</v>
      </c>
      <c r="K40" s="2685">
        <v>-3.02</v>
      </c>
      <c r="L40" s="2696">
        <v>1.52</v>
      </c>
      <c r="N40" s="2698">
        <f t="shared" si="30"/>
        <v>-2.64E-2</v>
      </c>
      <c r="O40" s="2699">
        <f t="shared" si="30"/>
        <v>-2.53E-2</v>
      </c>
      <c r="P40" s="2699">
        <f t="shared" si="30"/>
        <v>-3.0200000000000001E-2</v>
      </c>
      <c r="Q40" s="2699">
        <f t="shared" si="30"/>
        <v>1.52E-2</v>
      </c>
      <c r="R40" s="2692"/>
      <c r="S40" s="2698">
        <f>B40/B41-1</f>
        <v>-2.4137638417038754E-2</v>
      </c>
      <c r="T40" s="2699">
        <f>C40/C41-1</f>
        <v>-2.248773845264096E-2</v>
      </c>
      <c r="U40" s="2699">
        <f>E40/E41-1</f>
        <v>-2.7323794502735366E-2</v>
      </c>
      <c r="V40" s="2699">
        <f>F40/F41-1</f>
        <v>1.7910204153148035E-2</v>
      </c>
      <c r="X40" s="2700"/>
      <c r="Y40" s="2700"/>
      <c r="Z40" s="2700"/>
    </row>
    <row r="41" spans="1:26" ht="13.5" thickBot="1">
      <c r="A41" s="2681" t="s">
        <v>2606</v>
      </c>
      <c r="B41" s="2725">
        <v>214</v>
      </c>
      <c r="C41" s="2725">
        <v>188</v>
      </c>
      <c r="D41" s="2725">
        <f t="shared" si="28"/>
        <v>188</v>
      </c>
      <c r="E41" s="2725">
        <v>289</v>
      </c>
      <c r="F41" s="2726">
        <v>166</v>
      </c>
      <c r="G41" s="3587">
        <v>2008</v>
      </c>
      <c r="H41" s="2701">
        <v>4</v>
      </c>
      <c r="I41" s="2701">
        <v>1.73</v>
      </c>
      <c r="J41" s="2701">
        <v>0.03</v>
      </c>
      <c r="K41" s="2701">
        <v>2.59</v>
      </c>
      <c r="L41" s="2702">
        <v>-1.66</v>
      </c>
      <c r="N41" s="2690">
        <f t="shared" si="30"/>
        <v>1.7299999999999999E-2</v>
      </c>
      <c r="O41" s="2691">
        <f t="shared" si="30"/>
        <v>2.9999999999999997E-4</v>
      </c>
      <c r="P41" s="2691">
        <f t="shared" si="30"/>
        <v>2.5899999999999999E-2</v>
      </c>
      <c r="Q41" s="2691">
        <f t="shared" si="30"/>
        <v>-1.66E-2</v>
      </c>
      <c r="R41" s="2692"/>
      <c r="S41" s="2693"/>
      <c r="T41" s="2694"/>
      <c r="U41" s="2694"/>
      <c r="V41" s="2694"/>
      <c r="X41" s="2694"/>
      <c r="Y41" s="2694"/>
      <c r="Z41" s="2694"/>
    </row>
    <row r="42" spans="1:26">
      <c r="A42" s="2681" t="s">
        <v>2607</v>
      </c>
      <c r="B42" s="2695">
        <f t="shared" ref="B42:C44" si="46">B41/(1+N41)</f>
        <v>210.36075887152265</v>
      </c>
      <c r="C42" s="2695">
        <f t="shared" si="46"/>
        <v>187.94361691492554</v>
      </c>
      <c r="D42" s="2695">
        <f t="shared" si="28"/>
        <v>187.94361691492554</v>
      </c>
      <c r="E42" s="2695">
        <f t="shared" ref="E42:F44" si="47">E41/(1+P41)</f>
        <v>281.70386977288234</v>
      </c>
      <c r="F42" s="2695">
        <f t="shared" si="47"/>
        <v>168.80211511083994</v>
      </c>
      <c r="G42" s="3588">
        <v>2008</v>
      </c>
      <c r="H42" s="2706">
        <v>3</v>
      </c>
      <c r="I42" s="2706">
        <v>1.96</v>
      </c>
      <c r="J42" s="2706">
        <v>2.36</v>
      </c>
      <c r="K42" s="2706">
        <v>1.82</v>
      </c>
      <c r="L42" s="2707">
        <v>2.2200000000000002</v>
      </c>
      <c r="N42" s="2690">
        <f t="shared" si="30"/>
        <v>1.9599999999999999E-2</v>
      </c>
      <c r="O42" s="2691">
        <f t="shared" si="30"/>
        <v>2.3599999999999999E-2</v>
      </c>
      <c r="P42" s="2691">
        <f t="shared" si="30"/>
        <v>1.8200000000000001E-2</v>
      </c>
      <c r="Q42" s="2691">
        <f t="shared" si="30"/>
        <v>2.2200000000000001E-2</v>
      </c>
      <c r="R42" s="2692"/>
      <c r="S42" s="2690"/>
      <c r="T42" s="2691"/>
      <c r="U42" s="2691"/>
      <c r="V42" s="2691"/>
    </row>
    <row r="43" spans="1:26">
      <c r="A43" s="2681" t="s">
        <v>2608</v>
      </c>
      <c r="B43" s="2695">
        <f t="shared" si="46"/>
        <v>206.31694671589116</v>
      </c>
      <c r="C43" s="2695">
        <f t="shared" si="46"/>
        <v>183.61041121036101</v>
      </c>
      <c r="D43" s="2695">
        <f t="shared" si="28"/>
        <v>183.61041121036101</v>
      </c>
      <c r="E43" s="2695">
        <f t="shared" si="47"/>
        <v>276.66850301795557</v>
      </c>
      <c r="F43" s="2695">
        <f t="shared" si="47"/>
        <v>165.1360938278614</v>
      </c>
      <c r="G43" s="3588">
        <v>2008</v>
      </c>
      <c r="H43" s="2686">
        <v>2</v>
      </c>
      <c r="I43" s="2686">
        <v>4.93</v>
      </c>
      <c r="J43" s="2686">
        <v>7.38</v>
      </c>
      <c r="K43" s="2686">
        <v>3.98</v>
      </c>
      <c r="L43" s="2697">
        <v>6.86</v>
      </c>
      <c r="N43" s="2690">
        <f t="shared" si="30"/>
        <v>4.9299999999999997E-2</v>
      </c>
      <c r="O43" s="2691">
        <f t="shared" si="30"/>
        <v>7.3800000000000004E-2</v>
      </c>
      <c r="P43" s="2691">
        <f t="shared" si="30"/>
        <v>3.9800000000000002E-2</v>
      </c>
      <c r="Q43" s="2691">
        <f t="shared" si="30"/>
        <v>6.8600000000000008E-2</v>
      </c>
      <c r="R43" s="2692"/>
      <c r="S43" s="2690"/>
      <c r="T43" s="2691"/>
      <c r="U43" s="2691"/>
      <c r="V43" s="2691"/>
    </row>
    <row r="44" spans="1:26" s="2731" customFormat="1" ht="13.5" thickBot="1">
      <c r="A44" s="2681" t="s">
        <v>2609</v>
      </c>
      <c r="B44" s="2728">
        <f t="shared" si="46"/>
        <v>196.62341248059772</v>
      </c>
      <c r="C44" s="2728">
        <f t="shared" si="46"/>
        <v>170.99125648199012</v>
      </c>
      <c r="D44" s="2728">
        <f t="shared" si="28"/>
        <v>170.99125648199012</v>
      </c>
      <c r="E44" s="2728">
        <f t="shared" si="47"/>
        <v>266.07857570490052</v>
      </c>
      <c r="F44" s="2728">
        <f t="shared" si="47"/>
        <v>154.53499328828505</v>
      </c>
      <c r="G44" s="3589">
        <v>2008</v>
      </c>
      <c r="H44" s="2729">
        <v>1</v>
      </c>
      <c r="I44" s="2729">
        <v>4.1399999999999997</v>
      </c>
      <c r="J44" s="2729">
        <v>3.45</v>
      </c>
      <c r="K44" s="2729">
        <v>4.95</v>
      </c>
      <c r="L44" s="2730">
        <v>4.82</v>
      </c>
      <c r="N44" s="2732">
        <f t="shared" si="30"/>
        <v>4.1399999999999999E-2</v>
      </c>
      <c r="O44" s="2733">
        <f t="shared" si="30"/>
        <v>3.4500000000000003E-2</v>
      </c>
      <c r="P44" s="2733">
        <f t="shared" si="30"/>
        <v>4.9500000000000002E-2</v>
      </c>
      <c r="Q44" s="2733">
        <f t="shared" si="30"/>
        <v>4.82E-2</v>
      </c>
      <c r="R44" s="2734"/>
      <c r="S44" s="2732">
        <f>B44/B45-1</f>
        <v>4.5869215322328349E-2</v>
      </c>
      <c r="T44" s="2733">
        <f>C44/C45-1</f>
        <v>3.6310645345394743E-2</v>
      </c>
      <c r="U44" s="2733">
        <f>E44/E45-1</f>
        <v>4.7553447657088688E-2</v>
      </c>
      <c r="V44" s="2733">
        <f>F44/F45-1</f>
        <v>4.4155360055980086E-2</v>
      </c>
      <c r="X44" s="2735"/>
      <c r="Y44" s="2735"/>
      <c r="Z44" s="2735"/>
    </row>
    <row r="45" spans="1:26" ht="13.5" thickBot="1">
      <c r="A45" s="2681" t="s">
        <v>2610</v>
      </c>
      <c r="B45" s="2687">
        <v>188</v>
      </c>
      <c r="C45" s="2687">
        <v>165</v>
      </c>
      <c r="D45" s="2687">
        <f t="shared" si="28"/>
        <v>165</v>
      </c>
      <c r="E45" s="2687">
        <v>254</v>
      </c>
      <c r="F45" s="2688">
        <v>148</v>
      </c>
      <c r="G45" s="3587">
        <v>2007</v>
      </c>
      <c r="H45" s="2736">
        <v>4</v>
      </c>
      <c r="I45" s="2736">
        <v>5.51</v>
      </c>
      <c r="J45" s="2736">
        <v>4.8899999999999997</v>
      </c>
      <c r="K45" s="2736">
        <v>6.43</v>
      </c>
      <c r="L45" s="2737">
        <v>5.36</v>
      </c>
      <c r="N45" s="2738">
        <f t="shared" ref="N45:O48" si="48">B45/B46-1</f>
        <v>4.1339718365245526E-2</v>
      </c>
      <c r="O45" s="2739">
        <f t="shared" si="48"/>
        <v>4.0324492593776018E-2</v>
      </c>
      <c r="P45" s="2739">
        <f t="shared" ref="P45:Q48" si="49">E45/E46-1</f>
        <v>6.1625555347990968E-2</v>
      </c>
      <c r="Q45" s="2739">
        <f t="shared" si="49"/>
        <v>4.6757569250590603E-2</v>
      </c>
      <c r="R45" s="2692"/>
      <c r="S45" s="2693"/>
      <c r="T45" s="2694"/>
      <c r="U45" s="2694"/>
      <c r="V45" s="2694"/>
      <c r="X45" s="2694"/>
      <c r="Y45" s="2694"/>
      <c r="Z45" s="2694"/>
    </row>
    <row r="46" spans="1:26">
      <c r="A46" s="2681" t="s">
        <v>2611</v>
      </c>
      <c r="B46" s="2695">
        <f t="shared" ref="B46:C48" si="50">B47+(B$45-B$49)*I46/SUM(I$45:I$48)</f>
        <v>180.5366651097618</v>
      </c>
      <c r="C46" s="2695">
        <f t="shared" si="50"/>
        <v>158.60435967302453</v>
      </c>
      <c r="D46" s="2695">
        <f t="shared" si="28"/>
        <v>158.60435967302453</v>
      </c>
      <c r="E46" s="2695">
        <f t="shared" ref="E46:F48" si="51">E47+(E$45-E$49)*K46/SUM(K$45:K$48)</f>
        <v>239.25573260785075</v>
      </c>
      <c r="F46" s="2695">
        <f t="shared" si="51"/>
        <v>141.38899430740037</v>
      </c>
      <c r="G46" s="3588">
        <v>2007</v>
      </c>
      <c r="H46" s="2706">
        <v>3</v>
      </c>
      <c r="I46" s="2706">
        <v>8.65</v>
      </c>
      <c r="J46" s="2706">
        <v>8.06</v>
      </c>
      <c r="K46" s="2706">
        <v>9.94</v>
      </c>
      <c r="L46" s="2707">
        <v>5.8</v>
      </c>
      <c r="N46" s="2738">
        <f t="shared" si="48"/>
        <v>6.940217571740015E-2</v>
      </c>
      <c r="O46" s="2739">
        <f t="shared" si="48"/>
        <v>7.1197482471153428E-2</v>
      </c>
      <c r="P46" s="2739">
        <f t="shared" si="49"/>
        <v>0.10529679922579582</v>
      </c>
      <c r="Q46" s="2739">
        <f t="shared" si="49"/>
        <v>5.3292245059512133E-2</v>
      </c>
      <c r="R46" s="2692"/>
      <c r="S46" s="2690"/>
      <c r="T46" s="2691"/>
      <c r="U46" s="2691"/>
      <c r="V46" s="2691"/>
      <c r="X46" s="2740"/>
      <c r="Y46" s="2740"/>
      <c r="Z46" s="2740"/>
    </row>
    <row r="47" spans="1:26">
      <c r="A47" s="2681" t="s">
        <v>2612</v>
      </c>
      <c r="B47" s="2695">
        <f t="shared" si="50"/>
        <v>168.82017748715555</v>
      </c>
      <c r="C47" s="2695">
        <f t="shared" si="50"/>
        <v>148.06267029972753</v>
      </c>
      <c r="D47" s="2695">
        <f t="shared" si="28"/>
        <v>148.06267029972753</v>
      </c>
      <c r="E47" s="2695">
        <f t="shared" si="51"/>
        <v>216.46288379323747</v>
      </c>
      <c r="F47" s="2695">
        <f t="shared" si="51"/>
        <v>134.23529411764704</v>
      </c>
      <c r="G47" s="3588">
        <v>2007</v>
      </c>
      <c r="H47" s="2686">
        <v>2</v>
      </c>
      <c r="I47" s="2686">
        <v>3.67</v>
      </c>
      <c r="J47" s="2686">
        <v>2.3199999999999998</v>
      </c>
      <c r="K47" s="2686">
        <v>5.0199999999999996</v>
      </c>
      <c r="L47" s="2697">
        <v>6.71</v>
      </c>
      <c r="N47" s="2738">
        <f t="shared" si="48"/>
        <v>3.0339138143848032E-2</v>
      </c>
      <c r="O47" s="2739">
        <f t="shared" si="48"/>
        <v>2.0922341588790472E-2</v>
      </c>
      <c r="P47" s="2739">
        <f t="shared" si="49"/>
        <v>5.6164796592717003E-2</v>
      </c>
      <c r="Q47" s="2739">
        <f t="shared" si="49"/>
        <v>6.5704536723887319E-2</v>
      </c>
      <c r="R47" s="2692"/>
      <c r="S47" s="2690"/>
      <c r="T47" s="2691"/>
      <c r="U47" s="2691"/>
      <c r="V47" s="2691"/>
      <c r="X47" s="2740"/>
      <c r="Y47" s="2740"/>
      <c r="Z47" s="2740"/>
    </row>
    <row r="48" spans="1:26">
      <c r="A48" s="2681" t="s">
        <v>2613</v>
      </c>
      <c r="B48" s="2695">
        <f t="shared" si="50"/>
        <v>163.84913591779542</v>
      </c>
      <c r="C48" s="2695">
        <f t="shared" si="50"/>
        <v>145.0283378746594</v>
      </c>
      <c r="D48" s="2695">
        <f t="shared" si="28"/>
        <v>145.0283378746594</v>
      </c>
      <c r="E48" s="2695">
        <f t="shared" si="51"/>
        <v>204.95180722891567</v>
      </c>
      <c r="F48" s="2695">
        <f t="shared" si="51"/>
        <v>125.95920303605313</v>
      </c>
      <c r="G48" s="3589">
        <v>2007</v>
      </c>
      <c r="H48" s="2685">
        <v>1</v>
      </c>
      <c r="I48" s="2685">
        <v>3.58</v>
      </c>
      <c r="J48" s="2685">
        <v>3.08</v>
      </c>
      <c r="K48" s="2685">
        <v>4.34</v>
      </c>
      <c r="L48" s="2696">
        <v>3.21</v>
      </c>
      <c r="N48" s="2741">
        <f t="shared" si="48"/>
        <v>3.0497710174814063E-2</v>
      </c>
      <c r="O48" s="2742">
        <f t="shared" si="48"/>
        <v>2.8569772160704998E-2</v>
      </c>
      <c r="P48" s="2742">
        <f t="shared" si="49"/>
        <v>5.1034908866234296E-2</v>
      </c>
      <c r="Q48" s="2742">
        <f t="shared" si="49"/>
        <v>3.245248390207478E-2</v>
      </c>
      <c r="R48" s="2692"/>
      <c r="S48" s="2698">
        <f>B48/B49-1</f>
        <v>3.0497710174814063E-2</v>
      </c>
      <c r="T48" s="2699">
        <f>C48/C49-1</f>
        <v>2.8569772160704998E-2</v>
      </c>
      <c r="U48" s="2699">
        <f>E48/E49-1</f>
        <v>5.1034908866234296E-2</v>
      </c>
      <c r="V48" s="2699">
        <f>F48/F49-1</f>
        <v>3.245248390207478E-2</v>
      </c>
      <c r="X48" s="2740"/>
      <c r="Y48" s="2740"/>
      <c r="Z48" s="2740"/>
    </row>
    <row r="49" spans="1:26" ht="13.5" thickBot="1">
      <c r="A49" s="2681" t="s">
        <v>2614</v>
      </c>
      <c r="B49" s="2709">
        <v>159</v>
      </c>
      <c r="C49" s="2709">
        <v>141</v>
      </c>
      <c r="D49" s="2709">
        <f t="shared" si="28"/>
        <v>141</v>
      </c>
      <c r="E49" s="2709">
        <v>195</v>
      </c>
      <c r="F49" s="2710">
        <v>122</v>
      </c>
      <c r="G49" s="3587">
        <v>2006</v>
      </c>
      <c r="H49" s="2701">
        <v>4</v>
      </c>
      <c r="I49" s="2701">
        <v>3.79</v>
      </c>
      <c r="J49" s="2701">
        <v>2.21</v>
      </c>
      <c r="K49" s="2701">
        <v>5.65</v>
      </c>
      <c r="L49" s="2702">
        <v>5.41</v>
      </c>
      <c r="N49" s="2738">
        <f t="shared" ref="N49:O52" si="52">I49/SUM(I$49:I$52)*(B$49/B$53-1)</f>
        <v>7.245466462748526E-2</v>
      </c>
      <c r="O49" s="2739">
        <f t="shared" si="52"/>
        <v>2.3237230038062766E-2</v>
      </c>
      <c r="P49" s="2739">
        <f t="shared" ref="P49:Q52" si="53">K49/SUM(K$49:K$52)*(E$49/E$53-1)</f>
        <v>0.16146893866323722</v>
      </c>
      <c r="Q49" s="2739">
        <f t="shared" si="53"/>
        <v>5.0755230321793784E-2</v>
      </c>
      <c r="R49" s="2692"/>
      <c r="S49" s="2693"/>
      <c r="T49" s="2694"/>
      <c r="U49" s="2694"/>
      <c r="V49" s="2694"/>
      <c r="X49" s="2740"/>
      <c r="Y49" s="2740"/>
      <c r="Z49" s="2740"/>
    </row>
    <row r="50" spans="1:26">
      <c r="A50" s="2681" t="s">
        <v>2615</v>
      </c>
      <c r="B50" s="2695">
        <f t="shared" ref="B50:C52" si="54">B51+(B$49-B$53)*I50/SUM(I$49:I$52)</f>
        <v>149.00125628140702</v>
      </c>
      <c r="C50" s="2695">
        <f t="shared" si="54"/>
        <v>137.95592286501378</v>
      </c>
      <c r="D50" s="2695">
        <f t="shared" si="28"/>
        <v>137.95592286501378</v>
      </c>
      <c r="E50" s="2695">
        <f t="shared" ref="E50:F52" si="55">E51+(E$49-E$53)*K50/SUM(K$49:K$52)</f>
        <v>169.97231450719823</v>
      </c>
      <c r="F50" s="2695">
        <f t="shared" si="55"/>
        <v>116.21390374331551</v>
      </c>
      <c r="G50" s="3588">
        <v>2006</v>
      </c>
      <c r="H50" s="2706">
        <v>3</v>
      </c>
      <c r="I50" s="2706">
        <v>0.92</v>
      </c>
      <c r="J50" s="2706">
        <v>1.08</v>
      </c>
      <c r="K50" s="2706">
        <v>0.73</v>
      </c>
      <c r="L50" s="2707">
        <v>1.08</v>
      </c>
      <c r="N50" s="2738">
        <f t="shared" si="52"/>
        <v>1.7587939698492462E-2</v>
      </c>
      <c r="O50" s="2739">
        <f t="shared" si="52"/>
        <v>1.1355750425840628E-2</v>
      </c>
      <c r="P50" s="2739">
        <f t="shared" si="53"/>
        <v>2.0862358446754544E-2</v>
      </c>
      <c r="Q50" s="2739">
        <f t="shared" si="53"/>
        <v>1.0132282578103011E-2</v>
      </c>
      <c r="R50" s="2692"/>
      <c r="S50" s="2690"/>
      <c r="T50" s="2691"/>
      <c r="U50" s="2691"/>
      <c r="V50" s="2691"/>
      <c r="X50" s="2740"/>
      <c r="Y50" s="2740"/>
      <c r="Z50" s="2740"/>
    </row>
    <row r="51" spans="1:26">
      <c r="A51" s="2681" t="s">
        <v>2616</v>
      </c>
      <c r="B51" s="2695">
        <f t="shared" si="54"/>
        <v>146.57412060301507</v>
      </c>
      <c r="C51" s="2695">
        <f t="shared" si="54"/>
        <v>136.46831955922866</v>
      </c>
      <c r="D51" s="2695">
        <f t="shared" si="28"/>
        <v>136.46831955922866</v>
      </c>
      <c r="E51" s="2695">
        <f t="shared" si="55"/>
        <v>166.73864894795128</v>
      </c>
      <c r="F51" s="2695">
        <f t="shared" si="55"/>
        <v>115.05882352941177</v>
      </c>
      <c r="G51" s="3588">
        <v>2006</v>
      </c>
      <c r="H51" s="2686">
        <v>2</v>
      </c>
      <c r="I51" s="2686">
        <v>0.96</v>
      </c>
      <c r="J51" s="2686">
        <v>0.25</v>
      </c>
      <c r="K51" s="2686">
        <v>1.9</v>
      </c>
      <c r="L51" s="2697">
        <v>0.95</v>
      </c>
      <c r="N51" s="2738">
        <f t="shared" si="52"/>
        <v>1.8352632728861701E-2</v>
      </c>
      <c r="O51" s="2739">
        <f t="shared" si="52"/>
        <v>2.6286459319075526E-3</v>
      </c>
      <c r="P51" s="2739">
        <f t="shared" si="53"/>
        <v>5.4299289107991269E-2</v>
      </c>
      <c r="Q51" s="2739">
        <f t="shared" si="53"/>
        <v>8.9126559714794995E-3</v>
      </c>
      <c r="R51" s="2692"/>
      <c r="S51" s="2690"/>
      <c r="T51" s="2691"/>
      <c r="U51" s="2691"/>
      <c r="V51" s="2691"/>
      <c r="X51" s="2740"/>
      <c r="Y51" s="2740"/>
      <c r="Z51" s="2740"/>
    </row>
    <row r="52" spans="1:26">
      <c r="A52" s="2681" t="s">
        <v>2617</v>
      </c>
      <c r="B52" s="2695">
        <f t="shared" si="54"/>
        <v>144.04145728643215</v>
      </c>
      <c r="C52" s="2695">
        <f t="shared" si="54"/>
        <v>136.12396694214877</v>
      </c>
      <c r="D52" s="2695">
        <f t="shared" si="28"/>
        <v>136.12396694214877</v>
      </c>
      <c r="E52" s="2695">
        <f t="shared" si="55"/>
        <v>158.32225913621264</v>
      </c>
      <c r="F52" s="2695">
        <f t="shared" si="55"/>
        <v>114.04278074866311</v>
      </c>
      <c r="G52" s="3589">
        <v>2006</v>
      </c>
      <c r="H52" s="2685">
        <v>1</v>
      </c>
      <c r="I52" s="2685">
        <v>2.29</v>
      </c>
      <c r="J52" s="2685">
        <v>3.72</v>
      </c>
      <c r="K52" s="2685">
        <v>0.75</v>
      </c>
      <c r="L52" s="2696">
        <v>0.04</v>
      </c>
      <c r="N52" s="2741">
        <f t="shared" si="52"/>
        <v>4.3778675988638847E-2</v>
      </c>
      <c r="O52" s="2742">
        <f t="shared" si="52"/>
        <v>3.9114251466784385E-2</v>
      </c>
      <c r="P52" s="2742">
        <f t="shared" si="53"/>
        <v>2.1433929911049188E-2</v>
      </c>
      <c r="Q52" s="2742">
        <f t="shared" si="53"/>
        <v>3.7526972511492629E-4</v>
      </c>
      <c r="R52" s="2692"/>
      <c r="S52" s="2698">
        <f>B52/B53-1</f>
        <v>4.3778675988638716E-2</v>
      </c>
      <c r="T52" s="2699">
        <f>C52/C53-1</f>
        <v>3.91142514667846E-2</v>
      </c>
      <c r="U52" s="2699">
        <f>E52/E53-1</f>
        <v>2.143392991104931E-2</v>
      </c>
      <c r="V52" s="2699">
        <f>F52/F53-1</f>
        <v>3.7526972511492396E-4</v>
      </c>
      <c r="X52" s="2740"/>
      <c r="Y52" s="2740"/>
      <c r="Z52" s="2740"/>
    </row>
    <row r="53" spans="1:26" ht="13.5" thickBot="1">
      <c r="A53" s="2681" t="s">
        <v>2618</v>
      </c>
      <c r="B53" s="2709">
        <v>138</v>
      </c>
      <c r="C53" s="2709">
        <v>131</v>
      </c>
      <c r="D53" s="2709">
        <f t="shared" si="28"/>
        <v>131</v>
      </c>
      <c r="E53" s="2709">
        <v>155</v>
      </c>
      <c r="F53" s="2710">
        <v>114</v>
      </c>
      <c r="G53" s="3587">
        <v>2005</v>
      </c>
      <c r="H53" s="2701">
        <v>4</v>
      </c>
      <c r="I53" s="2701">
        <v>3.29</v>
      </c>
      <c r="J53" s="2701">
        <v>1.44</v>
      </c>
      <c r="K53" s="2701">
        <v>0.66</v>
      </c>
      <c r="L53" s="2702">
        <v>7.78</v>
      </c>
      <c r="N53" s="2738">
        <f t="shared" ref="N53:O56" si="56">I53/SUM(I$53:I$56)*(B$53/B$57-1)</f>
        <v>9.9404603216919935E-2</v>
      </c>
      <c r="O53" s="2739">
        <f t="shared" si="56"/>
        <v>4.7636550760861554E-2</v>
      </c>
      <c r="P53" s="2739">
        <f t="shared" ref="P53:Q56" si="57">K53/SUM(K$53:K$56)*(E$53/E$57-1)</f>
        <v>8.3756345177664976E-2</v>
      </c>
      <c r="Q53" s="2739">
        <f t="shared" si="57"/>
        <v>5.2148766661559584E-2</v>
      </c>
      <c r="R53" s="2692"/>
      <c r="S53" s="2693"/>
      <c r="T53" s="2694"/>
      <c r="U53" s="2694"/>
      <c r="V53" s="2694"/>
      <c r="X53" s="2740"/>
      <c r="Y53" s="2740"/>
      <c r="Z53" s="2740"/>
    </row>
    <row r="54" spans="1:26">
      <c r="A54" s="2681" t="s">
        <v>2619</v>
      </c>
      <c r="B54" s="2695">
        <f t="shared" ref="B54:C56" si="58">B55+(B$53-B$57)*I54/SUM(I$53:I$56)</f>
        <v>125.9720430107527</v>
      </c>
      <c r="C54" s="2695">
        <f t="shared" si="58"/>
        <v>125.1883408071749</v>
      </c>
      <c r="D54" s="2695">
        <f t="shared" si="28"/>
        <v>125.1883408071749</v>
      </c>
      <c r="E54" s="2695">
        <f t="shared" ref="E54:F56" si="59">E55+(E$53-E$57)*K54/SUM(K$53:K$56)</f>
        <v>144.61421319796952</v>
      </c>
      <c r="F54" s="2695">
        <f t="shared" si="59"/>
        <v>108.42008196721311</v>
      </c>
      <c r="G54" s="3588">
        <v>2005</v>
      </c>
      <c r="H54" s="2706">
        <v>3</v>
      </c>
      <c r="I54" s="2706">
        <v>0.46</v>
      </c>
      <c r="J54" s="2706">
        <v>0.32</v>
      </c>
      <c r="K54" s="2706">
        <v>0.42</v>
      </c>
      <c r="L54" s="2707">
        <v>0.64</v>
      </c>
      <c r="N54" s="2738">
        <f t="shared" si="56"/>
        <v>1.3898515951301874E-2</v>
      </c>
      <c r="O54" s="2739">
        <f t="shared" si="56"/>
        <v>1.0585900169080346E-2</v>
      </c>
      <c r="P54" s="2739">
        <f t="shared" si="57"/>
        <v>5.3299492385786795E-2</v>
      </c>
      <c r="Q54" s="2739">
        <f t="shared" si="57"/>
        <v>4.2898728359123568E-3</v>
      </c>
      <c r="R54" s="2692"/>
      <c r="S54" s="2690"/>
      <c r="T54" s="2691"/>
      <c r="U54" s="2691"/>
      <c r="V54" s="2691"/>
      <c r="X54" s="2740"/>
      <c r="Y54" s="2740"/>
      <c r="Z54" s="2740"/>
    </row>
    <row r="55" spans="1:26">
      <c r="A55" s="2681" t="s">
        <v>2620</v>
      </c>
      <c r="B55" s="2695">
        <f t="shared" si="58"/>
        <v>124.29032258064517</v>
      </c>
      <c r="C55" s="2695">
        <f t="shared" si="58"/>
        <v>123.8968609865471</v>
      </c>
      <c r="D55" s="2695">
        <f t="shared" si="28"/>
        <v>123.8968609865471</v>
      </c>
      <c r="E55" s="2695">
        <f t="shared" si="59"/>
        <v>138.00507614213197</v>
      </c>
      <c r="F55" s="2695">
        <f t="shared" si="59"/>
        <v>107.96106557377048</v>
      </c>
      <c r="G55" s="3588">
        <v>2005</v>
      </c>
      <c r="H55" s="2686">
        <v>2</v>
      </c>
      <c r="I55" s="2686">
        <v>0.47</v>
      </c>
      <c r="J55" s="2686">
        <v>0.1</v>
      </c>
      <c r="K55" s="2686">
        <v>0.52</v>
      </c>
      <c r="L55" s="2697">
        <v>0.79</v>
      </c>
      <c r="N55" s="2738">
        <f t="shared" si="56"/>
        <v>1.420065760241713E-2</v>
      </c>
      <c r="O55" s="2739">
        <f t="shared" si="56"/>
        <v>3.3080938028376083E-3</v>
      </c>
      <c r="P55" s="2739">
        <f t="shared" si="57"/>
        <v>6.598984771573603E-2</v>
      </c>
      <c r="Q55" s="2739">
        <f t="shared" si="57"/>
        <v>5.2953117818293153E-3</v>
      </c>
      <c r="R55" s="2692"/>
      <c r="S55" s="2690"/>
      <c r="T55" s="2691"/>
      <c r="U55" s="2691"/>
      <c r="V55" s="2691"/>
      <c r="X55" s="2740"/>
      <c r="Y55" s="2740"/>
      <c r="Z55" s="2740"/>
    </row>
    <row r="56" spans="1:26">
      <c r="A56" s="2681" t="s">
        <v>2621</v>
      </c>
      <c r="B56" s="2695">
        <f t="shared" si="58"/>
        <v>122.57204301075269</v>
      </c>
      <c r="C56" s="2695">
        <f t="shared" si="58"/>
        <v>123.4932735426009</v>
      </c>
      <c r="D56" s="2695">
        <f t="shared" si="28"/>
        <v>123.4932735426009</v>
      </c>
      <c r="E56" s="2695">
        <f t="shared" si="59"/>
        <v>129.82233502538071</v>
      </c>
      <c r="F56" s="2695">
        <f t="shared" si="59"/>
        <v>107.39446721311475</v>
      </c>
      <c r="G56" s="3589">
        <v>2005</v>
      </c>
      <c r="H56" s="2685">
        <v>1</v>
      </c>
      <c r="I56" s="2685">
        <v>0.43</v>
      </c>
      <c r="J56" s="2685">
        <v>0.37</v>
      </c>
      <c r="K56" s="2685">
        <v>0.37</v>
      </c>
      <c r="L56" s="2696">
        <v>0.55000000000000004</v>
      </c>
      <c r="N56" s="2741">
        <f t="shared" si="56"/>
        <v>1.2992090997956099E-2</v>
      </c>
      <c r="O56" s="2742">
        <f t="shared" si="56"/>
        <v>1.2239947070499151E-2</v>
      </c>
      <c r="P56" s="2742">
        <f t="shared" si="57"/>
        <v>4.6954314720812178E-2</v>
      </c>
      <c r="Q56" s="2742">
        <f t="shared" si="57"/>
        <v>3.6866094683621815E-3</v>
      </c>
      <c r="R56" s="2692"/>
      <c r="S56" s="2698">
        <f>B56/B57-1</f>
        <v>1.2992090997956174E-2</v>
      </c>
      <c r="T56" s="2699">
        <f>C56/C57-1</f>
        <v>1.2239947070499246E-2</v>
      </c>
      <c r="U56" s="2699">
        <f>E56/E57-1</f>
        <v>4.695431472081224E-2</v>
      </c>
      <c r="V56" s="2699">
        <f>F56/F57-1</f>
        <v>3.6866094683620787E-3</v>
      </c>
      <c r="X56" s="2740"/>
      <c r="Y56" s="2740"/>
      <c r="Z56" s="2740"/>
    </row>
    <row r="57" spans="1:26" ht="13.5" thickBot="1">
      <c r="A57" s="2681" t="s">
        <v>2622</v>
      </c>
      <c r="B57" s="2725">
        <v>121</v>
      </c>
      <c r="C57" s="2725">
        <v>122</v>
      </c>
      <c r="D57" s="2725">
        <f t="shared" si="28"/>
        <v>122</v>
      </c>
      <c r="E57" s="2725">
        <v>124</v>
      </c>
      <c r="F57" s="2726">
        <v>107</v>
      </c>
      <c r="G57" s="3587">
        <v>2004</v>
      </c>
      <c r="H57" s="2701">
        <v>4</v>
      </c>
      <c r="I57" s="2701">
        <v>0.33</v>
      </c>
      <c r="J57" s="2701">
        <v>0.5</v>
      </c>
      <c r="K57" s="2701">
        <v>0.5</v>
      </c>
      <c r="L57" s="2702">
        <v>0</v>
      </c>
      <c r="N57" s="2738">
        <f t="shared" ref="N57:O60" si="60">I57/SUM(I$57:I$60)*(B$57/B$61-1)</f>
        <v>1.3391770148526898E-2</v>
      </c>
      <c r="O57" s="2739">
        <f t="shared" si="60"/>
        <v>1.063264221158958E-2</v>
      </c>
      <c r="P57" s="2739">
        <f t="shared" ref="P57:Q60" si="61">K57/SUM(K$57:K$60)*(E$57/E$61-1)</f>
        <v>2.2244466688911134E-2</v>
      </c>
      <c r="Q57" s="2739">
        <f t="shared" si="61"/>
        <v>0</v>
      </c>
      <c r="R57" s="2692"/>
      <c r="S57" s="2693"/>
      <c r="T57" s="2694"/>
      <c r="U57" s="2694"/>
      <c r="V57" s="2694"/>
      <c r="X57" s="2740"/>
      <c r="Y57" s="2740"/>
      <c r="Z57" s="2740"/>
    </row>
    <row r="58" spans="1:26">
      <c r="A58" s="2681" t="s">
        <v>2623</v>
      </c>
      <c r="B58" s="2695">
        <f t="shared" ref="B58:C60" si="62">B59+(B$57-B$61)*I58/SUM(I$57:I$60)</f>
        <v>119.51351351351352</v>
      </c>
      <c r="C58" s="2695">
        <f t="shared" si="62"/>
        <v>120.7878787878788</v>
      </c>
      <c r="D58" s="2695">
        <f t="shared" si="28"/>
        <v>120.7878787878788</v>
      </c>
      <c r="E58" s="2695">
        <f t="shared" ref="E58:F60" si="63">E59+(E$57-E$61)*K58/SUM(K$57:K$60)</f>
        <v>121.5975975975976</v>
      </c>
      <c r="F58" s="2695">
        <f t="shared" si="63"/>
        <v>107</v>
      </c>
      <c r="G58" s="3588">
        <v>2004</v>
      </c>
      <c r="H58" s="2706">
        <v>3</v>
      </c>
      <c r="I58" s="2706">
        <v>0.56000000000000005</v>
      </c>
      <c r="J58" s="2706">
        <v>0.8</v>
      </c>
      <c r="K58" s="2706">
        <v>0.83</v>
      </c>
      <c r="L58" s="2707">
        <v>0.06</v>
      </c>
      <c r="N58" s="2738">
        <f t="shared" si="60"/>
        <v>2.2725428130833527E-2</v>
      </c>
      <c r="O58" s="2739">
        <f t="shared" si="60"/>
        <v>1.7012227538543329E-2</v>
      </c>
      <c r="P58" s="2739">
        <f t="shared" si="61"/>
        <v>3.6925814703592477E-2</v>
      </c>
      <c r="Q58" s="2739">
        <f t="shared" si="61"/>
        <v>2.8846153846153744E-2</v>
      </c>
      <c r="R58" s="2692"/>
      <c r="S58" s="2690"/>
      <c r="T58" s="2691"/>
      <c r="U58" s="2691"/>
      <c r="V58" s="2691"/>
      <c r="X58" s="2740"/>
      <c r="Y58" s="2740"/>
      <c r="Z58" s="2740"/>
    </row>
    <row r="59" spans="1:26">
      <c r="A59" s="2681" t="s">
        <v>2624</v>
      </c>
      <c r="B59" s="2695">
        <f t="shared" si="62"/>
        <v>116.99099099099099</v>
      </c>
      <c r="C59" s="2695">
        <f t="shared" si="62"/>
        <v>118.84848484848486</v>
      </c>
      <c r="D59" s="2695">
        <f t="shared" si="28"/>
        <v>118.84848484848486</v>
      </c>
      <c r="E59" s="2695">
        <f t="shared" si="63"/>
        <v>117.60960960960961</v>
      </c>
      <c r="F59" s="2695">
        <f t="shared" si="63"/>
        <v>104</v>
      </c>
      <c r="G59" s="3588">
        <v>2004</v>
      </c>
      <c r="H59" s="2686">
        <v>2</v>
      </c>
      <c r="I59" s="2686">
        <v>1</v>
      </c>
      <c r="J59" s="2686">
        <v>1.5</v>
      </c>
      <c r="K59" s="2686">
        <v>1.5</v>
      </c>
      <c r="L59" s="2697">
        <v>0</v>
      </c>
      <c r="N59" s="2738">
        <f t="shared" si="60"/>
        <v>4.0581121662202721E-2</v>
      </c>
      <c r="O59" s="2739">
        <f t="shared" si="60"/>
        <v>3.1897926634768738E-2</v>
      </c>
      <c r="P59" s="2739">
        <f t="shared" si="61"/>
        <v>6.6733400066733395E-2</v>
      </c>
      <c r="Q59" s="2739">
        <f t="shared" si="61"/>
        <v>0</v>
      </c>
      <c r="R59" s="2692"/>
      <c r="S59" s="2690"/>
      <c r="T59" s="2691"/>
      <c r="U59" s="2691"/>
      <c r="V59" s="2691"/>
      <c r="X59" s="2740"/>
      <c r="Y59" s="2740"/>
      <c r="Z59" s="2740"/>
    </row>
    <row r="60" spans="1:26" s="2731" customFormat="1" ht="13.5" thickBot="1">
      <c r="A60" s="2681" t="s">
        <v>2625</v>
      </c>
      <c r="B60" s="2728">
        <f t="shared" si="62"/>
        <v>112.48648648648648</v>
      </c>
      <c r="C60" s="2728">
        <f t="shared" si="62"/>
        <v>115.21212121212122</v>
      </c>
      <c r="D60" s="2728">
        <f t="shared" si="28"/>
        <v>115.21212121212122</v>
      </c>
      <c r="E60" s="2728">
        <f t="shared" si="63"/>
        <v>110.4024024024024</v>
      </c>
      <c r="F60" s="2728">
        <f t="shared" si="63"/>
        <v>104</v>
      </c>
      <c r="G60" s="3589">
        <v>2004</v>
      </c>
      <c r="H60" s="2729">
        <v>1</v>
      </c>
      <c r="I60" s="2729">
        <v>0.33</v>
      </c>
      <c r="J60" s="2729">
        <v>0.5</v>
      </c>
      <c r="K60" s="2729">
        <v>0.5</v>
      </c>
      <c r="L60" s="2730">
        <v>0</v>
      </c>
      <c r="N60" s="2743">
        <f t="shared" si="60"/>
        <v>1.3391770148526898E-2</v>
      </c>
      <c r="O60" s="2744">
        <f t="shared" si="60"/>
        <v>1.063264221158958E-2</v>
      </c>
      <c r="P60" s="2744">
        <f t="shared" si="61"/>
        <v>2.2244466688911134E-2</v>
      </c>
      <c r="Q60" s="2744">
        <f t="shared" si="61"/>
        <v>0</v>
      </c>
      <c r="R60" s="2734"/>
      <c r="S60" s="2732">
        <f>B60/B61-1</f>
        <v>1.3391770148526883E-2</v>
      </c>
      <c r="T60" s="2733">
        <f>C60/C61-1</f>
        <v>1.063264221158966E-2</v>
      </c>
      <c r="U60" s="2733">
        <f>E60/E61-1</f>
        <v>2.2244466688911224E-2</v>
      </c>
      <c r="V60" s="2733">
        <f>F60/F61-1</f>
        <v>0</v>
      </c>
      <c r="X60" s="2745"/>
      <c r="Y60" s="2745"/>
      <c r="Z60" s="2745"/>
    </row>
    <row r="61" spans="1:26" ht="13.5" thickBot="1">
      <c r="A61" s="2681" t="s">
        <v>2626</v>
      </c>
      <c r="B61" s="2746">
        <v>111</v>
      </c>
      <c r="C61" s="2746">
        <v>114</v>
      </c>
      <c r="D61" s="2746">
        <f t="shared" si="28"/>
        <v>114</v>
      </c>
      <c r="E61" s="2746">
        <v>108</v>
      </c>
      <c r="F61" s="2747">
        <v>104</v>
      </c>
      <c r="G61" s="3587">
        <v>2003</v>
      </c>
      <c r="H61" s="2736">
        <v>4</v>
      </c>
      <c r="I61" s="2748"/>
      <c r="J61" s="2748"/>
      <c r="K61" s="2748"/>
      <c r="L61" s="2748"/>
      <c r="N61" s="2749"/>
      <c r="O61" s="2748"/>
      <c r="P61" s="2748"/>
      <c r="Q61" s="2748"/>
      <c r="S61" s="2749"/>
      <c r="T61" s="2748"/>
      <c r="U61" s="2748"/>
      <c r="V61" s="2748"/>
      <c r="X61" s="2740"/>
      <c r="Y61" s="2740"/>
      <c r="Z61" s="2740"/>
    </row>
    <row r="62" spans="1:26">
      <c r="A62" s="2681" t="s">
        <v>2627</v>
      </c>
      <c r="B62" s="2750">
        <f t="shared" ref="B62:C64" si="64">B63+(B$61-B$65)/4</f>
        <v>109.75</v>
      </c>
      <c r="C62" s="2750">
        <f t="shared" si="64"/>
        <v>112.25</v>
      </c>
      <c r="D62" s="2750">
        <f t="shared" si="28"/>
        <v>112.25</v>
      </c>
      <c r="E62" s="2750">
        <f t="shared" ref="E62:F64" si="65">E63+(E$61-E$65)/4</f>
        <v>107.25</v>
      </c>
      <c r="F62" s="2750">
        <f t="shared" si="65"/>
        <v>103.5</v>
      </c>
      <c r="G62" s="3588">
        <v>2003</v>
      </c>
      <c r="H62" s="2706">
        <v>3</v>
      </c>
      <c r="I62" s="2748"/>
      <c r="J62" s="2748"/>
      <c r="K62" s="2748"/>
      <c r="L62" s="2748"/>
      <c r="X62" s="2740"/>
      <c r="Y62" s="2740"/>
      <c r="Z62" s="2740"/>
    </row>
    <row r="63" spans="1:26">
      <c r="A63" s="2681" t="s">
        <v>2628</v>
      </c>
      <c r="B63" s="2750">
        <f t="shared" si="64"/>
        <v>108.5</v>
      </c>
      <c r="C63" s="2750">
        <f t="shared" si="64"/>
        <v>110.5</v>
      </c>
      <c r="D63" s="2750">
        <f t="shared" si="28"/>
        <v>110.5</v>
      </c>
      <c r="E63" s="2750">
        <f t="shared" si="65"/>
        <v>106.5</v>
      </c>
      <c r="F63" s="2750">
        <f t="shared" si="65"/>
        <v>103</v>
      </c>
      <c r="G63" s="3588">
        <v>2003</v>
      </c>
      <c r="H63" s="2686">
        <v>2</v>
      </c>
      <c r="I63" s="2748"/>
      <c r="J63" s="2748"/>
      <c r="K63" s="2748"/>
      <c r="L63" s="2748"/>
      <c r="X63" s="2740"/>
      <c r="Y63" s="2740"/>
      <c r="Z63" s="2740"/>
    </row>
    <row r="64" spans="1:26" ht="13.5" thickBot="1">
      <c r="A64" s="2681" t="s">
        <v>2629</v>
      </c>
      <c r="B64" s="2750">
        <f t="shared" si="64"/>
        <v>107.25</v>
      </c>
      <c r="C64" s="2750">
        <f t="shared" si="64"/>
        <v>108.75</v>
      </c>
      <c r="D64" s="2750">
        <f t="shared" si="28"/>
        <v>108.75</v>
      </c>
      <c r="E64" s="2750">
        <f t="shared" si="65"/>
        <v>105.75</v>
      </c>
      <c r="F64" s="2750">
        <f t="shared" si="65"/>
        <v>102.5</v>
      </c>
      <c r="G64" s="3589">
        <v>2003</v>
      </c>
      <c r="H64" s="2751">
        <v>1</v>
      </c>
      <c r="I64" s="2748"/>
      <c r="J64" s="2748"/>
      <c r="K64" s="2748"/>
      <c r="L64" s="2748"/>
      <c r="S64" s="2690"/>
      <c r="T64" s="2691"/>
      <c r="U64" s="2691"/>
      <c r="X64" s="2740"/>
      <c r="Y64" s="2740"/>
      <c r="Z64" s="2740"/>
    </row>
    <row r="65" spans="1:26" ht="13.5" thickBot="1">
      <c r="A65" s="2681" t="s">
        <v>2630</v>
      </c>
      <c r="B65" s="2752">
        <v>106</v>
      </c>
      <c r="C65" s="2752">
        <v>107</v>
      </c>
      <c r="D65" s="2752">
        <f t="shared" si="28"/>
        <v>107</v>
      </c>
      <c r="E65" s="2752">
        <v>105</v>
      </c>
      <c r="F65" s="2753">
        <v>102</v>
      </c>
      <c r="G65" s="3587">
        <v>2002</v>
      </c>
      <c r="H65" s="2701">
        <v>4</v>
      </c>
      <c r="I65" s="2748"/>
      <c r="J65" s="2748"/>
      <c r="K65" s="2748"/>
      <c r="L65" s="2748"/>
      <c r="N65" s="2749"/>
      <c r="O65" s="2748"/>
      <c r="P65" s="2748"/>
      <c r="Q65" s="2748"/>
      <c r="S65" s="2749"/>
      <c r="T65" s="2748"/>
      <c r="U65" s="2748"/>
      <c r="V65" s="2748"/>
      <c r="X65" s="2740"/>
      <c r="Y65" s="2740"/>
      <c r="Z65" s="2740"/>
    </row>
    <row r="66" spans="1:26">
      <c r="A66" s="2681" t="s">
        <v>2631</v>
      </c>
      <c r="B66" s="2750">
        <f t="shared" ref="B66:C68" si="66">B67+(B$65-B$69)/4</f>
        <v>105</v>
      </c>
      <c r="C66" s="2750">
        <f t="shared" si="66"/>
        <v>106</v>
      </c>
      <c r="D66" s="2750">
        <f t="shared" si="28"/>
        <v>106</v>
      </c>
      <c r="E66" s="2750">
        <f t="shared" ref="E66:F68" si="67">E67+(E$65-E$69)/4</f>
        <v>104.5</v>
      </c>
      <c r="F66" s="2750">
        <f t="shared" si="67"/>
        <v>101.5</v>
      </c>
      <c r="G66" s="3588">
        <v>2002</v>
      </c>
      <c r="H66" s="2706">
        <v>3</v>
      </c>
      <c r="I66" s="2748"/>
      <c r="J66" s="2748"/>
      <c r="K66" s="2748"/>
      <c r="L66" s="2748"/>
      <c r="X66" s="2740"/>
      <c r="Y66" s="2740"/>
      <c r="Z66" s="2740"/>
    </row>
    <row r="67" spans="1:26">
      <c r="A67" s="2681" t="s">
        <v>2632</v>
      </c>
      <c r="B67" s="2750">
        <f t="shared" si="66"/>
        <v>104</v>
      </c>
      <c r="C67" s="2750">
        <f t="shared" si="66"/>
        <v>105</v>
      </c>
      <c r="D67" s="2750">
        <f t="shared" si="28"/>
        <v>105</v>
      </c>
      <c r="E67" s="2750">
        <f t="shared" si="67"/>
        <v>104</v>
      </c>
      <c r="F67" s="2750">
        <f t="shared" si="67"/>
        <v>101</v>
      </c>
      <c r="G67" s="3588">
        <v>2002</v>
      </c>
      <c r="H67" s="2686">
        <v>2</v>
      </c>
      <c r="I67" s="2748"/>
      <c r="J67" s="2748"/>
      <c r="K67" s="2748"/>
      <c r="L67" s="2748"/>
      <c r="X67" s="2740"/>
      <c r="Y67" s="2740"/>
      <c r="Z67" s="2740"/>
    </row>
    <row r="68" spans="1:26" s="2717" customFormat="1" ht="13.5" thickBot="1">
      <c r="A68" s="2713" t="s">
        <v>2633</v>
      </c>
      <c r="B68" s="2754">
        <f t="shared" si="66"/>
        <v>103</v>
      </c>
      <c r="C68" s="2754">
        <f t="shared" si="66"/>
        <v>104</v>
      </c>
      <c r="D68" s="2754">
        <f t="shared" si="28"/>
        <v>104</v>
      </c>
      <c r="E68" s="2754">
        <f t="shared" si="67"/>
        <v>103.5</v>
      </c>
      <c r="F68" s="2754">
        <f t="shared" si="67"/>
        <v>100.5</v>
      </c>
      <c r="G68" s="3589">
        <v>2002</v>
      </c>
      <c r="H68" s="2755">
        <v>1</v>
      </c>
      <c r="I68" s="2756"/>
      <c r="J68" s="2756"/>
      <c r="K68" s="2756"/>
      <c r="L68" s="2756"/>
      <c r="N68" s="2757"/>
      <c r="S68" s="2757"/>
      <c r="X68" s="2758"/>
      <c r="Y68" s="2758"/>
      <c r="Z68" s="2758"/>
    </row>
    <row r="69" spans="1:26" ht="13.5" thickBot="1">
      <c r="B69" s="2759">
        <v>102</v>
      </c>
      <c r="C69" s="2760">
        <v>103</v>
      </c>
      <c r="D69" s="2760">
        <f t="shared" si="28"/>
        <v>103</v>
      </c>
      <c r="E69" s="2760">
        <v>103</v>
      </c>
      <c r="F69" s="2761">
        <v>100</v>
      </c>
      <c r="I69" s="2748"/>
      <c r="J69" s="2748"/>
      <c r="K69" s="2748"/>
      <c r="L69" s="2748"/>
      <c r="N69" s="2749"/>
      <c r="O69" s="2748"/>
      <c r="P69" s="2748"/>
      <c r="Q69" s="2748"/>
      <c r="S69" s="2749"/>
      <c r="T69" s="2748"/>
      <c r="U69" s="2748"/>
      <c r="V69" s="2748"/>
      <c r="X69" s="2694"/>
      <c r="Y69" s="2694"/>
      <c r="Z69" s="2694"/>
    </row>
    <row r="71" spans="1:26" s="2763" customFormat="1">
      <c r="A71" s="2762" t="s">
        <v>2634</v>
      </c>
      <c r="G71" s="2764"/>
      <c r="N71" s="2764"/>
      <c r="S71" s="2764"/>
    </row>
    <row r="72" spans="1:26" s="2763" customFormat="1">
      <c r="A72" s="2763" t="s">
        <v>2635</v>
      </c>
      <c r="G72" s="2764"/>
      <c r="N72" s="2764"/>
      <c r="S72" s="2764"/>
    </row>
    <row r="73" spans="1:26" s="2763" customFormat="1">
      <c r="A73" s="2763" t="s">
        <v>2636</v>
      </c>
      <c r="G73" s="2764"/>
      <c r="I73" s="2765"/>
      <c r="J73" s="2765"/>
      <c r="K73" s="2765"/>
      <c r="L73" s="2765"/>
      <c r="N73" s="2766"/>
      <c r="O73" s="2765"/>
      <c r="P73" s="2765"/>
      <c r="Q73" s="2765"/>
      <c r="S73" s="2766"/>
      <c r="T73" s="2765"/>
      <c r="U73" s="2765"/>
      <c r="V73" s="2765"/>
    </row>
    <row r="74" spans="1:26" s="2763" customFormat="1">
      <c r="A74" s="2763" t="s">
        <v>2637</v>
      </c>
      <c r="G74" s="2764"/>
      <c r="N74" s="2764"/>
      <c r="S74" s="2764"/>
    </row>
    <row r="81" spans="7:22" ht="13.5" thickBot="1"/>
    <row r="82" spans="7:22">
      <c r="G82" s="2689"/>
      <c r="S82" s="2767" t="s">
        <v>2638</v>
      </c>
      <c r="T82" s="2768" t="s">
        <v>2639</v>
      </c>
      <c r="U82" s="2768" t="s">
        <v>2640</v>
      </c>
      <c r="V82" s="2768" t="s">
        <v>2641</v>
      </c>
    </row>
    <row r="83" spans="7:22">
      <c r="G83" s="2689"/>
      <c r="N83" s="2693"/>
      <c r="O83" s="2694"/>
      <c r="P83" s="2694"/>
      <c r="Q83" s="2694"/>
      <c r="S83" s="2769">
        <v>2006</v>
      </c>
      <c r="T83" s="2770">
        <v>15.1</v>
      </c>
      <c r="U83" s="2770">
        <v>7.43</v>
      </c>
      <c r="V83" s="2770">
        <v>26.26</v>
      </c>
    </row>
    <row r="84" spans="7:22">
      <c r="G84" s="2689"/>
      <c r="N84" s="2693"/>
      <c r="O84" s="2694"/>
      <c r="P84" s="2694"/>
      <c r="Q84" s="2694"/>
      <c r="S84" s="2772">
        <v>2005</v>
      </c>
      <c r="T84" s="2771">
        <v>13.9</v>
      </c>
      <c r="U84" s="2771">
        <v>7.49</v>
      </c>
      <c r="V84" s="2771">
        <v>24.92</v>
      </c>
    </row>
    <row r="85" spans="7:22">
      <c r="G85" s="2689"/>
      <c r="N85" s="2693"/>
      <c r="O85" s="2694"/>
      <c r="P85" s="2694"/>
      <c r="Q85" s="2694"/>
      <c r="S85" s="2769">
        <v>2004</v>
      </c>
      <c r="T85" s="2770">
        <v>9.48</v>
      </c>
      <c r="U85" s="2770">
        <v>7.2</v>
      </c>
      <c r="V85" s="2770">
        <v>14.68</v>
      </c>
    </row>
    <row r="86" spans="7:22">
      <c r="G86" s="2689"/>
      <c r="N86" s="2693"/>
      <c r="O86" s="2694"/>
      <c r="P86" s="2694"/>
      <c r="Q86" s="2694"/>
      <c r="S86" s="2772">
        <v>2003</v>
      </c>
      <c r="T86" s="2771">
        <v>4.5</v>
      </c>
      <c r="U86" s="2771">
        <v>6.12</v>
      </c>
      <c r="V86" s="2771">
        <v>2.34</v>
      </c>
    </row>
    <row r="87" spans="7:22" ht="13.5" thickBot="1">
      <c r="G87" s="2689"/>
      <c r="N87" s="2693"/>
      <c r="O87" s="2694"/>
      <c r="P87" s="2694"/>
      <c r="Q87" s="2694"/>
      <c r="S87" s="2773">
        <v>2002</v>
      </c>
      <c r="T87" s="2774">
        <v>3.59</v>
      </c>
      <c r="U87" s="2774">
        <v>4.54</v>
      </c>
      <c r="V87" s="2774">
        <v>2.5499999999999998</v>
      </c>
    </row>
    <row r="88" spans="7:22">
      <c r="G88" s="2689"/>
      <c r="N88" s="2693"/>
      <c r="O88" s="2694"/>
      <c r="P88" s="2694"/>
      <c r="Q88" s="2694"/>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c r="S98" s="2689"/>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workbookViewId="0">
      <selection activeCell="A8" sqref="A8"/>
    </sheetView>
  </sheetViews>
  <sheetFormatPr defaultRowHeight="13.5"/>
  <cols>
    <col min="1" max="1" width="45.875" style="2966" customWidth="1"/>
    <col min="2" max="2" width="17.625" style="2966" customWidth="1"/>
    <col min="3" max="3" width="18.5" style="2966" customWidth="1"/>
    <col min="4" max="5" width="13.875" style="2966" customWidth="1"/>
    <col min="6" max="6" width="26.375" style="2966" customWidth="1"/>
    <col min="7" max="7" width="7.875" style="2966" customWidth="1"/>
    <col min="8" max="8" width="13.5" style="2966" customWidth="1"/>
    <col min="9" max="9" width="10.625" style="2966" hidden="1" customWidth="1"/>
    <col min="10" max="10" width="12.75" style="2966" customWidth="1"/>
    <col min="11" max="11" width="18" style="2966" customWidth="1"/>
    <col min="12" max="12" width="8.25" style="2966" customWidth="1"/>
    <col min="13" max="13" width="26.125" style="2966" customWidth="1"/>
    <col min="14" max="14" width="10.125" style="2966" customWidth="1"/>
    <col min="15" max="15" width="9" style="2966"/>
  </cols>
  <sheetData>
    <row r="1" spans="1:15">
      <c r="A1" s="2966" t="s">
        <v>3150</v>
      </c>
      <c r="B1" s="2966" t="s">
        <v>3151</v>
      </c>
      <c r="C1" s="2966" t="s">
        <v>3152</v>
      </c>
      <c r="D1" s="2966" t="s">
        <v>3153</v>
      </c>
      <c r="E1" s="2966" t="s">
        <v>3154</v>
      </c>
      <c r="F1" s="2966" t="s">
        <v>2035</v>
      </c>
      <c r="G1" s="2966" t="s">
        <v>3155</v>
      </c>
      <c r="H1" s="2966" t="s">
        <v>3156</v>
      </c>
      <c r="I1" s="2966" t="s">
        <v>3157</v>
      </c>
      <c r="J1" s="2966" t="s">
        <v>3158</v>
      </c>
      <c r="K1" s="2966" t="s">
        <v>3159</v>
      </c>
      <c r="L1" s="2966" t="s">
        <v>3160</v>
      </c>
      <c r="M1" s="2966" t="s">
        <v>3161</v>
      </c>
    </row>
    <row r="2" spans="1:15" s="3242" customFormat="1">
      <c r="A2" s="3240" t="s">
        <v>3162</v>
      </c>
      <c r="B2" s="3240" t="s">
        <v>3163</v>
      </c>
      <c r="C2" s="3240" t="s">
        <v>3164</v>
      </c>
      <c r="D2" s="3240">
        <v>43346.16</v>
      </c>
      <c r="E2" s="3240">
        <v>65019.24</v>
      </c>
      <c r="F2" s="3240" t="s">
        <v>3165</v>
      </c>
      <c r="G2" s="3240" t="s">
        <v>3166</v>
      </c>
      <c r="H2" s="3240" t="s">
        <v>3167</v>
      </c>
      <c r="I2" s="3240">
        <v>3413.51</v>
      </c>
      <c r="J2" s="3240">
        <v>3413.51</v>
      </c>
      <c r="K2" s="3240">
        <v>525</v>
      </c>
      <c r="L2" s="3240">
        <v>0</v>
      </c>
      <c r="M2" s="3240" t="s">
        <v>3168</v>
      </c>
      <c r="N2" s="3241">
        <f>J2/D2*10000</f>
        <v>787.49997692990564</v>
      </c>
      <c r="O2" s="3240"/>
    </row>
    <row r="3" spans="1:15" hidden="1">
      <c r="A3" s="2966" t="s">
        <v>3169</v>
      </c>
      <c r="B3" s="2966" t="s">
        <v>3163</v>
      </c>
      <c r="C3" s="2966" t="s">
        <v>3164</v>
      </c>
      <c r="D3" s="2966">
        <v>22220</v>
      </c>
      <c r="E3" s="2966">
        <v>130209.2</v>
      </c>
      <c r="F3" s="2966" t="s">
        <v>3170</v>
      </c>
      <c r="G3" s="2966" t="s">
        <v>3166</v>
      </c>
      <c r="H3" s="2966" t="s">
        <v>3171</v>
      </c>
      <c r="I3" s="2966">
        <v>32993.019999999997</v>
      </c>
      <c r="J3" s="2966">
        <v>32993.019999999997</v>
      </c>
      <c r="K3" s="2966">
        <v>2533.84</v>
      </c>
      <c r="L3" s="2966">
        <v>0</v>
      </c>
      <c r="M3" s="2966" t="s">
        <v>3172</v>
      </c>
      <c r="N3" s="3197">
        <f t="shared" ref="N3:N31" si="0">J3/D3*10000</f>
        <v>14848.343834383437</v>
      </c>
    </row>
    <row r="4" spans="1:15" ht="18" hidden="1" customHeight="1">
      <c r="A4" s="2966" t="s">
        <v>3169</v>
      </c>
      <c r="B4" s="2966" t="s">
        <v>3163</v>
      </c>
      <c r="C4" s="2966" t="s">
        <v>3164</v>
      </c>
      <c r="D4" s="2966">
        <v>22220</v>
      </c>
      <c r="E4" s="2966">
        <v>130209.2</v>
      </c>
      <c r="F4" s="2966" t="s">
        <v>3170</v>
      </c>
      <c r="G4" s="2966" t="s">
        <v>3166</v>
      </c>
      <c r="H4" s="2966" t="s">
        <v>3173</v>
      </c>
      <c r="I4" s="2966">
        <v>32993.019999999997</v>
      </c>
      <c r="J4" s="2966">
        <v>32993.019999999997</v>
      </c>
      <c r="K4" s="2966">
        <v>2533.84</v>
      </c>
      <c r="L4" s="2966">
        <v>0</v>
      </c>
      <c r="M4" s="2966" t="s">
        <v>3172</v>
      </c>
      <c r="N4" s="3197">
        <f t="shared" si="0"/>
        <v>14848.343834383437</v>
      </c>
    </row>
    <row r="5" spans="1:15" s="3244" customFormat="1">
      <c r="A5" s="3243" t="s">
        <v>3309</v>
      </c>
      <c r="B5" s="3195" t="s">
        <v>3163</v>
      </c>
      <c r="C5" s="3195" t="s">
        <v>3164</v>
      </c>
      <c r="D5" s="3195">
        <v>49457.58</v>
      </c>
      <c r="E5" s="3195">
        <v>148372.74</v>
      </c>
      <c r="F5" s="3195" t="s">
        <v>3174</v>
      </c>
      <c r="G5" s="3195" t="s">
        <v>3166</v>
      </c>
      <c r="H5" s="3195" t="s">
        <v>3175</v>
      </c>
      <c r="I5" s="3195">
        <v>4451.18</v>
      </c>
      <c r="J5" s="3195">
        <v>4451.18</v>
      </c>
      <c r="K5" s="3195">
        <v>300</v>
      </c>
      <c r="L5" s="3195">
        <v>0</v>
      </c>
      <c r="M5" s="3243" t="s">
        <v>3301</v>
      </c>
      <c r="N5" s="3196">
        <f t="shared" si="0"/>
        <v>899.99955517435353</v>
      </c>
      <c r="O5" s="3195"/>
    </row>
    <row r="6" spans="1:15" s="3244" customFormat="1">
      <c r="A6" s="3195" t="s">
        <v>3176</v>
      </c>
      <c r="B6" s="3195" t="s">
        <v>3163</v>
      </c>
      <c r="C6" s="3195" t="s">
        <v>3177</v>
      </c>
      <c r="D6" s="3195">
        <v>185492.41</v>
      </c>
      <c r="E6" s="3195">
        <v>333886.34000000003</v>
      </c>
      <c r="F6" s="3195" t="s">
        <v>3178</v>
      </c>
      <c r="G6" s="3195" t="s">
        <v>3166</v>
      </c>
      <c r="H6" s="3195" t="s">
        <v>3179</v>
      </c>
      <c r="I6" s="3195">
        <v>18502.86</v>
      </c>
      <c r="J6" s="3195">
        <v>18502.86</v>
      </c>
      <c r="K6" s="3195">
        <v>554.16</v>
      </c>
      <c r="L6" s="3195">
        <v>0</v>
      </c>
      <c r="M6" s="3195" t="s">
        <v>3180</v>
      </c>
      <c r="N6" s="3196">
        <f t="shared" si="0"/>
        <v>997.49957424133959</v>
      </c>
      <c r="O6" s="3195"/>
    </row>
    <row r="7" spans="1:15">
      <c r="A7" s="2966" t="s">
        <v>3181</v>
      </c>
      <c r="B7" s="2966" t="s">
        <v>3163</v>
      </c>
      <c r="C7" s="2966" t="s">
        <v>3177</v>
      </c>
      <c r="D7" s="2966">
        <v>25351</v>
      </c>
      <c r="E7" s="2966">
        <v>38026.5</v>
      </c>
      <c r="F7" s="2966" t="s">
        <v>3165</v>
      </c>
      <c r="G7" s="2966" t="s">
        <v>3166</v>
      </c>
      <c r="H7" s="2966" t="s">
        <v>3179</v>
      </c>
      <c r="I7" s="2966">
        <v>2851.98</v>
      </c>
      <c r="J7" s="2966">
        <v>2851.98</v>
      </c>
      <c r="K7" s="2966">
        <v>750</v>
      </c>
      <c r="L7" s="2966">
        <v>0</v>
      </c>
      <c r="M7" s="2966" t="s">
        <v>3182</v>
      </c>
      <c r="N7" s="3197">
        <f t="shared" si="0"/>
        <v>1124.997041536823</v>
      </c>
    </row>
    <row r="8" spans="1:15">
      <c r="A8" s="2966" t="s">
        <v>3183</v>
      </c>
      <c r="B8" s="2966" t="s">
        <v>3163</v>
      </c>
      <c r="C8" s="2966" t="s">
        <v>3164</v>
      </c>
      <c r="D8" s="2966">
        <v>31964.21</v>
      </c>
      <c r="E8" s="2966">
        <v>57535.58</v>
      </c>
      <c r="F8" s="2966" t="s">
        <v>3184</v>
      </c>
      <c r="G8" s="2966" t="s">
        <v>3166</v>
      </c>
      <c r="H8" s="2966" t="s">
        <v>3185</v>
      </c>
      <c r="I8" s="2966">
        <v>958.92</v>
      </c>
      <c r="J8" s="2966">
        <v>958.92</v>
      </c>
      <c r="K8" s="2966">
        <v>166.66</v>
      </c>
      <c r="L8" s="2966">
        <v>0</v>
      </c>
      <c r="M8" s="2966" t="s">
        <v>3186</v>
      </c>
      <c r="N8" s="3197">
        <f t="shared" si="0"/>
        <v>299.99802904561074</v>
      </c>
    </row>
    <row r="9" spans="1:15">
      <c r="A9" s="2966" t="s">
        <v>3183</v>
      </c>
      <c r="B9" s="2966" t="s">
        <v>3163</v>
      </c>
      <c r="C9" s="2966" t="s">
        <v>3164</v>
      </c>
      <c r="D9" s="2966">
        <v>59403.839999999997</v>
      </c>
      <c r="E9" s="2966">
        <v>106926.91</v>
      </c>
      <c r="F9" s="2966" t="s">
        <v>3184</v>
      </c>
      <c r="G9" s="2966" t="s">
        <v>3166</v>
      </c>
      <c r="H9" s="2966" t="s">
        <v>3185</v>
      </c>
      <c r="I9" s="2966">
        <v>1782.11</v>
      </c>
      <c r="J9" s="2966">
        <v>1782.11</v>
      </c>
      <c r="K9" s="2966">
        <v>166.66</v>
      </c>
      <c r="L9" s="2966">
        <v>0</v>
      </c>
      <c r="M9" s="2966" t="s">
        <v>3186</v>
      </c>
      <c r="N9" s="3197">
        <f t="shared" si="0"/>
        <v>299.99912463571377</v>
      </c>
    </row>
    <row r="10" spans="1:15" hidden="1">
      <c r="A10" s="2966" t="s">
        <v>3187</v>
      </c>
      <c r="B10" s="2966" t="s">
        <v>3163</v>
      </c>
      <c r="C10" s="2966" t="s">
        <v>3164</v>
      </c>
      <c r="D10" s="2966">
        <v>7306</v>
      </c>
      <c r="E10" s="2966">
        <v>43836</v>
      </c>
      <c r="F10" s="2966" t="s">
        <v>3188</v>
      </c>
      <c r="G10" s="2966" t="s">
        <v>3166</v>
      </c>
      <c r="H10" s="2966" t="s">
        <v>3189</v>
      </c>
      <c r="I10" s="2966">
        <v>6838</v>
      </c>
      <c r="J10" s="2966">
        <v>6838</v>
      </c>
      <c r="K10" s="2966">
        <v>1559.91</v>
      </c>
      <c r="L10" s="2966">
        <v>0</v>
      </c>
      <c r="M10" s="2966" t="s">
        <v>3190</v>
      </c>
      <c r="N10" s="3197">
        <f t="shared" si="0"/>
        <v>9359.4306049822062</v>
      </c>
    </row>
    <row r="11" spans="1:15" hidden="1">
      <c r="A11" s="2966" t="s">
        <v>3191</v>
      </c>
      <c r="B11" s="2966" t="s">
        <v>3163</v>
      </c>
      <c r="C11" s="2966" t="s">
        <v>3164</v>
      </c>
      <c r="D11" s="2966">
        <v>1761</v>
      </c>
      <c r="E11" s="2966">
        <v>10566</v>
      </c>
      <c r="F11" s="2966" t="s">
        <v>3188</v>
      </c>
      <c r="G11" s="2966" t="s">
        <v>3166</v>
      </c>
      <c r="H11" s="2966" t="s">
        <v>3189</v>
      </c>
      <c r="I11" s="2966">
        <v>1588</v>
      </c>
      <c r="J11" s="2966">
        <v>1588</v>
      </c>
      <c r="K11" s="2966">
        <v>1502.93</v>
      </c>
      <c r="L11" s="2966">
        <v>0</v>
      </c>
      <c r="M11" s="2966" t="s">
        <v>3192</v>
      </c>
      <c r="N11" s="3197">
        <f t="shared" si="0"/>
        <v>9017.6036342986936</v>
      </c>
    </row>
    <row r="12" spans="1:15" hidden="1">
      <c r="A12" s="2966" t="s">
        <v>3193</v>
      </c>
      <c r="B12" s="2966" t="s">
        <v>3163</v>
      </c>
      <c r="C12" s="2966" t="s">
        <v>3164</v>
      </c>
      <c r="D12" s="2966">
        <v>23033</v>
      </c>
      <c r="E12" s="2966">
        <v>25336.3</v>
      </c>
      <c r="F12" s="2966" t="s">
        <v>3194</v>
      </c>
      <c r="G12" s="2966" t="s">
        <v>3166</v>
      </c>
      <c r="H12" s="2966" t="s">
        <v>3189</v>
      </c>
      <c r="I12" s="2966">
        <v>1831.11</v>
      </c>
      <c r="J12" s="2966">
        <v>1831.11</v>
      </c>
      <c r="K12" s="2966">
        <v>722.73</v>
      </c>
      <c r="L12" s="2966">
        <v>0</v>
      </c>
      <c r="M12" s="2966" t="s">
        <v>3195</v>
      </c>
      <c r="N12" s="3197">
        <f t="shared" si="0"/>
        <v>794.9941388442669</v>
      </c>
    </row>
    <row r="13" spans="1:15">
      <c r="A13" s="2966" t="s">
        <v>3196</v>
      </c>
      <c r="B13" s="2966" t="s">
        <v>3163</v>
      </c>
      <c r="C13" s="2966" t="s">
        <v>3164</v>
      </c>
      <c r="D13" s="2966">
        <v>1548.22</v>
      </c>
      <c r="E13" s="2966">
        <v>3096.44</v>
      </c>
      <c r="F13" s="2966" t="s">
        <v>3197</v>
      </c>
      <c r="G13" s="2966" t="s">
        <v>3198</v>
      </c>
      <c r="H13" s="2966" t="s">
        <v>3199</v>
      </c>
      <c r="I13" s="2966">
        <v>499.3</v>
      </c>
      <c r="J13" s="2966">
        <v>502.77</v>
      </c>
      <c r="K13" s="2966">
        <v>1623.74</v>
      </c>
      <c r="L13" s="2966">
        <v>0.7</v>
      </c>
      <c r="M13" s="2966" t="s">
        <v>3200</v>
      </c>
      <c r="N13" s="3197">
        <f t="shared" si="0"/>
        <v>3247.4066993063002</v>
      </c>
    </row>
    <row r="14" spans="1:15" hidden="1">
      <c r="A14" s="2966" t="s">
        <v>3201</v>
      </c>
      <c r="B14" s="2966" t="s">
        <v>3163</v>
      </c>
      <c r="C14" s="2966" t="s">
        <v>3164</v>
      </c>
      <c r="D14" s="2966">
        <v>499.68</v>
      </c>
      <c r="E14" s="2966">
        <v>2998.08</v>
      </c>
      <c r="F14" s="2966" t="s">
        <v>3188</v>
      </c>
      <c r="G14" s="2966" t="s">
        <v>3166</v>
      </c>
      <c r="H14" s="2966" t="s">
        <v>3202</v>
      </c>
      <c r="I14" s="2966">
        <v>630</v>
      </c>
      <c r="J14" s="2966">
        <v>630</v>
      </c>
      <c r="K14" s="2966">
        <v>2101.34</v>
      </c>
      <c r="L14" s="2966">
        <v>0</v>
      </c>
      <c r="M14" s="2966" t="s">
        <v>3203</v>
      </c>
      <c r="N14" s="3197">
        <f t="shared" si="0"/>
        <v>12608.069164265129</v>
      </c>
    </row>
    <row r="15" spans="1:15" s="3244" customFormat="1">
      <c r="A15" s="3195" t="s">
        <v>3204</v>
      </c>
      <c r="B15" s="3195" t="s">
        <v>3163</v>
      </c>
      <c r="C15" s="3195" t="s">
        <v>3164</v>
      </c>
      <c r="D15" s="3195">
        <v>32969</v>
      </c>
      <c r="E15" s="3195">
        <v>85719.4</v>
      </c>
      <c r="F15" s="3195" t="s">
        <v>3205</v>
      </c>
      <c r="G15" s="3195" t="s">
        <v>3166</v>
      </c>
      <c r="H15" s="3195" t="s">
        <v>3206</v>
      </c>
      <c r="I15" s="3195">
        <v>3066.11</v>
      </c>
      <c r="J15" s="3195">
        <v>3066.11</v>
      </c>
      <c r="K15" s="3195">
        <v>357.68</v>
      </c>
      <c r="L15" s="3195">
        <v>0</v>
      </c>
      <c r="M15" s="3195" t="s">
        <v>3207</v>
      </c>
      <c r="N15" s="3196">
        <f t="shared" si="0"/>
        <v>929.99787679335134</v>
      </c>
      <c r="O15" s="3195"/>
    </row>
    <row r="16" spans="1:15">
      <c r="A16" s="2966" t="s">
        <v>3208</v>
      </c>
      <c r="B16" s="2966" t="s">
        <v>3163</v>
      </c>
      <c r="C16" s="2966" t="s">
        <v>3164</v>
      </c>
      <c r="D16" s="2966">
        <v>17039.45</v>
      </c>
      <c r="E16" s="2966">
        <v>30671.01</v>
      </c>
      <c r="F16" s="2966" t="s">
        <v>3184</v>
      </c>
      <c r="G16" s="2966" t="s">
        <v>3166</v>
      </c>
      <c r="H16" s="2966" t="s">
        <v>3209</v>
      </c>
      <c r="I16" s="2966">
        <v>511.18</v>
      </c>
      <c r="J16" s="2966">
        <v>511.18</v>
      </c>
      <c r="K16" s="2966">
        <v>166.66</v>
      </c>
      <c r="L16" s="2966">
        <v>0</v>
      </c>
      <c r="M16" s="2966" t="s">
        <v>3186</v>
      </c>
      <c r="N16" s="3197">
        <f t="shared" si="0"/>
        <v>299.99794594309088</v>
      </c>
    </row>
    <row r="17" spans="1:14">
      <c r="A17" s="2966" t="s">
        <v>3183</v>
      </c>
      <c r="B17" s="2966" t="s">
        <v>3163</v>
      </c>
      <c r="C17" s="2966" t="s">
        <v>3164</v>
      </c>
      <c r="D17" s="2966">
        <v>39753.120000000003</v>
      </c>
      <c r="E17" s="2966">
        <v>71555.62</v>
      </c>
      <c r="F17" s="2966" t="s">
        <v>3184</v>
      </c>
      <c r="G17" s="2966" t="s">
        <v>3166</v>
      </c>
      <c r="H17" s="2966" t="s">
        <v>3209</v>
      </c>
      <c r="I17" s="2966">
        <v>1192.58</v>
      </c>
      <c r="J17" s="2966">
        <v>1192.58</v>
      </c>
      <c r="K17" s="2966">
        <v>166.66</v>
      </c>
      <c r="L17" s="2966">
        <v>0</v>
      </c>
      <c r="M17" s="2966" t="s">
        <v>3186</v>
      </c>
      <c r="N17" s="3197">
        <f t="shared" si="0"/>
        <v>299.99657888487747</v>
      </c>
    </row>
    <row r="18" spans="1:14">
      <c r="A18" s="2966" t="s">
        <v>3183</v>
      </c>
      <c r="B18" s="2966" t="s">
        <v>3163</v>
      </c>
      <c r="C18" s="2966" t="s">
        <v>3164</v>
      </c>
      <c r="D18" s="2966">
        <v>33748.32</v>
      </c>
      <c r="E18" s="2966">
        <v>60746.98</v>
      </c>
      <c r="F18" s="2966" t="s">
        <v>3184</v>
      </c>
      <c r="G18" s="2966" t="s">
        <v>3166</v>
      </c>
      <c r="H18" s="2966" t="s">
        <v>3209</v>
      </c>
      <c r="I18" s="2966">
        <v>1012.45</v>
      </c>
      <c r="J18" s="2966">
        <v>1012.45</v>
      </c>
      <c r="K18" s="2966">
        <v>166.66</v>
      </c>
      <c r="L18" s="2966">
        <v>0</v>
      </c>
      <c r="M18" s="2966" t="s">
        <v>3186</v>
      </c>
      <c r="N18" s="3197">
        <f t="shared" si="0"/>
        <v>300.00011852441844</v>
      </c>
    </row>
    <row r="19" spans="1:14">
      <c r="A19" s="2966" t="s">
        <v>3183</v>
      </c>
      <c r="B19" s="2966" t="s">
        <v>3163</v>
      </c>
      <c r="C19" s="2966" t="s">
        <v>3164</v>
      </c>
      <c r="D19" s="2966">
        <v>59596.43</v>
      </c>
      <c r="E19" s="2966">
        <v>107273.57</v>
      </c>
      <c r="F19" s="2966" t="s">
        <v>3184</v>
      </c>
      <c r="G19" s="2966" t="s">
        <v>3166</v>
      </c>
      <c r="H19" s="2966" t="s">
        <v>3209</v>
      </c>
      <c r="I19" s="2966">
        <v>1787.89</v>
      </c>
      <c r="J19" s="2966">
        <v>1787.89</v>
      </c>
      <c r="K19" s="2966">
        <v>166.66</v>
      </c>
      <c r="L19" s="2966">
        <v>0</v>
      </c>
      <c r="M19" s="2966" t="s">
        <v>3186</v>
      </c>
      <c r="N19" s="3197">
        <f t="shared" si="0"/>
        <v>299.99951339367141</v>
      </c>
    </row>
    <row r="20" spans="1:14">
      <c r="A20" s="2966" t="s">
        <v>3183</v>
      </c>
      <c r="B20" s="2966" t="s">
        <v>3163</v>
      </c>
      <c r="C20" s="2966" t="s">
        <v>3164</v>
      </c>
      <c r="D20" s="2966">
        <v>4943.49</v>
      </c>
      <c r="E20" s="2966">
        <v>8898.2800000000007</v>
      </c>
      <c r="F20" s="2966" t="s">
        <v>3184</v>
      </c>
      <c r="G20" s="2966" t="s">
        <v>3166</v>
      </c>
      <c r="H20" s="2966" t="s">
        <v>3209</v>
      </c>
      <c r="I20" s="2966">
        <v>148.30000000000001</v>
      </c>
      <c r="J20" s="2966">
        <v>148.30000000000001</v>
      </c>
      <c r="K20" s="2966">
        <v>166.65</v>
      </c>
      <c r="L20" s="2966">
        <v>0</v>
      </c>
      <c r="M20" s="2966" t="s">
        <v>3186</v>
      </c>
      <c r="N20" s="3197">
        <f t="shared" si="0"/>
        <v>299.99049254676356</v>
      </c>
    </row>
    <row r="21" spans="1:14">
      <c r="A21" s="2966" t="s">
        <v>3210</v>
      </c>
      <c r="B21" s="2966" t="s">
        <v>3163</v>
      </c>
      <c r="C21" s="2966" t="s">
        <v>3164</v>
      </c>
      <c r="D21" s="2966">
        <v>13766.87</v>
      </c>
      <c r="E21" s="2966">
        <v>24780.37</v>
      </c>
      <c r="F21" s="2966" t="s">
        <v>3184</v>
      </c>
      <c r="G21" s="2966" t="s">
        <v>3166</v>
      </c>
      <c r="H21" s="2966" t="s">
        <v>3209</v>
      </c>
      <c r="I21" s="2966">
        <v>413</v>
      </c>
      <c r="J21" s="2966">
        <v>413</v>
      </c>
      <c r="K21" s="2966">
        <v>166.66</v>
      </c>
      <c r="L21" s="2966">
        <v>0</v>
      </c>
      <c r="M21" s="2966" t="s">
        <v>3186</v>
      </c>
      <c r="N21" s="3197">
        <f t="shared" si="0"/>
        <v>299.99556907270858</v>
      </c>
    </row>
    <row r="22" spans="1:14" hidden="1">
      <c r="A22" s="2966" t="s">
        <v>3211</v>
      </c>
      <c r="B22" s="2966" t="s">
        <v>3163</v>
      </c>
      <c r="C22" s="2966" t="s">
        <v>3164</v>
      </c>
      <c r="D22" s="2966">
        <v>43552</v>
      </c>
      <c r="E22" s="2966">
        <v>47907.199999999997</v>
      </c>
      <c r="F22" s="2966" t="s">
        <v>3194</v>
      </c>
      <c r="G22" s="2966" t="s">
        <v>3166</v>
      </c>
      <c r="H22" s="2966" t="s">
        <v>3212</v>
      </c>
      <c r="I22" s="2966">
        <v>3462.38</v>
      </c>
      <c r="J22" s="2966">
        <v>3462.38</v>
      </c>
      <c r="K22" s="2966">
        <v>722.73</v>
      </c>
      <c r="L22" s="2966">
        <v>0</v>
      </c>
      <c r="M22" s="2966" t="s">
        <v>3195</v>
      </c>
      <c r="N22" s="3197">
        <f t="shared" si="0"/>
        <v>794.99908155767821</v>
      </c>
    </row>
    <row r="23" spans="1:14">
      <c r="A23" s="2966" t="s">
        <v>3213</v>
      </c>
      <c r="B23" s="2966" t="s">
        <v>3163</v>
      </c>
      <c r="C23" s="2966" t="s">
        <v>3164</v>
      </c>
      <c r="D23" s="2966">
        <v>4740</v>
      </c>
      <c r="E23" s="2966">
        <v>8532</v>
      </c>
      <c r="F23" s="2966" t="s">
        <v>3184</v>
      </c>
      <c r="G23" s="2966" t="s">
        <v>3166</v>
      </c>
      <c r="H23" s="2966" t="s">
        <v>3212</v>
      </c>
      <c r="I23" s="2966">
        <v>248.84</v>
      </c>
      <c r="J23" s="2966">
        <v>248.84</v>
      </c>
      <c r="K23" s="2966">
        <v>291.67</v>
      </c>
      <c r="L23" s="2966">
        <v>0</v>
      </c>
      <c r="M23" s="2966" t="s">
        <v>3214</v>
      </c>
      <c r="N23" s="3197">
        <f t="shared" si="0"/>
        <v>524.9789029535865</v>
      </c>
    </row>
    <row r="24" spans="1:14">
      <c r="A24" s="2966" t="s">
        <v>3215</v>
      </c>
      <c r="B24" s="2966" t="s">
        <v>3163</v>
      </c>
      <c r="C24" s="2966" t="s">
        <v>3164</v>
      </c>
      <c r="D24" s="2966">
        <v>8411</v>
      </c>
      <c r="E24" s="2966">
        <v>16822</v>
      </c>
      <c r="F24" s="2966" t="s">
        <v>3197</v>
      </c>
      <c r="G24" s="2966" t="s">
        <v>3166</v>
      </c>
      <c r="H24" s="2966" t="s">
        <v>3212</v>
      </c>
      <c r="I24" s="2966">
        <v>441.57</v>
      </c>
      <c r="J24" s="2966">
        <v>441.57</v>
      </c>
      <c r="K24" s="2966">
        <v>262.5</v>
      </c>
      <c r="L24" s="2966">
        <v>0</v>
      </c>
      <c r="M24" s="2966" t="s">
        <v>3214</v>
      </c>
      <c r="N24" s="3197">
        <f t="shared" si="0"/>
        <v>524.99108310545705</v>
      </c>
    </row>
    <row r="25" spans="1:14" hidden="1">
      <c r="A25" s="2966" t="s">
        <v>3193</v>
      </c>
      <c r="B25" s="2966" t="s">
        <v>3163</v>
      </c>
      <c r="C25" s="2966" t="s">
        <v>3164</v>
      </c>
      <c r="D25" s="2966">
        <v>48588</v>
      </c>
      <c r="E25" s="2966">
        <v>53446.8</v>
      </c>
      <c r="F25" s="2966" t="s">
        <v>3194</v>
      </c>
      <c r="G25" s="2966" t="s">
        <v>3166</v>
      </c>
      <c r="H25" s="2966" t="s">
        <v>3212</v>
      </c>
      <c r="I25" s="2966">
        <v>3862.75</v>
      </c>
      <c r="J25" s="2966">
        <v>3862.75</v>
      </c>
      <c r="K25" s="2966">
        <v>722.73</v>
      </c>
      <c r="L25" s="2966">
        <v>0</v>
      </c>
      <c r="M25" s="2966" t="s">
        <v>3195</v>
      </c>
      <c r="N25" s="3197">
        <f t="shared" si="0"/>
        <v>795.00082324853884</v>
      </c>
    </row>
    <row r="26" spans="1:14">
      <c r="A26" s="2966" t="s">
        <v>3216</v>
      </c>
      <c r="B26" s="2966" t="s">
        <v>3163</v>
      </c>
      <c r="C26" s="2966" t="s">
        <v>3164</v>
      </c>
      <c r="D26" s="2966">
        <v>1084</v>
      </c>
      <c r="E26" s="2966">
        <v>1626</v>
      </c>
      <c r="F26" s="2966" t="s">
        <v>3165</v>
      </c>
      <c r="G26" s="2966" t="s">
        <v>3166</v>
      </c>
      <c r="H26" s="2966" t="s">
        <v>3212</v>
      </c>
      <c r="I26" s="2966">
        <v>56.9</v>
      </c>
      <c r="J26" s="2966">
        <v>56.9</v>
      </c>
      <c r="K26" s="2966">
        <v>350</v>
      </c>
      <c r="L26" s="2966">
        <v>0</v>
      </c>
      <c r="M26" s="2966" t="s">
        <v>3217</v>
      </c>
      <c r="N26" s="3197">
        <f t="shared" si="0"/>
        <v>524.90774907749073</v>
      </c>
    </row>
    <row r="27" spans="1:14">
      <c r="A27" s="2966" t="s">
        <v>3218</v>
      </c>
      <c r="B27" s="2966" t="s">
        <v>3163</v>
      </c>
      <c r="C27" s="2966" t="s">
        <v>3164</v>
      </c>
      <c r="D27" s="2966">
        <v>3558</v>
      </c>
      <c r="E27" s="2966">
        <v>7116</v>
      </c>
      <c r="F27" s="2966" t="s">
        <v>3197</v>
      </c>
      <c r="G27" s="2966" t="s">
        <v>3166</v>
      </c>
      <c r="H27" s="2966" t="s">
        <v>3212</v>
      </c>
      <c r="I27" s="2966">
        <v>186.8</v>
      </c>
      <c r="J27" s="2966">
        <v>186.8</v>
      </c>
      <c r="K27" s="2966">
        <v>262.5</v>
      </c>
      <c r="L27" s="2966">
        <v>0</v>
      </c>
      <c r="M27" s="2966" t="s">
        <v>3219</v>
      </c>
      <c r="N27" s="3197">
        <f t="shared" si="0"/>
        <v>525.01405283867348</v>
      </c>
    </row>
    <row r="28" spans="1:14">
      <c r="A28" s="2966" t="s">
        <v>3220</v>
      </c>
      <c r="B28" s="2966" t="s">
        <v>3163</v>
      </c>
      <c r="C28" s="2966" t="s">
        <v>3164</v>
      </c>
      <c r="D28" s="2966">
        <v>3461</v>
      </c>
      <c r="E28" s="2966">
        <v>6922</v>
      </c>
      <c r="F28" s="2966" t="s">
        <v>3197</v>
      </c>
      <c r="G28" s="2966" t="s">
        <v>3166</v>
      </c>
      <c r="H28" s="2966" t="s">
        <v>3212</v>
      </c>
      <c r="I28" s="2966">
        <v>181.69</v>
      </c>
      <c r="J28" s="2966">
        <v>181.69</v>
      </c>
      <c r="K28" s="2966">
        <v>262.5</v>
      </c>
      <c r="L28" s="2966">
        <v>0</v>
      </c>
      <c r="M28" s="2966" t="s">
        <v>3217</v>
      </c>
      <c r="N28" s="3197">
        <f t="shared" si="0"/>
        <v>524.963883270731</v>
      </c>
    </row>
    <row r="29" spans="1:14">
      <c r="A29" s="2966" t="s">
        <v>3221</v>
      </c>
      <c r="B29" s="2966" t="s">
        <v>3163</v>
      </c>
      <c r="C29" s="2966" t="s">
        <v>3164</v>
      </c>
      <c r="D29" s="2966">
        <v>36933</v>
      </c>
      <c r="E29" s="2966">
        <v>40626.300000000003</v>
      </c>
      <c r="F29" s="2966" t="s">
        <v>3222</v>
      </c>
      <c r="G29" s="2966" t="s">
        <v>3166</v>
      </c>
      <c r="H29" s="2966" t="s">
        <v>3223</v>
      </c>
      <c r="I29" s="2966">
        <v>1938.98</v>
      </c>
      <c r="J29" s="2966">
        <v>1938.98</v>
      </c>
      <c r="K29" s="2966">
        <v>477.26</v>
      </c>
      <c r="L29" s="2966">
        <v>0</v>
      </c>
      <c r="M29" s="2966" t="s">
        <v>3224</v>
      </c>
      <c r="N29" s="3197">
        <f t="shared" si="0"/>
        <v>524.999323098584</v>
      </c>
    </row>
    <row r="30" spans="1:14">
      <c r="A30" s="2966" t="s">
        <v>3221</v>
      </c>
      <c r="B30" s="2966" t="s">
        <v>3163</v>
      </c>
      <c r="C30" s="2966" t="s">
        <v>3164</v>
      </c>
      <c r="D30" s="2966">
        <v>48398</v>
      </c>
      <c r="E30" s="2966">
        <v>53237.8</v>
      </c>
      <c r="F30" s="2966" t="s">
        <v>3222</v>
      </c>
      <c r="G30" s="2966" t="s">
        <v>3166</v>
      </c>
      <c r="H30" s="2966" t="s">
        <v>3223</v>
      </c>
      <c r="I30" s="2966">
        <v>2540.9</v>
      </c>
      <c r="J30" s="2966">
        <v>2540.9</v>
      </c>
      <c r="K30" s="2966">
        <v>477.26</v>
      </c>
      <c r="L30" s="2966">
        <v>0</v>
      </c>
      <c r="M30" s="2966" t="s">
        <v>3224</v>
      </c>
      <c r="N30" s="3197">
        <f t="shared" si="0"/>
        <v>525.00103310054135</v>
      </c>
    </row>
    <row r="31" spans="1:14">
      <c r="A31" s="2966" t="s">
        <v>3225</v>
      </c>
      <c r="B31" s="2966" t="s">
        <v>3163</v>
      </c>
      <c r="C31" s="2966" t="s">
        <v>3164</v>
      </c>
      <c r="D31" s="2966">
        <v>20396</v>
      </c>
      <c r="E31" s="2966">
        <v>40792</v>
      </c>
      <c r="F31" s="2966" t="s">
        <v>3197</v>
      </c>
      <c r="G31" s="2966" t="s">
        <v>3166</v>
      </c>
      <c r="H31" s="2966" t="s">
        <v>3226</v>
      </c>
      <c r="I31" s="2966">
        <v>1682.67</v>
      </c>
      <c r="J31" s="2966">
        <v>1682.67</v>
      </c>
      <c r="K31" s="2966">
        <v>412.5</v>
      </c>
      <c r="L31" s="2966">
        <v>0</v>
      </c>
      <c r="M31" s="2966" t="s">
        <v>3227</v>
      </c>
      <c r="N31" s="3197">
        <f t="shared" si="0"/>
        <v>825</v>
      </c>
    </row>
  </sheetData>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C8" sqref="C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6"/>
      <c r="C1" s="2105"/>
      <c r="D1" s="2105"/>
      <c r="E1" s="2105"/>
      <c r="F1" s="2105"/>
      <c r="G1" s="2105"/>
      <c r="H1" s="2105"/>
      <c r="I1" s="2105"/>
      <c r="J1" s="2105"/>
      <c r="K1" s="425">
        <f>MATCH(B1,'数据-取费表'!A6:A16,0)+5</f>
        <v>10</v>
      </c>
    </row>
    <row r="2" spans="1:31" s="2042" customFormat="1" ht="18" customHeight="1">
      <c r="A2" s="2102" t="s">
        <v>467</v>
      </c>
      <c r="B2" s="2106">
        <f ca="1">C36</f>
        <v>40492</v>
      </c>
      <c r="C2" s="2105"/>
      <c r="D2" s="2105"/>
      <c r="E2" s="2105"/>
      <c r="F2" s="2105"/>
      <c r="G2" s="2105"/>
      <c r="H2" s="2105"/>
      <c r="I2" s="2105"/>
      <c r="J2" s="2105"/>
      <c r="K2" s="2105"/>
    </row>
    <row r="3" spans="1:31" s="2042" customFormat="1" ht="18" customHeight="1">
      <c r="A3" s="2107" t="s">
        <v>1685</v>
      </c>
      <c r="B3" s="2108">
        <f ca="1">ROUND(B2*10000/IF(B1="",'数据-汇总表'!E3,INDIRECT("'数据-取费表'!K"&amp;$K$1)),0)</f>
        <v>3541</v>
      </c>
      <c r="C3" s="2105"/>
      <c r="D3" s="2105"/>
      <c r="E3" s="2105"/>
      <c r="F3" s="2105"/>
      <c r="G3" s="2105"/>
      <c r="H3" s="2105"/>
      <c r="I3" s="2105"/>
      <c r="J3" s="2105"/>
      <c r="K3" s="2105"/>
    </row>
    <row r="4" spans="1:31" s="2042" customFormat="1" ht="18" customHeight="1">
      <c r="A4" s="429" t="s">
        <v>468</v>
      </c>
      <c r="B4" s="430">
        <f ca="1">ROUND(B2*10000/IF(B1="",'数据-汇总表'!D3,INDIRECT("'数据-取费表'!R"&amp;$K$1)),0)</f>
        <v>5311</v>
      </c>
      <c r="C4" s="431"/>
      <c r="D4" s="425"/>
      <c r="E4" s="425"/>
      <c r="F4" s="425"/>
      <c r="G4" s="425"/>
      <c r="H4" s="425"/>
      <c r="I4" s="425"/>
      <c r="J4" s="425"/>
      <c r="K4" s="425"/>
    </row>
    <row r="5" spans="1:31" s="2042" customFormat="1" ht="18" customHeight="1" thickBot="1">
      <c r="A5" s="432"/>
      <c r="B5" s="433">
        <f ca="1">ROUND(B2/(IF(B1="",'数据-汇总表'!D3,INDIRECT("'数据-取费表'!R"&amp;$K$1))/666.67),0)</f>
        <v>354</v>
      </c>
      <c r="C5" s="434" t="s">
        <v>469</v>
      </c>
      <c r="D5" s="425"/>
      <c r="E5" s="425"/>
      <c r="F5" s="425"/>
      <c r="G5" s="425"/>
      <c r="H5" s="425"/>
      <c r="I5" s="425"/>
      <c r="J5" s="425"/>
      <c r="K5" s="425"/>
    </row>
    <row r="6" spans="1:31" s="2112" customFormat="1" ht="16.5" customHeight="1">
      <c r="A6" s="2855" t="s">
        <v>1843</v>
      </c>
      <c r="B6" s="2856"/>
      <c r="C6" s="2857">
        <f ca="1">SUM(C10:K10)</f>
        <v>128758</v>
      </c>
      <c r="D6" s="2856"/>
      <c r="E6" s="2856"/>
      <c r="F6" s="2856"/>
      <c r="G6" s="2856"/>
      <c r="H6" s="2856"/>
      <c r="I6" s="2856"/>
      <c r="J6" s="2856"/>
      <c r="K6" s="2858"/>
    </row>
    <row r="7" spans="1:31" s="2114" customFormat="1" ht="15">
      <c r="A7" s="2859" t="s">
        <v>470</v>
      </c>
      <c r="B7" s="2860" t="s">
        <v>471</v>
      </c>
      <c r="C7" s="439" t="s">
        <v>3145</v>
      </c>
      <c r="D7" s="439" t="s">
        <v>3268</v>
      </c>
      <c r="E7" s="439" t="s">
        <v>3270</v>
      </c>
      <c r="F7" s="439" t="s">
        <v>3019</v>
      </c>
      <c r="G7" s="439"/>
      <c r="H7" s="439"/>
      <c r="I7" s="439"/>
      <c r="J7" s="439"/>
      <c r="K7" s="440"/>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5" t="s">
        <v>1846</v>
      </c>
      <c r="B8" s="261" t="s">
        <v>472</v>
      </c>
      <c r="C8" s="2861">
        <f>'不动产比较法-联排'!C49</f>
        <v>15402</v>
      </c>
      <c r="D8" s="2861">
        <f>'不动产比较法-多层'!B3</f>
        <v>11838</v>
      </c>
      <c r="E8" s="2861">
        <f>'不动产比较法-小高层'!B3</f>
        <v>10686</v>
      </c>
      <c r="F8" s="2861">
        <f ca="1">不动产收益法!B3</f>
        <v>8942</v>
      </c>
      <c r="G8" s="2861"/>
      <c r="H8" s="2861"/>
      <c r="I8" s="2861"/>
      <c r="J8" s="2861"/>
      <c r="K8" s="286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5" t="s">
        <v>1847</v>
      </c>
      <c r="B9" s="261" t="s">
        <v>473</v>
      </c>
      <c r="C9" s="444">
        <f>SUMIF('数据-汇总表'!$C19:$C33,'剩余法-待开发'!C7,'数据-汇总表'!$E19:$E33)</f>
        <v>0</v>
      </c>
      <c r="D9" s="444">
        <f>SUMIF('数据-汇总表'!$C19:$C33,'剩余法-待开发'!D7,'数据-汇总表'!$E19:$E33)</f>
        <v>91490.4</v>
      </c>
      <c r="E9" s="444">
        <f>SUMIF('数据-汇总表'!$C19:$C33,'剩余法-待开发'!E7,'数据-汇总表'!$E19:$E33)</f>
        <v>0</v>
      </c>
      <c r="F9" s="444">
        <f>SUMIF('数据-汇总表'!$C19:$C33,'剩余法-待开发'!F7,'数据-汇总表'!$E19:$E33)</f>
        <v>22872.600000000002</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3" t="s">
        <v>1848</v>
      </c>
      <c r="B10" s="2849" t="s">
        <v>474</v>
      </c>
      <c r="C10" s="3056">
        <f>'不动产比较法-联排'!B2</f>
        <v>0</v>
      </c>
      <c r="D10" s="3056">
        <f>'不动产比较法-多层'!B2</f>
        <v>108306</v>
      </c>
      <c r="E10" s="3056">
        <f>'不动产比较法-小高层'!B2</f>
        <v>0</v>
      </c>
      <c r="F10" s="2864">
        <f ca="1">不动产收益法!B2</f>
        <v>20452</v>
      </c>
      <c r="G10" s="2864"/>
      <c r="H10" s="2864"/>
      <c r="I10" s="2864"/>
      <c r="J10" s="2864"/>
      <c r="K10" s="286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6" t="s">
        <v>1844</v>
      </c>
      <c r="B11" s="2856"/>
      <c r="C11" s="2856"/>
      <c r="D11" s="2856"/>
      <c r="E11" s="2856"/>
      <c r="F11" s="2856"/>
      <c r="G11" s="2856"/>
      <c r="H11" s="2856"/>
      <c r="I11" s="2856"/>
      <c r="J11" s="2856"/>
      <c r="K11" s="2858"/>
    </row>
    <row r="12" spans="1:31" s="2086" customFormat="1" ht="13.5" customHeight="1">
      <c r="A12" s="2867" t="s">
        <v>470</v>
      </c>
      <c r="B12" s="2839" t="s">
        <v>471</v>
      </c>
      <c r="C12" s="2868" t="s">
        <v>475</v>
      </c>
      <c r="D12" s="2835" t="s">
        <v>476</v>
      </c>
      <c r="E12" s="2835" t="s">
        <v>477</v>
      </c>
      <c r="F12" s="2835" t="s">
        <v>478</v>
      </c>
      <c r="G12" s="2839"/>
      <c r="H12" s="2840"/>
      <c r="I12" s="2840"/>
      <c r="J12" s="2840"/>
      <c r="K12" s="2841"/>
    </row>
    <row r="13" spans="1:31" s="2117" customFormat="1" ht="13.5" customHeight="1">
      <c r="A13" s="2869" t="s">
        <v>1849</v>
      </c>
      <c r="B13" s="2870" t="s">
        <v>479</v>
      </c>
      <c r="C13" s="453">
        <f ca="1">IF(B1="",'数据-取费表'!P16,INDIRECT("'数据-取费表'!p"&amp;$K$1)+INDIRECT("'数据-取费表'!t"&amp;$K$1))</f>
        <v>32479</v>
      </c>
      <c r="D13" s="2871"/>
      <c r="E13" s="2872"/>
      <c r="F13" s="2873"/>
      <c r="G13" s="2839"/>
      <c r="H13" s="2840"/>
      <c r="I13" s="2840"/>
      <c r="J13" s="2840"/>
      <c r="K13" s="2841"/>
    </row>
    <row r="14" spans="1:31" s="2117" customFormat="1" ht="13.5" customHeight="1">
      <c r="A14" s="2869" t="s">
        <v>1850</v>
      </c>
      <c r="B14" s="2870" t="s">
        <v>480</v>
      </c>
      <c r="C14" s="53">
        <f ca="1">ROUND(C13*F14,0)</f>
        <v>1624</v>
      </c>
      <c r="D14" s="2871"/>
      <c r="E14" s="2872"/>
      <c r="F14" s="2874">
        <f>'数据-取费表'!B33</f>
        <v>0.05</v>
      </c>
      <c r="G14" s="2839" t="s">
        <v>481</v>
      </c>
      <c r="H14" s="2840"/>
      <c r="I14" s="2840"/>
      <c r="J14" s="2840"/>
      <c r="K14" s="2841"/>
    </row>
    <row r="15" spans="1:31" s="2117" customFormat="1" ht="13.5" customHeight="1">
      <c r="A15" s="2869" t="s">
        <v>1851</v>
      </c>
      <c r="B15" s="2870" t="s">
        <v>482</v>
      </c>
      <c r="C15" s="53">
        <f ca="1">ROUND(IF(B1="",SUMIF('数据-取费表'!C:C,"住宅",'数据-取费表'!P:P)*F15,IF(INDIRECT("'数据-取费表'!c"&amp;$K$1)="住宅",INDIRECT("'数据-取费表'!P"&amp;$K$1)*F15,0)),0)</f>
        <v>2562</v>
      </c>
      <c r="D15" s="2871"/>
      <c r="E15" s="2872"/>
      <c r="F15" s="2874">
        <f>'数据-取费表'!B34</f>
        <v>0.1</v>
      </c>
      <c r="G15" s="2839" t="s">
        <v>483</v>
      </c>
      <c r="H15" s="2840"/>
      <c r="I15" s="2840"/>
      <c r="J15" s="2840"/>
      <c r="K15" s="2841"/>
    </row>
    <row r="16" spans="1:31" s="2118" customFormat="1" ht="13.5" customHeight="1">
      <c r="A16" s="2869" t="s">
        <v>1852</v>
      </c>
      <c r="B16" s="2870" t="s">
        <v>484</v>
      </c>
      <c r="C16" s="53">
        <f ca="1">ROUND(D16*E16/10000,0)</f>
        <v>4575</v>
      </c>
      <c r="D16" s="2871">
        <f ca="1">IF(B1="",'数据-汇总表'!E3,INDIRECT("'数据-取费表'!K"&amp;$K$1)+INDIRECT("'数据-取费表'!S"&amp;$K$1))</f>
        <v>114363</v>
      </c>
      <c r="E16" s="53">
        <f>'数据-取费表'!B35</f>
        <v>400</v>
      </c>
      <c r="F16" s="2874"/>
      <c r="G16" s="2839"/>
      <c r="H16" s="2840"/>
      <c r="I16" s="2840"/>
      <c r="J16" s="2840"/>
      <c r="K16" s="284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9" t="s">
        <v>1853</v>
      </c>
      <c r="B17" s="2870" t="s">
        <v>485</v>
      </c>
      <c r="C17" s="2875">
        <f ca="1">ROUND(C13*F17,0)</f>
        <v>487</v>
      </c>
      <c r="D17" s="478"/>
      <c r="E17" s="2875"/>
      <c r="F17" s="2876">
        <f>'数据-取费表'!B36</f>
        <v>1.4999999999999999E-2</v>
      </c>
      <c r="G17" s="261" t="s">
        <v>486</v>
      </c>
      <c r="H17" s="2842"/>
      <c r="I17" s="2842"/>
      <c r="J17" s="2842"/>
      <c r="K17" s="279"/>
    </row>
    <row r="18" spans="1:14" s="2117" customFormat="1" ht="13.5" customHeight="1">
      <c r="A18" s="2877" t="s">
        <v>1854</v>
      </c>
      <c r="B18" s="2878" t="s">
        <v>487</v>
      </c>
      <c r="C18" s="2879">
        <f ca="1">SUM(C13:C17)</f>
        <v>41727</v>
      </c>
      <c r="D18" s="2880"/>
      <c r="E18" s="471"/>
      <c r="F18" s="471"/>
      <c r="G18" s="2843" t="s">
        <v>2430</v>
      </c>
      <c r="H18" s="2844"/>
      <c r="I18" s="2844"/>
      <c r="J18" s="2844"/>
      <c r="K18" s="2845"/>
    </row>
    <row r="19" spans="1:14" s="2117" customFormat="1" ht="13.5" customHeight="1">
      <c r="A19" s="2877" t="s">
        <v>1855</v>
      </c>
      <c r="B19" s="2878" t="s">
        <v>488</v>
      </c>
      <c r="C19" s="2835">
        <f ca="1">ROUND(D19*E19/10000,0)</f>
        <v>0</v>
      </c>
      <c r="D19" s="2881">
        <f ca="1">D16</f>
        <v>114363</v>
      </c>
      <c r="E19" s="2835">
        <f>'数据-取费表'!B32</f>
        <v>0</v>
      </c>
      <c r="F19" s="471"/>
      <c r="G19" s="2839" t="s">
        <v>489</v>
      </c>
      <c r="H19" s="2840"/>
      <c r="I19" s="2844"/>
      <c r="J19" s="2844"/>
      <c r="K19" s="2845"/>
    </row>
    <row r="20" spans="1:14" s="2117" customFormat="1" ht="13.5" customHeight="1">
      <c r="A20" s="2877" t="s">
        <v>1856</v>
      </c>
      <c r="B20" s="2878" t="s">
        <v>490</v>
      </c>
      <c r="C20" s="2835">
        <f ca="1">C21+C22-IF(B1="",'数据-取费表'!B29,IF(G20="已全部缴纳",C21+C22,H20))</f>
        <v>183</v>
      </c>
      <c r="D20" s="2881"/>
      <c r="E20" s="2835"/>
      <c r="F20" s="2882"/>
      <c r="G20" s="3115"/>
      <c r="H20" s="2837"/>
      <c r="I20" s="2838" t="s">
        <v>2654</v>
      </c>
      <c r="J20" s="2844"/>
      <c r="K20" s="2845"/>
    </row>
    <row r="21" spans="1:14" s="2117" customFormat="1" ht="13.5" customHeight="1">
      <c r="A21" s="2869" t="s">
        <v>1857</v>
      </c>
      <c r="B21" s="2870" t="s">
        <v>491</v>
      </c>
      <c r="C21" s="53">
        <f ca="1">ROUND(D21*E21/10000,0)</f>
        <v>137</v>
      </c>
      <c r="D21" s="2871">
        <f ca="1">IF(B1="",'数据-汇总表'!E5,IF(INDIRECT("'数据-取费表'!c"&amp;$K$1)="住宅",INDIRECT("'数据-取费表'!k"&amp;$K$1),0))</f>
        <v>91490.4</v>
      </c>
      <c r="E21" s="53">
        <f>'数据-取费表'!B27</f>
        <v>15</v>
      </c>
      <c r="F21" s="2874"/>
      <c r="G21" s="26"/>
      <c r="H21" s="51"/>
      <c r="I21" s="51"/>
      <c r="J21" s="51"/>
      <c r="K21" s="2846"/>
    </row>
    <row r="22" spans="1:14" s="2117" customFormat="1" ht="13.5" customHeight="1">
      <c r="A22" s="2869" t="s">
        <v>1858</v>
      </c>
      <c r="B22" s="2870" t="s">
        <v>492</v>
      </c>
      <c r="C22" s="53">
        <f ca="1">ROUND(D22*E22/10000,0)</f>
        <v>46</v>
      </c>
      <c r="D22" s="2871">
        <f ca="1">IF(B1="",'数据-汇总表'!E6,IF(INDIRECT("'数据-取费表'!c"&amp;$K$1)="住宅",INDIRECT("'数据-取费表'!s"&amp;$K$1),INDIRECT("'数据-取费表'!k"&amp;$K$1)+INDIRECT("'数据-取费表'!s"&amp;$K$1)))</f>
        <v>22872.600000000006</v>
      </c>
      <c r="E22" s="53">
        <f>'数据-取费表'!B28</f>
        <v>20</v>
      </c>
      <c r="F22" s="2874"/>
      <c r="G22" s="26"/>
      <c r="H22" s="51"/>
      <c r="I22" s="51"/>
      <c r="J22" s="51"/>
      <c r="K22" s="2846"/>
    </row>
    <row r="23" spans="1:14" s="2117" customFormat="1" ht="13.5" customHeight="1">
      <c r="A23" s="2877" t="s">
        <v>1859</v>
      </c>
      <c r="B23" s="3062" t="s">
        <v>2837</v>
      </c>
      <c r="C23" s="2879">
        <f ca="1">ROUND((C18+C19+C20)*F23,0)</f>
        <v>629</v>
      </c>
      <c r="D23" s="471"/>
      <c r="E23" s="471"/>
      <c r="F23" s="2883">
        <f>'数据-取费表'!B37</f>
        <v>1.4999999999999999E-2</v>
      </c>
      <c r="G23" s="2839" t="s">
        <v>2431</v>
      </c>
      <c r="H23" s="2840"/>
      <c r="I23" s="2840"/>
      <c r="J23" s="2840"/>
      <c r="K23" s="2841"/>
      <c r="L23" s="2119"/>
      <c r="M23" s="2119"/>
      <c r="N23" s="2119"/>
    </row>
    <row r="24" spans="1:14" s="2117" customFormat="1" ht="13.5" customHeight="1">
      <c r="A24" s="2877" t="s">
        <v>1860</v>
      </c>
      <c r="B24" s="3062" t="s">
        <v>2840</v>
      </c>
      <c r="C24" s="2879">
        <f ca="1">ROUND(C6*F24,0)</f>
        <v>3863</v>
      </c>
      <c r="D24" s="478"/>
      <c r="E24" s="476"/>
      <c r="F24" s="2883">
        <f>'数据-取费表'!B38</f>
        <v>0.03</v>
      </c>
      <c r="G24" s="2848" t="s">
        <v>499</v>
      </c>
      <c r="H24" s="2842"/>
      <c r="I24" s="2842"/>
      <c r="J24" s="2842"/>
      <c r="K24" s="279"/>
      <c r="L24" s="2119"/>
      <c r="M24" s="2119"/>
      <c r="N24" s="2119"/>
    </row>
    <row r="25" spans="1:14" s="2120" customFormat="1" ht="13.5" customHeight="1">
      <c r="A25" s="2877" t="s">
        <v>1861</v>
      </c>
      <c r="B25" s="3062" t="s">
        <v>2838</v>
      </c>
      <c r="C25" s="470">
        <f>ROUND(F25/(1+'数据-取费表'!C42),4)</f>
        <v>3.8600000000000002E-2</v>
      </c>
      <c r="D25" s="465" t="s">
        <v>2832</v>
      </c>
      <c r="E25" s="472"/>
      <c r="F25" s="2883">
        <f>'数据-取费表'!B48+'数据-取费表'!B49</f>
        <v>4.0500000000000001E-2</v>
      </c>
      <c r="G25" s="2847" t="s">
        <v>2289</v>
      </c>
      <c r="H25" s="2840"/>
      <c r="I25" s="2840"/>
      <c r="J25" s="2840"/>
      <c r="K25" s="2841"/>
    </row>
    <row r="26" spans="1:14" s="2119" customFormat="1" ht="13.5" customHeight="1">
      <c r="A26" s="2877" t="s">
        <v>1862</v>
      </c>
      <c r="B26" s="3063" t="s">
        <v>2839</v>
      </c>
      <c r="C26" s="2884">
        <f ca="1">C28</f>
        <v>4513</v>
      </c>
      <c r="D26" s="470">
        <f ca="1">C27</f>
        <v>0.21179999999999999</v>
      </c>
      <c r="E26" s="472" t="s">
        <v>495</v>
      </c>
      <c r="F26" s="474">
        <f ca="1">'数据-取费表'!B40</f>
        <v>4.7500000000000001E-2</v>
      </c>
      <c r="G26" s="2597" t="str">
        <f>IF('数据-取费表'!B22&lt;=1,"单利计息。","复利计息。")&amp;"后续开发成本、管理费用及销售费用产生的利息。"</f>
        <v>复利计息。后续开发成本、管理费用及销售费用产生的利息。</v>
      </c>
      <c r="H26" s="2844"/>
      <c r="I26" s="2844"/>
      <c r="J26" s="2844"/>
      <c r="K26" s="2845"/>
    </row>
    <row r="27" spans="1:14" s="2121" customFormat="1" ht="13.5" customHeight="1">
      <c r="A27" s="805" t="s">
        <v>1857</v>
      </c>
      <c r="B27" s="2885" t="s">
        <v>496</v>
      </c>
      <c r="C27" s="2886">
        <f ca="1">ROUND(IF('数据-取费表'!B22&lt;=1,(1+C25)*F26*'数据-取费表'!B24,(1+C25)*(POWER((1+F26),'数据-取费表'!B24)-1)),4)</f>
        <v>0.21179999999999999</v>
      </c>
      <c r="D27" s="475"/>
      <c r="E27" s="476"/>
      <c r="F27" s="477"/>
      <c r="G27" s="2597" t="str">
        <f>IF('数据-取费表'!B22&lt;=1,"（1+取得税费率/(1+5%)）×年利率×建设期","（1+取得税费率）/(1+5%)×((1+年利率)^建设期-1)")</f>
        <v>（1+取得税费率）/(1+5%)×((1+年利率)^建设期-1)</v>
      </c>
      <c r="H27" s="2842"/>
      <c r="I27" s="2842"/>
      <c r="J27" s="2842"/>
      <c r="K27" s="279"/>
    </row>
    <row r="28" spans="1:14" s="2121" customFormat="1" ht="13.5" customHeight="1">
      <c r="A28" s="805" t="s">
        <v>1858</v>
      </c>
      <c r="B28" s="2885" t="s">
        <v>2841</v>
      </c>
      <c r="C28" s="2887">
        <f ca="1">ROUND(IF('数据-取费表'!B22&lt;=1,(C18+C19+C20+C23+C24)*F26*'数据-取费表'!B24/2,(C18+C19+C20+C23+C24)*(POWER((1+F26),'数据-取费表'!B24/2)-1)),0)</f>
        <v>4513</v>
      </c>
      <c r="D28" s="475"/>
      <c r="E28" s="476"/>
      <c r="F28" s="477"/>
      <c r="G28" s="2597" t="str">
        <f>IF('数据-取费表'!B22&lt;=1,"（1）-（4）项×年利率×建设期÷2","（1）-（4）项×((1+年利率)^(建设期÷2)-1)")</f>
        <v>（1）-（4）项×((1+年利率)^(建设期÷2)-1)</v>
      </c>
      <c r="H28" s="2842"/>
      <c r="I28" s="2842"/>
      <c r="J28" s="2842"/>
      <c r="K28" s="279"/>
    </row>
    <row r="29" spans="1:14" s="2121" customFormat="1" ht="13.5" customHeight="1">
      <c r="A29" s="2888" t="s">
        <v>1863</v>
      </c>
      <c r="B29" s="2878" t="s">
        <v>497</v>
      </c>
      <c r="C29" s="2879">
        <f ca="1">ROUND(C6*F29/(1+'数据-取费表'!C42),0)</f>
        <v>6867</v>
      </c>
      <c r="D29" s="471"/>
      <c r="E29" s="471"/>
      <c r="F29" s="3064">
        <f>'数据-取费表'!B41</f>
        <v>5.6000000000000001E-2</v>
      </c>
      <c r="G29" s="2848" t="s">
        <v>498</v>
      </c>
      <c r="H29" s="2840"/>
      <c r="I29" s="2840"/>
      <c r="J29" s="2840"/>
      <c r="K29" s="2841"/>
    </row>
    <row r="30" spans="1:14" s="2122" customFormat="1" ht="13.5" customHeight="1">
      <c r="A30" s="1635" t="s">
        <v>1864</v>
      </c>
      <c r="B30" s="2889" t="s">
        <v>500</v>
      </c>
      <c r="C30" s="2884">
        <f ca="1">C31</f>
        <v>57782</v>
      </c>
      <c r="D30" s="480">
        <f ca="1">C32</f>
        <v>0.25040000000000001</v>
      </c>
      <c r="E30" s="472" t="s">
        <v>495</v>
      </c>
      <c r="F30" s="474"/>
      <c r="G30" s="2839" t="s">
        <v>501</v>
      </c>
      <c r="H30" s="2840"/>
      <c r="I30" s="2840"/>
      <c r="J30" s="2840"/>
      <c r="K30" s="2841"/>
    </row>
    <row r="31" spans="1:14" s="2121" customFormat="1" ht="13.5" customHeight="1">
      <c r="A31" s="805" t="s">
        <v>1857</v>
      </c>
      <c r="B31" s="2885"/>
      <c r="C31" s="453">
        <f ca="1">C18+C19+C20+C23+C24+C26+C29</f>
        <v>57782</v>
      </c>
      <c r="D31" s="475"/>
      <c r="E31" s="476"/>
      <c r="F31" s="477"/>
      <c r="G31" s="261"/>
      <c r="H31" s="2842"/>
      <c r="I31" s="2842"/>
      <c r="J31" s="2842"/>
      <c r="K31" s="279"/>
    </row>
    <row r="32" spans="1:14" s="2121" customFormat="1" ht="13.5" customHeight="1">
      <c r="A32" s="805" t="s">
        <v>1858</v>
      </c>
      <c r="B32" s="2885"/>
      <c r="C32" s="53">
        <f ca="1">ROUND(C25+D26,4)</f>
        <v>0.25040000000000001</v>
      </c>
      <c r="D32" s="475"/>
      <c r="E32" s="476"/>
      <c r="F32" s="477"/>
      <c r="G32" s="261"/>
      <c r="H32" s="2842"/>
      <c r="I32" s="2842"/>
      <c r="J32" s="2842"/>
      <c r="K32" s="279"/>
    </row>
    <row r="33" spans="1:11" s="2123" customFormat="1" ht="13.5" customHeight="1">
      <c r="A33" s="3061" t="s">
        <v>2836</v>
      </c>
      <c r="B33" s="3059" t="s">
        <v>2834</v>
      </c>
      <c r="C33" s="481">
        <f ca="1">C35</f>
        <v>10672</v>
      </c>
      <c r="D33" s="470">
        <f ca="1">C34</f>
        <v>0.2389</v>
      </c>
      <c r="E33" s="472" t="s">
        <v>495</v>
      </c>
      <c r="F33" s="482">
        <f ca="1">IF(B1="",'数据-取费表'!Q16,INDIRECT("'数据-取费表'!q"&amp;$K$1))</f>
        <v>0.23</v>
      </c>
      <c r="G33" s="2843"/>
      <c r="H33" s="2844"/>
      <c r="I33" s="2844"/>
      <c r="J33" s="2844"/>
      <c r="K33" s="2845"/>
    </row>
    <row r="34" spans="1:11" s="2124" customFormat="1" ht="13.5" customHeight="1">
      <c r="A34" s="378" t="s">
        <v>1857</v>
      </c>
      <c r="B34" s="2890" t="s">
        <v>502</v>
      </c>
      <c r="C34" s="475">
        <f ca="1">ROUND((1+C25)*F33,4)</f>
        <v>0.2389</v>
      </c>
      <c r="D34" s="475"/>
      <c r="E34" s="476"/>
      <c r="F34" s="483"/>
      <c r="G34" s="261" t="s">
        <v>2290</v>
      </c>
      <c r="H34" s="2842"/>
      <c r="I34" s="2842"/>
      <c r="J34" s="2842"/>
      <c r="K34" s="279"/>
    </row>
    <row r="35" spans="1:11" s="2124" customFormat="1" ht="13.5" customHeight="1" thickBot="1">
      <c r="A35" s="1636" t="s">
        <v>1858</v>
      </c>
      <c r="B35" s="3060" t="s">
        <v>2842</v>
      </c>
      <c r="C35" s="1628">
        <f ca="1">ROUND((C18+C19+C20+C23+C24)*F33,0)</f>
        <v>10672</v>
      </c>
      <c r="D35" s="1629"/>
      <c r="E35" s="2891"/>
      <c r="F35" s="1630"/>
      <c r="G35" s="2849"/>
      <c r="H35" s="2850"/>
      <c r="I35" s="2850"/>
      <c r="J35" s="2850"/>
      <c r="K35" s="2851"/>
    </row>
    <row r="36" spans="1:11" s="2086" customFormat="1" ht="13.5" customHeight="1" thickBot="1">
      <c r="A36" s="284" t="s">
        <v>1845</v>
      </c>
      <c r="B36" s="2853"/>
      <c r="C36" s="2892">
        <f ca="1">ROUND((C6-C30-C33)/(1+D30+D33),0)</f>
        <v>40492</v>
      </c>
      <c r="D36" s="2853"/>
      <c r="E36" s="2853"/>
      <c r="F36" s="2853"/>
      <c r="G36" s="2852" t="s">
        <v>2843</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5" sqref="B5"/>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4" t="s">
        <v>1726</v>
      </c>
      <c r="B1" s="740"/>
      <c r="C1" s="775" t="s">
        <v>3019</v>
      </c>
      <c r="D1" s="3158" t="s">
        <v>3246</v>
      </c>
      <c r="E1" s="2412" t="s">
        <v>2374</v>
      </c>
      <c r="F1" s="2413">
        <f ca="1">J53</f>
        <v>31.950000000000003</v>
      </c>
      <c r="G1" s="776">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6" t="s">
        <v>1727</v>
      </c>
      <c r="B2" s="777">
        <f ca="1">C40+J29+L46</f>
        <v>20452</v>
      </c>
      <c r="C2" s="2058"/>
      <c r="D2" s="2056"/>
      <c r="E2" s="2057"/>
      <c r="F2" s="2057"/>
      <c r="G2" s="1590"/>
      <c r="H2" s="2058"/>
      <c r="I2" s="2058"/>
      <c r="J2" s="2058"/>
      <c r="K2" s="2059"/>
      <c r="L2" s="2058"/>
      <c r="M2" s="2058"/>
    </row>
    <row r="3" spans="1:33" ht="18" customHeight="1" thickBot="1">
      <c r="A3" s="835" t="s">
        <v>1728</v>
      </c>
      <c r="B3" s="836">
        <f ca="1">IF(ISERROR(B2*10000/F43),0,ROUND(B2*10000/F43,0))</f>
        <v>8942</v>
      </c>
      <c r="C3" s="2058"/>
      <c r="D3" s="2056"/>
      <c r="E3" s="2057"/>
      <c r="F3" s="2057"/>
      <c r="G3" s="1590"/>
      <c r="H3" s="778" t="s">
        <v>696</v>
      </c>
      <c r="I3" s="1363"/>
      <c r="J3" s="1363"/>
      <c r="K3" s="1591"/>
      <c r="L3" s="1363"/>
      <c r="M3" s="1363"/>
    </row>
    <row r="4" spans="1:33" ht="18" customHeight="1">
      <c r="A4" s="779" t="s">
        <v>1729</v>
      </c>
      <c r="B4" s="780" t="s">
        <v>1730</v>
      </c>
      <c r="C4" s="780" t="s">
        <v>1731</v>
      </c>
      <c r="D4" s="780" t="s">
        <v>634</v>
      </c>
      <c r="E4" s="781" t="s">
        <v>1732</v>
      </c>
      <c r="F4" s="782"/>
      <c r="G4" s="1592"/>
      <c r="H4" s="779" t="s">
        <v>1733</v>
      </c>
      <c r="I4" s="780" t="s">
        <v>1734</v>
      </c>
      <c r="J4" s="780" t="s">
        <v>1735</v>
      </c>
      <c r="K4" s="780" t="s">
        <v>1736</v>
      </c>
      <c r="L4" s="781" t="s">
        <v>1737</v>
      </c>
      <c r="M4" s="782"/>
    </row>
    <row r="5" spans="1:33" ht="18" customHeight="1">
      <c r="A5" s="783">
        <v>1</v>
      </c>
      <c r="B5" s="784" t="s">
        <v>2459</v>
      </c>
      <c r="C5" s="55">
        <f ca="1">C6+C10+C12</f>
        <v>1505</v>
      </c>
      <c r="D5" s="2521" t="s">
        <v>2462</v>
      </c>
      <c r="E5" s="2515"/>
      <c r="F5" s="2516"/>
      <c r="G5" s="1592"/>
      <c r="H5" s="783">
        <v>1</v>
      </c>
      <c r="I5" s="784" t="s">
        <v>2459</v>
      </c>
      <c r="J5" s="55">
        <f ca="1">J6+J10+J12</f>
        <v>0</v>
      </c>
      <c r="K5" s="2521" t="s">
        <v>2462</v>
      </c>
      <c r="L5" s="2515"/>
      <c r="M5" s="2516"/>
    </row>
    <row r="6" spans="1:33" ht="18" customHeight="1">
      <c r="A6" s="1831" t="s">
        <v>1825</v>
      </c>
      <c r="B6" s="3578" t="s">
        <v>2464</v>
      </c>
      <c r="C6" s="785">
        <f ca="1">ROUND(F6*F8*F7*(1-F9)/10000,0)</f>
        <v>1503</v>
      </c>
      <c r="D6" s="2522" t="s">
        <v>2463</v>
      </c>
      <c r="E6" s="786" t="s">
        <v>1739</v>
      </c>
      <c r="F6" s="787">
        <f ca="1">INDIRECT("'数据-取费表'!u"&amp;$G$1)</f>
        <v>2</v>
      </c>
      <c r="G6" s="1592"/>
      <c r="H6" s="2529" t="s">
        <v>2470</v>
      </c>
      <c r="I6" s="3578" t="s">
        <v>2464</v>
      </c>
      <c r="J6" s="785">
        <f ca="1">ROUND(M6*M8*M7*(1-M9)/10000,0)</f>
        <v>0</v>
      </c>
      <c r="K6" s="344" t="s">
        <v>1738</v>
      </c>
      <c r="L6" s="786" t="s">
        <v>1739</v>
      </c>
      <c r="M6" s="787">
        <f ca="1">INDIRECT("'数据-取费表'!z"&amp;$G$1)</f>
        <v>0</v>
      </c>
    </row>
    <row r="7" spans="1:33" ht="18" customHeight="1">
      <c r="A7" s="2525"/>
      <c r="B7" s="3579"/>
      <c r="C7" s="790"/>
      <c r="D7" s="791"/>
      <c r="E7" s="786" t="s">
        <v>1740</v>
      </c>
      <c r="F7" s="787">
        <f ca="1">IF(INDIRECT("'数据-取费表'!ah"&amp;$G$1)="",INDIRECT("'数据-取费表'!k"&amp;$G$1),INDIRECT("'数据-取费表'!ah"&amp;$G$1))</f>
        <v>22872.600000000002</v>
      </c>
      <c r="G7" s="1592"/>
      <c r="H7" s="2514"/>
      <c r="I7" s="3579"/>
      <c r="J7" s="790"/>
      <c r="K7" s="791"/>
      <c r="L7" s="786" t="s">
        <v>1740</v>
      </c>
      <c r="M7" s="787">
        <f ca="1">F7</f>
        <v>22872.600000000002</v>
      </c>
    </row>
    <row r="8" spans="1:33" ht="18" customHeight="1">
      <c r="A8" s="2518"/>
      <c r="B8" s="3580"/>
      <c r="C8" s="790"/>
      <c r="D8" s="791"/>
      <c r="E8" s="786" t="s">
        <v>1741</v>
      </c>
      <c r="F8" s="787">
        <f ca="1">INDIRECT("'数据-取费表'!ai"&amp;$G$1)</f>
        <v>365</v>
      </c>
      <c r="G8" s="1592"/>
      <c r="H8" s="2514"/>
      <c r="I8" s="3580"/>
      <c r="J8" s="790"/>
      <c r="K8" s="791"/>
      <c r="L8" s="786" t="s">
        <v>1741</v>
      </c>
      <c r="M8" s="787">
        <f ca="1">INDIRECT("'数据-取费表'!ai"&amp;$G$1)</f>
        <v>365</v>
      </c>
    </row>
    <row r="9" spans="1:33" ht="18" customHeight="1">
      <c r="A9" s="788"/>
      <c r="B9" s="3581"/>
      <c r="C9" s="790"/>
      <c r="D9" s="791"/>
      <c r="E9" s="786" t="s">
        <v>1742</v>
      </c>
      <c r="F9" s="796">
        <f ca="1">INDIRECT("'数据-取费表'!w"&amp;$G$1)</f>
        <v>0.1</v>
      </c>
      <c r="G9" s="1592"/>
      <c r="H9" s="2530"/>
      <c r="I9" s="3580"/>
      <c r="J9" s="790"/>
      <c r="K9" s="791"/>
      <c r="L9" s="797" t="s">
        <v>1742</v>
      </c>
      <c r="M9" s="798">
        <f ca="1">INDIRECT("'数据-取费表'!ab"&amp;$G$1)</f>
        <v>0</v>
      </c>
    </row>
    <row r="10" spans="1:33" ht="18" customHeight="1">
      <c r="A10" s="1831" t="s">
        <v>2468</v>
      </c>
      <c r="B10" s="2519" t="s">
        <v>2460</v>
      </c>
      <c r="C10" s="801">
        <f ca="1">ROUND(IF(F10="押一",F6*F8*F7/12*F11,IF(F10="押二",F6*F8*F7/12*2*F11,IF(F10="押三",F6*F8*F7/12*3*F11,C11*F11)))/10000,0)</f>
        <v>2</v>
      </c>
      <c r="D10" s="2526" t="s">
        <v>2467</v>
      </c>
      <c r="E10" s="2523" t="s">
        <v>2465</v>
      </c>
      <c r="F10" s="2646" t="s">
        <v>3248</v>
      </c>
      <c r="G10" s="1592"/>
      <c r="H10" s="2586" t="s">
        <v>2471</v>
      </c>
      <c r="I10" s="2591" t="s">
        <v>2460</v>
      </c>
      <c r="J10" s="785">
        <f ca="1">ROUND(IF(M10="押一",M6*M8*M7/12*M11,IF(M10="押二",M6*M8*M7/12*2*M11,IF(M10="押三",M6*M8*M7/12*3*M11,J11*M11)))/10000,0)</f>
        <v>0</v>
      </c>
      <c r="K10" s="2526" t="s">
        <v>2467</v>
      </c>
      <c r="L10" s="2523" t="s">
        <v>2465</v>
      </c>
      <c r="M10" s="2646"/>
    </row>
    <row r="11" spans="1:33" ht="18" customHeight="1">
      <c r="A11" s="792"/>
      <c r="B11" s="2520" t="s">
        <v>2575</v>
      </c>
      <c r="C11" s="2524"/>
      <c r="D11" s="791"/>
      <c r="E11" s="2523" t="s">
        <v>2466</v>
      </c>
      <c r="F11" s="798">
        <f ca="1">'数据-取费表'!B39</f>
        <v>1.4999999999999999E-2</v>
      </c>
      <c r="G11" s="1592"/>
      <c r="H11" s="2587"/>
      <c r="I11" s="2520" t="s">
        <v>2575</v>
      </c>
      <c r="J11" s="2524"/>
      <c r="K11" s="2588"/>
      <c r="L11" s="2523" t="s">
        <v>2466</v>
      </c>
      <c r="M11" s="2517">
        <f ca="1">'数据-取费表'!B39</f>
        <v>1.4999999999999999E-2</v>
      </c>
    </row>
    <row r="12" spans="1:33" ht="18" customHeight="1" thickBot="1">
      <c r="A12" s="2562" t="s">
        <v>2469</v>
      </c>
      <c r="B12" s="2563" t="s">
        <v>2461</v>
      </c>
      <c r="C12" s="2564"/>
      <c r="D12" s="2565"/>
      <c r="E12" s="2566"/>
      <c r="F12" s="2567"/>
      <c r="G12" s="1592"/>
      <c r="H12" s="2576" t="s">
        <v>2472</v>
      </c>
      <c r="I12" s="2589" t="s">
        <v>2461</v>
      </c>
      <c r="J12" s="2590"/>
      <c r="K12" s="2565"/>
      <c r="L12" s="2566"/>
      <c r="M12" s="2579"/>
    </row>
    <row r="13" spans="1:33" ht="18" customHeight="1" thickTop="1">
      <c r="A13" s="1830">
        <v>2</v>
      </c>
      <c r="B13" s="1828" t="s">
        <v>1743</v>
      </c>
      <c r="C13" s="794">
        <f ca="1">ROUND(C29*F13,0)</f>
        <v>11448</v>
      </c>
      <c r="D13" s="1835" t="s">
        <v>2297</v>
      </c>
      <c r="E13" s="1835" t="s">
        <v>1745</v>
      </c>
      <c r="F13" s="2561">
        <f ca="1">INDIRECT("'数据-取费表'!y"&amp;$G$1)</f>
        <v>1</v>
      </c>
      <c r="G13" s="1592"/>
      <c r="H13" s="1830">
        <v>2</v>
      </c>
      <c r="I13" s="1828" t="s">
        <v>1743</v>
      </c>
      <c r="J13" s="1820">
        <f ca="1">ROUND(J14*J15,0)</f>
        <v>0</v>
      </c>
      <c r="K13" s="1822" t="s">
        <v>1744</v>
      </c>
      <c r="L13" s="2577"/>
      <c r="M13" s="2578"/>
    </row>
    <row r="14" spans="1:33" ht="18" customHeight="1">
      <c r="A14" s="1648" t="s">
        <v>1885</v>
      </c>
      <c r="B14" s="786" t="s">
        <v>646</v>
      </c>
      <c r="C14" s="806">
        <f ca="1">INDIRECT("'数据-取费表'!m"&amp;$G$1)+INDIRECT("'数据-取费表'!t"&amp;$G$1)</f>
        <v>6862</v>
      </c>
      <c r="D14" s="1980" t="s">
        <v>1746</v>
      </c>
      <c r="E14" s="1981"/>
      <c r="F14" s="807"/>
      <c r="G14" s="1592"/>
      <c r="H14" s="1649" t="s">
        <v>1831</v>
      </c>
      <c r="I14" s="2232" t="s">
        <v>2829</v>
      </c>
      <c r="J14" s="53">
        <f ca="1">C29</f>
        <v>11448</v>
      </c>
      <c r="K14" s="26"/>
      <c r="L14" s="803"/>
      <c r="M14" s="804"/>
    </row>
    <row r="15" spans="1:33" s="2065" customFormat="1" ht="18" customHeight="1" thickBot="1">
      <c r="A15" s="1648" t="s">
        <v>1886</v>
      </c>
      <c r="B15" s="786" t="s">
        <v>648</v>
      </c>
      <c r="C15" s="53">
        <f ca="1">ROUND(C14*F15,0)</f>
        <v>343</v>
      </c>
      <c r="D15" s="808" t="s">
        <v>1747</v>
      </c>
      <c r="E15" s="808" t="s">
        <v>1748</v>
      </c>
      <c r="F15" s="809">
        <f>'数据-取费表'!B33</f>
        <v>0.05</v>
      </c>
      <c r="G15" s="1593"/>
      <c r="H15" s="2576" t="s">
        <v>1890</v>
      </c>
      <c r="I15" s="2571" t="s">
        <v>1745</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6" t="s">
        <v>651</v>
      </c>
      <c r="C16" s="53">
        <f ca="1">ROUND(INDIRECT("'数据-取费表'!m"&amp;$G$1)*F16,0)</f>
        <v>0</v>
      </c>
      <c r="D16" s="786" t="s">
        <v>1747</v>
      </c>
      <c r="E16" s="786" t="s">
        <v>1748</v>
      </c>
      <c r="F16" s="811">
        <f ca="1">IF(INDIRECT("'数据-取费表'!c"&amp;$G$1)="住宅",'数据-取费表'!B34,0)</f>
        <v>0</v>
      </c>
      <c r="G16" s="1592"/>
      <c r="H16" s="1830" t="s">
        <v>1749</v>
      </c>
      <c r="I16" s="1828" t="s">
        <v>1750</v>
      </c>
      <c r="J16" s="794">
        <f ca="1">ROUND(J17+J22+J23+J24,0)</f>
        <v>305</v>
      </c>
      <c r="K16" s="1822" t="s">
        <v>1751</v>
      </c>
      <c r="L16" s="2511"/>
      <c r="M16" s="2516"/>
    </row>
    <row r="17" spans="1:33" s="2065" customFormat="1" ht="18" customHeight="1">
      <c r="A17" s="1648" t="s">
        <v>1888</v>
      </c>
      <c r="B17" s="786" t="s">
        <v>654</v>
      </c>
      <c r="C17" s="53">
        <f ca="1">ROUND(F17*(F43+INDIRECT("'数据-取费表'!S"&amp;$G$1))/10000,0)</f>
        <v>915</v>
      </c>
      <c r="D17" s="786" t="s">
        <v>1752</v>
      </c>
      <c r="E17" s="786" t="s">
        <v>1753</v>
      </c>
      <c r="F17" s="56">
        <f>'数据-取费表'!B35</f>
        <v>400</v>
      </c>
      <c r="G17" s="1593"/>
      <c r="H17" s="1649" t="s">
        <v>1831</v>
      </c>
      <c r="I17" s="786" t="s">
        <v>657</v>
      </c>
      <c r="J17" s="53">
        <f ca="1">ROUND(IF(项目基本情况!B11="自然人",J5*M17,J18+J19+J20),0)</f>
        <v>133</v>
      </c>
      <c r="K17" s="2510" t="s">
        <v>1754</v>
      </c>
      <c r="L17" s="2509" t="s">
        <v>1755</v>
      </c>
      <c r="M17" s="812"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6" t="s">
        <v>660</v>
      </c>
      <c r="C18" s="53">
        <f ca="1">ROUND(C14*F18,0)</f>
        <v>103</v>
      </c>
      <c r="D18" s="786" t="s">
        <v>1747</v>
      </c>
      <c r="E18" s="786" t="s">
        <v>1748</v>
      </c>
      <c r="F18" s="811">
        <f>'数据-取费表'!B36</f>
        <v>1.4999999999999999E-2</v>
      </c>
      <c r="G18" s="1593"/>
      <c r="H18" s="1648" t="s">
        <v>1885</v>
      </c>
      <c r="I18" s="786" t="s">
        <v>1756</v>
      </c>
      <c r="J18" s="53">
        <f ca="1">ROUND(J5*M18/1.05,1)</f>
        <v>0</v>
      </c>
      <c r="K18" s="2509" t="s">
        <v>1757</v>
      </c>
      <c r="L18" s="786" t="s">
        <v>1748</v>
      </c>
      <c r="M18" s="811">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6" t="s">
        <v>663</v>
      </c>
      <c r="C19" s="53">
        <f ca="1">SUM(C14:C18)</f>
        <v>8223</v>
      </c>
      <c r="D19" s="261" t="s">
        <v>1758</v>
      </c>
      <c r="E19" s="1983"/>
      <c r="F19" s="56"/>
      <c r="G19" s="1592"/>
      <c r="H19" s="1648" t="s">
        <v>1886</v>
      </c>
      <c r="I19" s="786" t="s">
        <v>1759</v>
      </c>
      <c r="J19" s="53">
        <f ca="1">IF(K19="按租金收入计税",ROUND(J5*M19,1),ROUND(C29*F33*0.7,1))</f>
        <v>96.2</v>
      </c>
      <c r="K19" s="813" t="s">
        <v>666</v>
      </c>
      <c r="L19" s="786" t="s">
        <v>1748</v>
      </c>
      <c r="M19" s="811">
        <f>IF(K19="按租金收入计税",'数据-取费表'!B51,'数据-取费表'!B50)</f>
        <v>1.2E-2</v>
      </c>
    </row>
    <row r="20" spans="1:33" s="2065" customFormat="1" ht="18" customHeight="1">
      <c r="A20" s="1649" t="s">
        <v>1890</v>
      </c>
      <c r="B20" s="786" t="s">
        <v>667</v>
      </c>
      <c r="C20" s="53">
        <f ca="1">ROUND(C19*F20,0)</f>
        <v>123</v>
      </c>
      <c r="D20" s="814" t="s">
        <v>1760</v>
      </c>
      <c r="E20" s="786" t="s">
        <v>1748</v>
      </c>
      <c r="F20" s="811">
        <f>'数据-取费表'!B37</f>
        <v>1.4999999999999999E-2</v>
      </c>
      <c r="G20" s="1593"/>
      <c r="H20" s="1651" t="s">
        <v>1881</v>
      </c>
      <c r="I20" s="344" t="s">
        <v>1761</v>
      </c>
      <c r="J20" s="54">
        <f ca="1">ROUND(M20*M21/10000,0)</f>
        <v>37</v>
      </c>
      <c r="K20" s="816" t="s">
        <v>1762</v>
      </c>
      <c r="L20" s="786" t="s">
        <v>1763</v>
      </c>
      <c r="M20" s="642">
        <f>'数据-取费表'!B52</f>
        <v>24</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6" t="s">
        <v>1764</v>
      </c>
      <c r="C21" s="53" t="s">
        <v>1765</v>
      </c>
      <c r="D21" s="814" t="s">
        <v>2298</v>
      </c>
      <c r="E21" s="786" t="s">
        <v>1766</v>
      </c>
      <c r="F21" s="811">
        <f>'数据-取费表'!B38</f>
        <v>0.03</v>
      </c>
      <c r="G21" s="1593"/>
      <c r="H21" s="2531"/>
      <c r="I21" s="795"/>
      <c r="J21" s="69"/>
      <c r="K21" s="818"/>
      <c r="L21" s="786" t="s">
        <v>1767</v>
      </c>
      <c r="M21" s="787">
        <f ca="1">INDIRECT("'数据-取费表'!r"&amp;$G$1)</f>
        <v>15248.4</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6" t="s">
        <v>1768</v>
      </c>
      <c r="C22" s="53"/>
      <c r="D22" s="2597" t="str">
        <f>IF(F23&lt;=1,"单利计息。","复利计息。")&amp;"建造成本、管理费用、销售费用产生的利息。"</f>
        <v>复利计息。建造成本、管理费用、销售费用产生的利息。</v>
      </c>
      <c r="E22" s="1983"/>
      <c r="F22" s="56"/>
      <c r="G22" s="1592"/>
      <c r="H22" s="1649" t="s">
        <v>1890</v>
      </c>
      <c r="I22" s="786" t="s">
        <v>1769</v>
      </c>
      <c r="J22" s="53">
        <f ca="1">ROUND(J14*M22,0)</f>
        <v>172</v>
      </c>
      <c r="K22" s="2509" t="s">
        <v>1770</v>
      </c>
      <c r="L22" s="786" t="s">
        <v>1748</v>
      </c>
      <c r="M22" s="819">
        <f ca="1">INDIRECT("'数据-取费表'!Ak"&amp;$G$1)</f>
        <v>1.4999999999999999E-2</v>
      </c>
    </row>
    <row r="23" spans="1:33" s="2065" customFormat="1" ht="18" customHeight="1">
      <c r="A23" s="1648" t="s">
        <v>1832</v>
      </c>
      <c r="B23" s="786" t="s">
        <v>2537</v>
      </c>
      <c r="C23" s="53">
        <f ca="1">ROUND(IF('数据-取费表'!B22&lt;=1,(C19+C20)*F24*F23/2,(C19+C20)*(POWER((1+F24),F23/2)-1)),0)</f>
        <v>812</v>
      </c>
      <c r="D23" s="2596" t="str">
        <f>IF(F23&lt;=1,"(建造成本+管理费用)×利率×(建设周期÷2)","(建造成本+管理费用)×((1+利率)^(建设周期÷2)-1)")</f>
        <v>(建造成本+管理费用)×((1+利率)^(建设周期÷2)-1)</v>
      </c>
      <c r="E23" s="786" t="s">
        <v>1771</v>
      </c>
      <c r="F23" s="642">
        <f>'数据-取费表'!B20</f>
        <v>4</v>
      </c>
      <c r="G23" s="1593"/>
      <c r="H23" s="1649" t="s">
        <v>1891</v>
      </c>
      <c r="I23" s="786" t="s">
        <v>680</v>
      </c>
      <c r="J23" s="53">
        <f ca="1">ROUND(J13*M23,0)</f>
        <v>0</v>
      </c>
      <c r="K23" s="2509" t="s">
        <v>1772</v>
      </c>
      <c r="L23" s="786" t="s">
        <v>1748</v>
      </c>
      <c r="M23" s="820">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6" t="s">
        <v>1773</v>
      </c>
      <c r="C24" s="53">
        <f ca="1">ROUND(IF('数据-取费表'!B22&lt;=1,F21*F24*F23/2,F21*(POWER((1+F24),F23/2)-1)),4)</f>
        <v>2.8999999999999998E-3</v>
      </c>
      <c r="D24" s="2596" t="str">
        <f>IF(F23&lt;=1,"销售费用×利率×(建设周期÷2)","销售费用×((1+利率)^(建设周期÷2)-1)")</f>
        <v>销售费用×((1+利率)^(建设周期÷2)-1)</v>
      </c>
      <c r="E24" s="786" t="s">
        <v>1774</v>
      </c>
      <c r="F24" s="821">
        <f ca="1">'数据-取费表'!B40</f>
        <v>4.7500000000000001E-2</v>
      </c>
      <c r="G24" s="1593"/>
      <c r="H24" s="2576" t="s">
        <v>1892</v>
      </c>
      <c r="I24" s="2571" t="s">
        <v>667</v>
      </c>
      <c r="J24" s="2569">
        <f ca="1">ROUND(J5*M24,0)</f>
        <v>0</v>
      </c>
      <c r="K24" s="2570" t="s">
        <v>1775</v>
      </c>
      <c r="L24" s="2571" t="s">
        <v>1748</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6" t="s">
        <v>685</v>
      </c>
      <c r="C25" s="53"/>
      <c r="D25" s="261" t="s">
        <v>1776</v>
      </c>
      <c r="E25" s="1983"/>
      <c r="F25" s="56"/>
      <c r="G25" s="1592"/>
      <c r="H25" s="1830" t="s">
        <v>1777</v>
      </c>
      <c r="I25" s="3037" t="s">
        <v>2825</v>
      </c>
      <c r="J25" s="794">
        <f ca="1">J5-J16</f>
        <v>-305</v>
      </c>
      <c r="K25" s="2573" t="s">
        <v>1778</v>
      </c>
      <c r="L25" s="2574"/>
      <c r="M25" s="2575"/>
    </row>
    <row r="26" spans="1:33" ht="18" customHeight="1">
      <c r="A26" s="1648" t="s">
        <v>1832</v>
      </c>
      <c r="B26" s="786" t="s">
        <v>2438</v>
      </c>
      <c r="C26" s="53">
        <f ca="1">ROUND((C19+C20)*F26,0)</f>
        <v>1252</v>
      </c>
      <c r="D26" s="814" t="s">
        <v>1779</v>
      </c>
      <c r="E26" s="797" t="s">
        <v>1780</v>
      </c>
      <c r="F26" s="796">
        <f ca="1">INDIRECT("'数据-取费表'!q"&amp;$G$1)</f>
        <v>0.15</v>
      </c>
      <c r="G26" s="1592"/>
      <c r="H26" s="2527" t="s">
        <v>1781</v>
      </c>
      <c r="I26" s="2233" t="s">
        <v>2830</v>
      </c>
      <c r="J26" s="785">
        <f ca="1">IF(J5&lt;&gt;0,ROUND(J25*(1-((1+M28)/(1+M26))^M27)/(M26-M28),0),0)</f>
        <v>0</v>
      </c>
      <c r="K26" s="816" t="s">
        <v>1782</v>
      </c>
      <c r="L26" s="786" t="s">
        <v>2419</v>
      </c>
      <c r="M26" s="796">
        <f ca="1">INDIRECT("'数据-取费表'!I"&amp;$G$1)</f>
        <v>0.06</v>
      </c>
    </row>
    <row r="27" spans="1:33" ht="18" customHeight="1">
      <c r="A27" s="1648" t="s">
        <v>1833</v>
      </c>
      <c r="B27" s="786" t="s">
        <v>687</v>
      </c>
      <c r="C27" s="53">
        <f ca="1">ROUND(F21*F26,4)</f>
        <v>4.4999999999999997E-3</v>
      </c>
      <c r="D27" s="814" t="s">
        <v>1783</v>
      </c>
      <c r="E27" s="808"/>
      <c r="F27" s="809"/>
      <c r="G27" s="1592"/>
      <c r="H27" s="2528"/>
      <c r="I27" s="789"/>
      <c r="J27" s="790"/>
      <c r="K27" s="823" t="s">
        <v>1784</v>
      </c>
      <c r="L27" s="786" t="s">
        <v>1785</v>
      </c>
      <c r="M27" s="824">
        <f ca="1">INDIRECT("'数据-取费表'!ag"&amp;$G$1)</f>
        <v>0</v>
      </c>
    </row>
    <row r="28" spans="1:33" s="2065" customFormat="1" ht="18" customHeight="1">
      <c r="A28" s="1650" t="s">
        <v>1842</v>
      </c>
      <c r="B28" s="786" t="s">
        <v>688</v>
      </c>
      <c r="C28" s="53">
        <f>ROUND(F28/(1+'数据-取费表'!C42),4)</f>
        <v>5.33E-2</v>
      </c>
      <c r="D28" s="814" t="s">
        <v>2299</v>
      </c>
      <c r="E28" s="786" t="s">
        <v>1786</v>
      </c>
      <c r="F28" s="811">
        <f>'数据-取费表'!B41</f>
        <v>5.6000000000000001E-2</v>
      </c>
      <c r="G28" s="1593"/>
      <c r="H28" s="1830"/>
      <c r="I28" s="793"/>
      <c r="J28" s="794"/>
      <c r="K28" s="818"/>
      <c r="L28" s="786" t="s">
        <v>1787</v>
      </c>
      <c r="M28" s="796">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2300</v>
      </c>
      <c r="C29" s="2569">
        <f ca="1">ROUND((C19+C20+C23+C26)/(1-F21-C24-C27-C28),0)</f>
        <v>11448</v>
      </c>
      <c r="D29" s="2570"/>
      <c r="E29" s="2571"/>
      <c r="F29" s="2572"/>
      <c r="G29" s="1593"/>
      <c r="H29" s="825" t="s">
        <v>1788</v>
      </c>
      <c r="I29" s="826" t="s">
        <v>1789</v>
      </c>
      <c r="J29" s="827">
        <f ca="1">ROUND(J26/(1+F40)^F41,0)</f>
        <v>0</v>
      </c>
      <c r="K29" s="828" t="s">
        <v>1790</v>
      </c>
      <c r="L29" s="829"/>
      <c r="M29" s="830">
        <f ca="1">INDIRECT("'数据-取费表'!k"&amp;$G$1)</f>
        <v>22872.600000000002</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4">
        <f ca="1">ROUND(C31+C36+C37+C38,0)</f>
        <v>417</v>
      </c>
      <c r="D30" s="1822" t="s">
        <v>1792</v>
      </c>
      <c r="E30" s="2511"/>
      <c r="F30" s="2516"/>
      <c r="G30" s="2063"/>
      <c r="H30" s="2066"/>
      <c r="I30" s="2067"/>
      <c r="J30" s="2068"/>
      <c r="K30" s="2069"/>
      <c r="L30" s="2070"/>
      <c r="M30" s="2071"/>
    </row>
    <row r="31" spans="1:33" ht="18" customHeight="1">
      <c r="A31" s="1649" t="s">
        <v>1831</v>
      </c>
      <c r="B31" s="786" t="s">
        <v>657</v>
      </c>
      <c r="C31" s="53">
        <f ca="1">ROUND(IF(项目基本情况!B11="自然人",C5*F31,C32+C33+C34),1)</f>
        <v>213.1</v>
      </c>
      <c r="D31" s="1980" t="s">
        <v>1793</v>
      </c>
      <c r="E31" s="1978" t="s">
        <v>1794</v>
      </c>
      <c r="F31" s="812"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6" t="s">
        <v>1795</v>
      </c>
      <c r="C32" s="53">
        <f ca="1">ROUND(C5*F32/1.05,1)</f>
        <v>80.3</v>
      </c>
      <c r="D32" s="1978" t="s">
        <v>1796</v>
      </c>
      <c r="E32" s="786" t="s">
        <v>1797</v>
      </c>
      <c r="F32" s="811">
        <f>'数据-取费表'!B41</f>
        <v>5.6000000000000001E-2</v>
      </c>
      <c r="G32" s="2063"/>
      <c r="H32" s="2072"/>
      <c r="I32" s="2073"/>
      <c r="J32" s="2074"/>
      <c r="K32" s="2075"/>
      <c r="L32" s="2076"/>
      <c r="M32" s="2077"/>
    </row>
    <row r="33" spans="1:18" ht="18" customHeight="1">
      <c r="A33" s="1648" t="s">
        <v>1833</v>
      </c>
      <c r="B33" s="786" t="s">
        <v>1798</v>
      </c>
      <c r="C33" s="53">
        <f ca="1">IF(D33="按租金收入计税",ROUND(C5*F33,1),IF(D33="按房产原值计税",ROUND(C29*F33*0.7,1),INDIRECT("'数据-取费表'!Aj"&amp;$G$1)))</f>
        <v>96.2</v>
      </c>
      <c r="D33" s="813" t="s">
        <v>1681</v>
      </c>
      <c r="E33" s="786" t="s">
        <v>1797</v>
      </c>
      <c r="F33" s="811">
        <f>IF(D33="按租金收入计税",'数据-取费表'!B51,'数据-取费表'!B50)</f>
        <v>1.2E-2</v>
      </c>
      <c r="G33" s="2063"/>
      <c r="H33" s="2078"/>
      <c r="I33" s="2078"/>
      <c r="J33" s="2078"/>
      <c r="K33" s="2079"/>
      <c r="L33" s="2078"/>
      <c r="M33" s="2078"/>
    </row>
    <row r="34" spans="1:18" ht="18" customHeight="1">
      <c r="A34" s="1651" t="s">
        <v>1834</v>
      </c>
      <c r="B34" s="344" t="s">
        <v>1799</v>
      </c>
      <c r="C34" s="54">
        <f ca="1">ROUND(F34*F35/10000,1)</f>
        <v>36.6</v>
      </c>
      <c r="D34" s="816" t="s">
        <v>1800</v>
      </c>
      <c r="E34" s="786" t="s">
        <v>1801</v>
      </c>
      <c r="F34" s="642">
        <f>'数据-取费表'!B52</f>
        <v>24</v>
      </c>
      <c r="G34" s="2063"/>
      <c r="H34" s="2066"/>
      <c r="I34" s="837" t="s">
        <v>1814</v>
      </c>
      <c r="J34" s="838"/>
      <c r="K34" s="2081"/>
      <c r="L34" s="2080"/>
      <c r="M34" s="2080"/>
    </row>
    <row r="35" spans="1:18" ht="18" customHeight="1">
      <c r="A35" s="817"/>
      <c r="B35" s="795"/>
      <c r="C35" s="69"/>
      <c r="D35" s="818"/>
      <c r="E35" s="786" t="s">
        <v>1802</v>
      </c>
      <c r="F35" s="787">
        <f ca="1">INDIRECT("'数据-取费表'!r"&amp;$G$1)</f>
        <v>15248.4</v>
      </c>
      <c r="G35" s="2063"/>
      <c r="H35" s="2066"/>
      <c r="I35" s="839" t="s">
        <v>1815</v>
      </c>
      <c r="J35" s="840">
        <f ca="1">ROUND(C13*J36,0)</f>
        <v>916</v>
      </c>
      <c r="K35" s="2079"/>
      <c r="L35" s="2078"/>
      <c r="M35" s="2078"/>
    </row>
    <row r="36" spans="1:18" ht="18" customHeight="1">
      <c r="A36" s="1649" t="s">
        <v>1890</v>
      </c>
      <c r="B36" s="786" t="s">
        <v>1803</v>
      </c>
      <c r="C36" s="53">
        <f ca="1">ROUND(C29*F36,1)</f>
        <v>171.7</v>
      </c>
      <c r="D36" s="1978" t="s">
        <v>1804</v>
      </c>
      <c r="E36" s="786" t="s">
        <v>1797</v>
      </c>
      <c r="F36" s="819">
        <f ca="1">INDIRECT("'数据-取费表'!Ak"&amp;$G$1)</f>
        <v>1.4999999999999999E-2</v>
      </c>
      <c r="G36" s="2063"/>
      <c r="H36" s="2078"/>
      <c r="I36" s="841" t="s">
        <v>1816</v>
      </c>
      <c r="J36" s="842">
        <f ca="1">INDIRECT("'数据-取费表'!j"&amp;$G$1)</f>
        <v>0.08</v>
      </c>
      <c r="K36" s="2083"/>
      <c r="L36" s="2078"/>
      <c r="M36" s="2078"/>
    </row>
    <row r="37" spans="1:18" ht="18" customHeight="1">
      <c r="A37" s="1649" t="s">
        <v>1891</v>
      </c>
      <c r="B37" s="786" t="s">
        <v>680</v>
      </c>
      <c r="C37" s="53">
        <f ca="1">ROUND(C13*F37,1)</f>
        <v>17.2</v>
      </c>
      <c r="D37" s="1978" t="s">
        <v>1805</v>
      </c>
      <c r="E37" s="786" t="s">
        <v>1797</v>
      </c>
      <c r="F37" s="820">
        <f ca="1">INDIRECT("'数据-取费表'!Al"&amp;$G$1)</f>
        <v>1.5E-3</v>
      </c>
      <c r="G37" s="2063"/>
      <c r="H37" s="2078"/>
      <c r="I37" s="843" t="s">
        <v>1817</v>
      </c>
      <c r="J37" s="844"/>
      <c r="K37" s="2083"/>
      <c r="L37" s="2078"/>
      <c r="M37" s="2078"/>
    </row>
    <row r="38" spans="1:18" ht="18" customHeight="1" thickBot="1">
      <c r="A38" s="2576" t="s">
        <v>1892</v>
      </c>
      <c r="B38" s="2571" t="s">
        <v>667</v>
      </c>
      <c r="C38" s="2569">
        <f ca="1">ROUND(C5*F38,1)</f>
        <v>15.1</v>
      </c>
      <c r="D38" s="2570" t="s">
        <v>1806</v>
      </c>
      <c r="E38" s="2571" t="s">
        <v>1797</v>
      </c>
      <c r="F38" s="2567">
        <f ca="1">INDIRECT("'数据-取费表'!Am"&amp;$G$1)</f>
        <v>0.01</v>
      </c>
      <c r="G38" s="2063"/>
      <c r="H38" s="2078"/>
      <c r="I38" s="845" t="s">
        <v>1818</v>
      </c>
      <c r="J38" s="846"/>
      <c r="K38" s="2084"/>
      <c r="L38" s="2078"/>
      <c r="M38" s="2078"/>
    </row>
    <row r="39" spans="1:18" ht="24.6" customHeight="1" thickTop="1">
      <c r="A39" s="1830" t="s">
        <v>1895</v>
      </c>
      <c r="B39" s="3037" t="s">
        <v>2825</v>
      </c>
      <c r="C39" s="794">
        <f ca="1">C5-C30</f>
        <v>1088</v>
      </c>
      <c r="D39" s="2573" t="s">
        <v>1807</v>
      </c>
      <c r="E39" s="2574"/>
      <c r="F39" s="2575"/>
      <c r="G39" s="2063"/>
      <c r="H39" s="2078"/>
      <c r="I39" s="839" t="s">
        <v>1819</v>
      </c>
      <c r="J39" s="847">
        <f ca="1">ROUND(J35/C39,3)</f>
        <v>0.84199999999999997</v>
      </c>
      <c r="K39" s="2084"/>
      <c r="L39" s="2078"/>
      <c r="M39" s="2078"/>
    </row>
    <row r="40" spans="1:18" ht="18" customHeight="1">
      <c r="A40" s="783" t="s">
        <v>1896</v>
      </c>
      <c r="B40" s="2233" t="s">
        <v>2301</v>
      </c>
      <c r="C40" s="785">
        <f ca="1">ROUND(C39*(1-((1+F42)/(1+F40))^F41)/(F40-F42),0)</f>
        <v>20452</v>
      </c>
      <c r="D40" s="816" t="s">
        <v>1808</v>
      </c>
      <c r="E40" s="786" t="s">
        <v>2419</v>
      </c>
      <c r="F40" s="796">
        <f ca="1">INDIRECT("'数据-取费表'!I"&amp;$G$1)</f>
        <v>0.06</v>
      </c>
      <c r="G40" s="2063"/>
      <c r="H40" s="2063"/>
      <c r="I40" s="839" t="s">
        <v>1820</v>
      </c>
      <c r="J40" s="847">
        <f ca="1">1-J39</f>
        <v>0.15800000000000003</v>
      </c>
      <c r="K40" s="2084"/>
      <c r="L40" s="2063"/>
      <c r="M40" s="2063"/>
    </row>
    <row r="41" spans="1:18" ht="18" customHeight="1">
      <c r="A41" s="788"/>
      <c r="B41" s="789"/>
      <c r="C41" s="790"/>
      <c r="D41" s="823" t="s">
        <v>1809</v>
      </c>
      <c r="E41" s="786" t="s">
        <v>2962</v>
      </c>
      <c r="F41" s="824">
        <f ca="1">IF(INDIRECT("'数据-取费表'!af"&amp;$G$1)=0,INDIRECT("'数据-取费表'!ae"&amp;$G$1),INDIRECT("'数据-取费表'!af"&amp;$G$1))</f>
        <v>31.950000000000003</v>
      </c>
      <c r="G41" s="2063"/>
      <c r="H41" s="1989"/>
      <c r="I41" s="845" t="s">
        <v>1821</v>
      </c>
      <c r="J41" s="848"/>
      <c r="K41" s="2083"/>
      <c r="L41" s="1989"/>
      <c r="M41" s="1989"/>
    </row>
    <row r="42" spans="1:18" ht="18" customHeight="1">
      <c r="A42" s="792"/>
      <c r="B42" s="793"/>
      <c r="C42" s="794"/>
      <c r="D42" s="818"/>
      <c r="E42" s="786" t="s">
        <v>1810</v>
      </c>
      <c r="F42" s="796">
        <f ca="1">INDIRECT("'数据-取费表'!v"&amp;$G$1)</f>
        <v>2.5000000000000001E-2</v>
      </c>
      <c r="G42" s="2063"/>
      <c r="H42" s="1989"/>
      <c r="I42" s="849" t="s">
        <v>1822</v>
      </c>
      <c r="J42" s="847">
        <f ca="1">ROUND(C13/C40,3)</f>
        <v>0.56000000000000005</v>
      </c>
      <c r="K42" s="2083"/>
      <c r="L42" s="1989"/>
      <c r="M42" s="1989"/>
    </row>
    <row r="43" spans="1:18" ht="18" customHeight="1" thickBot="1">
      <c r="A43" s="825" t="s">
        <v>1788</v>
      </c>
      <c r="B43" s="826" t="s">
        <v>1811</v>
      </c>
      <c r="C43" s="827">
        <f ca="1">ROUND(C40*10000/F43,0)</f>
        <v>8942</v>
      </c>
      <c r="D43" s="828" t="s">
        <v>1812</v>
      </c>
      <c r="E43" s="829" t="s">
        <v>1813</v>
      </c>
      <c r="F43" s="830">
        <f ca="1">INDIRECT("'数据-取费表'!k"&amp;$G$1)</f>
        <v>22872.600000000002</v>
      </c>
      <c r="G43" s="2063"/>
      <c r="H43" s="1989"/>
      <c r="I43" s="849" t="s">
        <v>1823</v>
      </c>
      <c r="J43" s="850">
        <f ca="1">1-J42</f>
        <v>0.43999999999999995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99">
        <f ca="1">C67-C40</f>
        <v>-24985</v>
      </c>
      <c r="D46" s="2086"/>
      <c r="E46" s="2086"/>
      <c r="F46" s="2086"/>
      <c r="I46" s="2379" t="s">
        <v>2342</v>
      </c>
      <c r="J46" s="2380"/>
      <c r="K46" s="2381"/>
      <c r="L46" s="2382" t="str">
        <f ca="1">IF(M47="住宅",0,IF(L48&gt;J51,L60,J60))</f>
        <v>0</v>
      </c>
      <c r="O46" s="2419" t="s">
        <v>2410</v>
      </c>
      <c r="P46" s="1592"/>
      <c r="Q46" s="1604"/>
      <c r="R46" s="1592"/>
    </row>
    <row r="47" spans="1:18" s="2060" customFormat="1" ht="18" customHeight="1" thickBot="1">
      <c r="A47" s="2373">
        <v>1</v>
      </c>
      <c r="B47" s="2374" t="s">
        <v>636</v>
      </c>
      <c r="C47" s="2599">
        <f ca="1">C48+C52+C54</f>
        <v>0</v>
      </c>
      <c r="D47" s="2086"/>
      <c r="E47" s="2086"/>
      <c r="F47" s="2086"/>
      <c r="I47" s="2383" t="s">
        <v>2343</v>
      </c>
      <c r="J47" s="2388" t="s">
        <v>3247</v>
      </c>
      <c r="K47" s="2389" t="s">
        <v>2349</v>
      </c>
      <c r="L47" s="2390">
        <f ca="1">INDIRECT("'数据-取费表'!d"&amp;$G$1)</f>
        <v>40</v>
      </c>
      <c r="M47" s="1604" t="str">
        <f>IF(ISNUMBER(FIND("住宅",C1)),"住宅","非住宅")</f>
        <v>非住宅</v>
      </c>
      <c r="O47" s="2420" t="s">
        <v>2375</v>
      </c>
      <c r="P47" s="2421" t="s">
        <v>2376</v>
      </c>
      <c r="Q47" s="2422" t="s">
        <v>2377</v>
      </c>
      <c r="R47" s="2421" t="s">
        <v>2378</v>
      </c>
    </row>
    <row r="48" spans="1:18" s="2060" customFormat="1" ht="18" customHeight="1" thickBot="1">
      <c r="A48" s="2668" t="s">
        <v>2539</v>
      </c>
      <c r="B48" s="2669" t="s">
        <v>2540</v>
      </c>
      <c r="C48" s="2375">
        <f ca="1">ROUND(F48*F50*F49*(1-F51)/10000,0)</f>
        <v>0</v>
      </c>
      <c r="D48" s="2376" t="s">
        <v>637</v>
      </c>
      <c r="E48" s="2377" t="s">
        <v>2296</v>
      </c>
      <c r="F48" s="2378"/>
      <c r="G48" s="2091"/>
      <c r="I48" s="2384" t="s">
        <v>2344</v>
      </c>
      <c r="J48" s="2391" t="s">
        <v>2350</v>
      </c>
      <c r="K48" s="2392" t="s">
        <v>2351</v>
      </c>
      <c r="L48" s="2393">
        <f ca="1">INDIRECT("'数据-取费表'!f"&amp;$G$1)</f>
        <v>35.950000000000003</v>
      </c>
      <c r="O48" s="2423" t="s">
        <v>2379</v>
      </c>
      <c r="P48" s="2424" t="s">
        <v>2405</v>
      </c>
      <c r="Q48" s="2425">
        <f ca="1">C40+J29</f>
        <v>20452</v>
      </c>
      <c r="R48" s="2424" t="s">
        <v>2380</v>
      </c>
    </row>
    <row r="49" spans="1:18" s="2060" customFormat="1" ht="18" customHeight="1" thickBot="1">
      <c r="A49" s="788"/>
      <c r="B49" s="789"/>
      <c r="C49" s="790"/>
      <c r="D49" s="791"/>
      <c r="E49" s="786" t="s">
        <v>1740</v>
      </c>
      <c r="F49" s="787">
        <f ca="1">F7</f>
        <v>22872.600000000002</v>
      </c>
      <c r="G49" s="2091"/>
      <c r="H49" s="2094"/>
      <c r="I49" s="2384" t="s">
        <v>2345</v>
      </c>
      <c r="J49" s="2394"/>
      <c r="K49" s="2395" t="s">
        <v>2352</v>
      </c>
      <c r="L49" s="2396"/>
      <c r="O49" s="2423" t="s">
        <v>2381</v>
      </c>
      <c r="P49" s="2424" t="s">
        <v>2406</v>
      </c>
      <c r="Q49" s="2425" t="str">
        <f ca="1">J60</f>
        <v>0</v>
      </c>
      <c r="R49" s="2424" t="s">
        <v>2382</v>
      </c>
    </row>
    <row r="50" spans="1:18" s="2060" customFormat="1" ht="18" customHeight="1" thickBot="1">
      <c r="A50" s="788"/>
      <c r="B50" s="789"/>
      <c r="C50" s="790"/>
      <c r="D50" s="791"/>
      <c r="E50" s="786" t="s">
        <v>1741</v>
      </c>
      <c r="F50" s="787">
        <f ca="1">F8</f>
        <v>365</v>
      </c>
      <c r="G50" s="2096"/>
      <c r="H50" s="2094"/>
      <c r="I50" s="2384" t="s">
        <v>2346</v>
      </c>
      <c r="J50" s="2397">
        <f>SUMPRODUCT((I63:I65=J47)*(J62:L62=J48)*(J63:L65))</f>
        <v>60</v>
      </c>
      <c r="K50" s="2395" t="s">
        <v>2353</v>
      </c>
      <c r="L50" s="2396"/>
      <c r="O50" s="2426" t="s">
        <v>2383</v>
      </c>
      <c r="P50" s="2424" t="s">
        <v>2407</v>
      </c>
      <c r="Q50" s="2425">
        <f ca="1">C29</f>
        <v>11448</v>
      </c>
      <c r="R50" s="2424" t="s">
        <v>2380</v>
      </c>
    </row>
    <row r="51" spans="1:18" s="2060" customFormat="1" ht="18" customHeight="1" thickBot="1">
      <c r="A51" s="788"/>
      <c r="B51" s="789"/>
      <c r="C51" s="790"/>
      <c r="D51" s="791"/>
      <c r="E51" s="786" t="s">
        <v>641</v>
      </c>
      <c r="F51" s="2372"/>
      <c r="H51" s="2094"/>
      <c r="I51" s="2385" t="s">
        <v>2347</v>
      </c>
      <c r="J51" s="2398">
        <f>IF(J49="",J50,J49+J50-YEAR('数据-取费表'!B2))</f>
        <v>60</v>
      </c>
      <c r="K51" s="2384" t="s">
        <v>2354</v>
      </c>
      <c r="L51" s="2399">
        <f ca="1">ROUND(-PV(INDIRECT("'数据-取费表'!h"&amp;$G$1),L48,(C39-C13*J36),0),0)</f>
        <v>2847</v>
      </c>
      <c r="O51" s="2426" t="s">
        <v>2384</v>
      </c>
      <c r="P51" s="2424" t="s">
        <v>2385</v>
      </c>
      <c r="Q51" s="2427" t="e">
        <f ca="1">J58</f>
        <v>#VALUE!</v>
      </c>
      <c r="R51" s="2428"/>
    </row>
    <row r="52" spans="1:18" s="2060" customFormat="1" ht="18" customHeight="1" thickBot="1">
      <c r="A52" s="783" t="s">
        <v>2538</v>
      </c>
      <c r="B52" s="2519" t="s">
        <v>2460</v>
      </c>
      <c r="C52" s="801">
        <f ca="1">ROUND(IF(F52="押一",F48*F50*F49/12*F11,IF(F52="押二",F48*F50*F49/12*2*F11,IF(F52="押三",F48*F50*F49/12*3*F11,C53*F11)))/10000,0)</f>
        <v>0</v>
      </c>
      <c r="D52" s="2526" t="s">
        <v>2467</v>
      </c>
      <c r="E52" s="2523" t="s">
        <v>2465</v>
      </c>
      <c r="F52" s="2646"/>
      <c r="I52" s="2386" t="s">
        <v>2421</v>
      </c>
      <c r="J52" s="2400"/>
      <c r="K52" s="2386" t="s">
        <v>2420</v>
      </c>
      <c r="L52" s="2400"/>
      <c r="O52" s="2426" t="s">
        <v>2386</v>
      </c>
      <c r="P52" s="2424" t="s">
        <v>2387</v>
      </c>
      <c r="Q52" s="2427">
        <f>J52</f>
        <v>0</v>
      </c>
      <c r="R52" s="2428"/>
    </row>
    <row r="53" spans="1:18" s="2060" customFormat="1" ht="39.75" customHeight="1" thickBot="1">
      <c r="A53" s="788"/>
      <c r="B53" s="2520" t="s">
        <v>2575</v>
      </c>
      <c r="C53" s="2524"/>
      <c r="D53" s="2526"/>
      <c r="E53" s="2523"/>
      <c r="F53" s="802"/>
      <c r="I53" s="2387" t="s">
        <v>2348</v>
      </c>
      <c r="J53" s="2401">
        <f ca="1">IF(M47="住宅",J51,IF(D1="——",MIN(J51,L48),IF(D1="土地（套用方法）",MIN(J51,L48-'数据-取费表'!B20))))</f>
        <v>31.950000000000003</v>
      </c>
      <c r="K53" s="3594" t="s">
        <v>2964</v>
      </c>
      <c r="L53" s="3595"/>
      <c r="O53" s="2426" t="s">
        <v>2388</v>
      </c>
      <c r="P53" s="2424" t="s">
        <v>2389</v>
      </c>
      <c r="Q53" s="2425">
        <f ca="1">J53</f>
        <v>31.950000000000003</v>
      </c>
      <c r="R53" s="2424" t="s">
        <v>2390</v>
      </c>
    </row>
    <row r="54" spans="1:18" s="2060" customFormat="1" ht="18" customHeight="1" thickBot="1">
      <c r="A54" s="2562" t="s">
        <v>2469</v>
      </c>
      <c r="B54" s="2563" t="s">
        <v>2461</v>
      </c>
      <c r="C54" s="2564"/>
      <c r="D54" s="2526"/>
      <c r="E54" s="2523"/>
      <c r="F54" s="802"/>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2391</v>
      </c>
      <c r="P54" s="2424" t="s">
        <v>2408</v>
      </c>
      <c r="Q54" s="2425">
        <f ca="1">Q48+Q49</f>
        <v>20452</v>
      </c>
      <c r="R54" s="2428" t="s">
        <v>2392</v>
      </c>
    </row>
    <row r="55" spans="1:18" s="2060" customFormat="1" ht="18" customHeight="1" thickTop="1" thickBot="1">
      <c r="A55" s="799">
        <v>2</v>
      </c>
      <c r="B55" s="800" t="s">
        <v>645</v>
      </c>
      <c r="C55" s="801">
        <f ca="1">C13</f>
        <v>11448</v>
      </c>
      <c r="D55" s="797"/>
      <c r="E55" s="797"/>
      <c r="F55" s="802"/>
      <c r="I55" s="3129" t="s">
        <v>2355</v>
      </c>
      <c r="J55" s="3128" t="e">
        <f ca="1">ROUND(IF(J47="钢混",J57/J50,1-(1-2%)*(J50-J57)/J50),3)</f>
        <v>#VALUE!</v>
      </c>
      <c r="K55" s="2402" t="s">
        <v>2356</v>
      </c>
      <c r="L55" s="2403"/>
      <c r="O55" s="2429" t="s">
        <v>2411</v>
      </c>
      <c r="P55" s="1592"/>
      <c r="Q55" s="1604"/>
      <c r="R55" s="1592"/>
    </row>
    <row r="56" spans="1:18" s="2060" customFormat="1" ht="42.75" customHeight="1" thickBot="1">
      <c r="A56" s="1650"/>
      <c r="B56" s="2232" t="s">
        <v>2302</v>
      </c>
      <c r="C56" s="53">
        <f ca="1">C29</f>
        <v>11448</v>
      </c>
      <c r="D56" s="2665"/>
      <c r="E56" s="786"/>
      <c r="F56" s="811"/>
      <c r="I56" s="2404" t="s">
        <v>2357</v>
      </c>
      <c r="J56" s="3152" t="s">
        <v>1679</v>
      </c>
      <c r="K56" s="2384" t="s">
        <v>2362</v>
      </c>
      <c r="L56" s="2393" t="str">
        <f ca="1">IF(L48&lt;J51,"——",L48-J51)</f>
        <v>——</v>
      </c>
      <c r="O56" s="2420" t="s">
        <v>2375</v>
      </c>
      <c r="P56" s="2421" t="s">
        <v>2376</v>
      </c>
      <c r="Q56" s="2422" t="s">
        <v>2377</v>
      </c>
      <c r="R56" s="2421" t="s">
        <v>2378</v>
      </c>
    </row>
    <row r="57" spans="1:18" s="2060" customFormat="1" ht="28.5" customHeight="1" thickBot="1">
      <c r="A57" s="799" t="s">
        <v>1749</v>
      </c>
      <c r="B57" s="800" t="s">
        <v>652</v>
      </c>
      <c r="C57" s="801">
        <f ca="1">ROUND(C58+C63+C64+C65,0)</f>
        <v>322</v>
      </c>
      <c r="D57" s="26" t="s">
        <v>1751</v>
      </c>
      <c r="E57" s="2666"/>
      <c r="F57" s="56"/>
      <c r="I57" s="2405" t="s">
        <v>2358</v>
      </c>
      <c r="J57" s="2407" t="str">
        <f ca="1">IF(OR(M47="住宅",J51&lt;L48,J56="是"),"——",J51-L48)</f>
        <v>——</v>
      </c>
      <c r="K57" s="2384" t="s">
        <v>2363</v>
      </c>
      <c r="L57" s="2393" t="str">
        <f ca="1">IF(L48&lt;J51,"——",IF(L55="比较法",L49,IF(L55="基准地价",L50,L51)))</f>
        <v>——</v>
      </c>
      <c r="O57" s="2423" t="s">
        <v>2379</v>
      </c>
      <c r="P57" s="2424" t="s">
        <v>2409</v>
      </c>
      <c r="Q57" s="2425">
        <f ca="1">C40+J29</f>
        <v>20452</v>
      </c>
      <c r="R57" s="2424" t="s">
        <v>2380</v>
      </c>
    </row>
    <row r="58" spans="1:18" s="2060" customFormat="1" ht="28.5" customHeight="1" thickBot="1">
      <c r="A58" s="1649" t="s">
        <v>1825</v>
      </c>
      <c r="B58" s="786" t="s">
        <v>657</v>
      </c>
      <c r="C58" s="53">
        <f ca="1">ROUND(IF(项目基本情况!B11="自然人",C47*F58,C59+C60+C61),1)</f>
        <v>132.80000000000001</v>
      </c>
      <c r="D58" s="2664" t="s">
        <v>658</v>
      </c>
      <c r="E58" s="2665" t="s">
        <v>691</v>
      </c>
      <c r="F58" s="812" t="str">
        <f ca="1">IF(项目基本情况!B11="企业","",IF(INDIRECT("'数据-取费表'!c"&amp;$G$1)="住宅",5%,IF(F48*F49*F50/12/(1+'数据-取费表'!C42)&gt;20000,12%,7%)))</f>
        <v/>
      </c>
      <c r="I58" s="2405" t="s">
        <v>2359</v>
      </c>
      <c r="J58" s="3130" t="e">
        <f ca="1">IF(J55&lt;0.4,0.4,J55)</f>
        <v>#VALUE!</v>
      </c>
      <c r="K58" s="2384" t="s">
        <v>2364</v>
      </c>
      <c r="L58" s="2393" t="e">
        <f ca="1">ROUND(POWER(1+L52,L47-L48)*(POWER(1+L52,L48)-1)/(POWER(1+L52,L47)-1),4)</f>
        <v>#DIV/0!</v>
      </c>
      <c r="O58" s="2423" t="s">
        <v>2381</v>
      </c>
      <c r="P58" s="2424" t="s">
        <v>2412</v>
      </c>
      <c r="Q58" s="2425">
        <f ca="1">L60</f>
        <v>0</v>
      </c>
      <c r="R58" s="2428" t="s">
        <v>2414</v>
      </c>
    </row>
    <row r="59" spans="1:18" s="2060" customFormat="1" ht="28.5" customHeight="1" thickBot="1">
      <c r="A59" s="1648" t="s">
        <v>1832</v>
      </c>
      <c r="B59" s="786" t="s">
        <v>661</v>
      </c>
      <c r="C59" s="53">
        <f ca="1">ROUND(C47*F59/1.05,1)</f>
        <v>0</v>
      </c>
      <c r="D59" s="2665" t="s">
        <v>1757</v>
      </c>
      <c r="E59" s="786" t="s">
        <v>1748</v>
      </c>
      <c r="F59" s="811">
        <f t="shared" ref="F59:F65" si="0">F32</f>
        <v>5.6000000000000001E-2</v>
      </c>
      <c r="I59" s="2405" t="s">
        <v>2360</v>
      </c>
      <c r="J59" s="2407"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2383</v>
      </c>
      <c r="P59" s="2424" t="s">
        <v>2413</v>
      </c>
      <c r="Q59" s="2425">
        <f>IF(L55="比较法",L49,IF(L55="基准地价",L50,0))</f>
        <v>0</v>
      </c>
      <c r="R59" s="2424" t="s">
        <v>2380</v>
      </c>
    </row>
    <row r="60" spans="1:18" s="2060" customFormat="1" ht="18" customHeight="1" thickBot="1">
      <c r="A60" s="1648" t="s">
        <v>1833</v>
      </c>
      <c r="B60" s="786" t="s">
        <v>1759</v>
      </c>
      <c r="C60" s="53">
        <f ca="1">IF(D60="按租金收入计税",ROUND(C47*F60,1),IF(D60="按房产原值计税",ROUND(C56*F60*0.7,1),INDIRECT("'数据-取费表'!Aj"&amp;$G$1)))</f>
        <v>96.2</v>
      </c>
      <c r="D60" s="2665" t="str">
        <f>D33</f>
        <v>按房产原值计税</v>
      </c>
      <c r="E60" s="786" t="s">
        <v>1748</v>
      </c>
      <c r="F60" s="811">
        <f t="shared" si="0"/>
        <v>1.2E-2</v>
      </c>
      <c r="I60" s="2406" t="s">
        <v>2361</v>
      </c>
      <c r="J60" s="2408" t="str">
        <f ca="1">IF(OR(M47="住宅",J51&lt;L48,J56="是"),"0",ROUND(J59/(1+J52)^J53,0))</f>
        <v>0</v>
      </c>
      <c r="K60" s="2409" t="s">
        <v>2366</v>
      </c>
      <c r="L60" s="2408">
        <f ca="1">IF(OR(M47="住宅",L48&lt;J51),0,ROUND(L57*(L58/L59-1),0))</f>
        <v>0</v>
      </c>
      <c r="O60" s="2426" t="s">
        <v>2384</v>
      </c>
      <c r="P60" s="2424" t="s">
        <v>2393</v>
      </c>
      <c r="Q60" s="2427">
        <f>L52</f>
        <v>0</v>
      </c>
      <c r="R60" s="2428"/>
    </row>
    <row r="61" spans="1:18" s="2060" customFormat="1" ht="18" customHeight="1" thickBot="1">
      <c r="A61" s="1651" t="s">
        <v>1834</v>
      </c>
      <c r="B61" s="344" t="s">
        <v>669</v>
      </c>
      <c r="C61" s="54">
        <f ca="1">ROUND(F61*F62/10000,1)</f>
        <v>36.6</v>
      </c>
      <c r="D61" s="816" t="s">
        <v>670</v>
      </c>
      <c r="E61" s="786" t="s">
        <v>671</v>
      </c>
      <c r="F61" s="642">
        <f t="shared" si="0"/>
        <v>24</v>
      </c>
      <c r="K61" s="2087"/>
      <c r="O61" s="2426" t="s">
        <v>2386</v>
      </c>
      <c r="P61" s="2424" t="s">
        <v>2394</v>
      </c>
      <c r="Q61" s="2425" t="e">
        <f ca="1">L58</f>
        <v>#DIV/0!</v>
      </c>
      <c r="R61" s="2428" t="s">
        <v>2395</v>
      </c>
    </row>
    <row r="62" spans="1:18" s="2060" customFormat="1" ht="15.75" thickBot="1">
      <c r="A62" s="817"/>
      <c r="B62" s="795"/>
      <c r="C62" s="69"/>
      <c r="D62" s="818"/>
      <c r="E62" s="786" t="s">
        <v>675</v>
      </c>
      <c r="F62" s="787">
        <f t="shared" ca="1" si="0"/>
        <v>15248.4</v>
      </c>
      <c r="I62" s="2410" t="s">
        <v>2367</v>
      </c>
      <c r="J62" s="2411" t="s">
        <v>2368</v>
      </c>
      <c r="K62" s="2411" t="s">
        <v>2369</v>
      </c>
      <c r="L62" s="2411" t="s">
        <v>2350</v>
      </c>
      <c r="M62" s="3131" t="s">
        <v>2939</v>
      </c>
      <c r="O62" s="2426" t="s">
        <v>2388</v>
      </c>
      <c r="P62" s="2424" t="str">
        <f>K59</f>
        <v>建设期及建筑物耐用年限下的土地年期修正系数Kn</v>
      </c>
      <c r="Q62" s="2425" t="e">
        <f ca="1">L59</f>
        <v>#DIV/0!</v>
      </c>
      <c r="R62" s="2428" t="s">
        <v>2397</v>
      </c>
    </row>
    <row r="63" spans="1:18" s="2060" customFormat="1" ht="15.75" thickBot="1">
      <c r="A63" s="1649" t="s">
        <v>1890</v>
      </c>
      <c r="B63" s="786" t="s">
        <v>677</v>
      </c>
      <c r="C63" s="53">
        <f ca="1">ROUND(C56*F63,1)</f>
        <v>171.7</v>
      </c>
      <c r="D63" s="2665" t="s">
        <v>1804</v>
      </c>
      <c r="E63" s="786" t="s">
        <v>1748</v>
      </c>
      <c r="F63" s="819">
        <f t="shared" ca="1" si="0"/>
        <v>1.4999999999999999E-2</v>
      </c>
      <c r="I63" s="2410" t="s">
        <v>2370</v>
      </c>
      <c r="J63" s="2411">
        <v>70</v>
      </c>
      <c r="K63" s="2411">
        <v>50</v>
      </c>
      <c r="L63" s="2411">
        <v>80</v>
      </c>
      <c r="M63" s="3132">
        <v>0.02</v>
      </c>
      <c r="O63" s="2423" t="s">
        <v>2391</v>
      </c>
      <c r="P63" s="2424" t="s">
        <v>2408</v>
      </c>
      <c r="Q63" s="2425">
        <f ca="1">Q57+Q58</f>
        <v>20452</v>
      </c>
      <c r="R63" s="2428" t="s">
        <v>2392</v>
      </c>
    </row>
    <row r="64" spans="1:18" s="2060" customFormat="1" ht="16.5" thickBot="1">
      <c r="A64" s="1649" t="s">
        <v>1891</v>
      </c>
      <c r="B64" s="786" t="s">
        <v>680</v>
      </c>
      <c r="C64" s="53">
        <f ca="1">ROUND(C55*F64,1)</f>
        <v>17.2</v>
      </c>
      <c r="D64" s="2665" t="s">
        <v>681</v>
      </c>
      <c r="E64" s="786" t="s">
        <v>1748</v>
      </c>
      <c r="F64" s="820">
        <f t="shared" ca="1" si="0"/>
        <v>1.5E-3</v>
      </c>
      <c r="I64" s="2410" t="s">
        <v>2371</v>
      </c>
      <c r="J64" s="2411">
        <v>50</v>
      </c>
      <c r="K64" s="2411">
        <v>35</v>
      </c>
      <c r="L64" s="2411">
        <v>60</v>
      </c>
      <c r="M64" s="3133">
        <v>0</v>
      </c>
      <c r="O64" s="2429" t="s">
        <v>2415</v>
      </c>
      <c r="P64" s="1592"/>
      <c r="Q64" s="1604"/>
      <c r="R64" s="1592"/>
    </row>
    <row r="65" spans="1:18" s="2060" customFormat="1" ht="15.75" thickBot="1">
      <c r="A65" s="1649" t="s">
        <v>1892</v>
      </c>
      <c r="B65" s="786" t="s">
        <v>667</v>
      </c>
      <c r="C65" s="53">
        <f ca="1">ROUND(C47*F65,1)</f>
        <v>0</v>
      </c>
      <c r="D65" s="2665" t="s">
        <v>684</v>
      </c>
      <c r="E65" s="786" t="s">
        <v>1748</v>
      </c>
      <c r="F65" s="796">
        <f t="shared" ca="1" si="0"/>
        <v>0.01</v>
      </c>
      <c r="I65" s="2410" t="s">
        <v>2372</v>
      </c>
      <c r="J65" s="2411">
        <v>40</v>
      </c>
      <c r="K65" s="2411">
        <v>30</v>
      </c>
      <c r="L65" s="2411">
        <v>50</v>
      </c>
      <c r="M65" s="3132">
        <v>0.02</v>
      </c>
      <c r="O65" s="2420" t="s">
        <v>2375</v>
      </c>
      <c r="P65" s="2421" t="s">
        <v>2376</v>
      </c>
      <c r="Q65" s="2422" t="s">
        <v>2377</v>
      </c>
      <c r="R65" s="2421" t="s">
        <v>2378</v>
      </c>
    </row>
    <row r="66" spans="1:18" s="2060" customFormat="1" ht="24.75" thickBot="1">
      <c r="A66" s="799" t="s">
        <v>1777</v>
      </c>
      <c r="B66" s="3038" t="s">
        <v>2825</v>
      </c>
      <c r="C66" s="801">
        <f ca="1">C47-C57</f>
        <v>-322</v>
      </c>
      <c r="D66" s="2664" t="s">
        <v>701</v>
      </c>
      <c r="E66" s="2663"/>
      <c r="F66" s="822"/>
      <c r="K66" s="2087"/>
      <c r="O66" s="2423" t="s">
        <v>2379</v>
      </c>
      <c r="P66" s="2424" t="s">
        <v>2409</v>
      </c>
      <c r="Q66" s="2425">
        <f ca="1">C40+J29</f>
        <v>20452</v>
      </c>
      <c r="R66" s="2424" t="s">
        <v>2380</v>
      </c>
    </row>
    <row r="67" spans="1:18" s="2060" customFormat="1" ht="20.25" thickBot="1">
      <c r="A67" s="783" t="s">
        <v>1781</v>
      </c>
      <c r="B67" s="2233" t="s">
        <v>2301</v>
      </c>
      <c r="C67" s="785">
        <f ca="1">ROUND(C66*(1-((1+F69)/(1+F67))^F68)/(F67-F69),0)</f>
        <v>-4533</v>
      </c>
      <c r="D67" s="816" t="s">
        <v>705</v>
      </c>
      <c r="E67" s="786" t="s">
        <v>706</v>
      </c>
      <c r="F67" s="796">
        <f ca="1">F40</f>
        <v>0.06</v>
      </c>
      <c r="K67" s="2087"/>
      <c r="O67" s="2423" t="s">
        <v>2381</v>
      </c>
      <c r="P67" s="2424" t="s">
        <v>2412</v>
      </c>
      <c r="Q67" s="2425">
        <f ca="1">L60</f>
        <v>0</v>
      </c>
      <c r="R67" s="2428" t="s">
        <v>2414</v>
      </c>
    </row>
    <row r="68" spans="1:18" ht="21.75" thickBot="1">
      <c r="A68" s="788"/>
      <c r="B68" s="789"/>
      <c r="C68" s="790"/>
      <c r="D68" s="823" t="s">
        <v>1809</v>
      </c>
      <c r="E68" s="786" t="s">
        <v>1785</v>
      </c>
      <c r="F68" s="824">
        <f ca="1">F41</f>
        <v>31.950000000000003</v>
      </c>
      <c r="O68" s="2426" t="s">
        <v>2383</v>
      </c>
      <c r="P68" s="2424" t="s">
        <v>2413</v>
      </c>
      <c r="Q68" s="2430">
        <f ca="1">L51</f>
        <v>2847</v>
      </c>
      <c r="R68" s="2431" t="s">
        <v>2416</v>
      </c>
    </row>
    <row r="69" spans="1:18" ht="20.25" thickBot="1">
      <c r="A69" s="792"/>
      <c r="B69" s="793"/>
      <c r="C69" s="794"/>
      <c r="D69" s="818"/>
      <c r="E69" s="786" t="s">
        <v>711</v>
      </c>
      <c r="F69" s="2372"/>
      <c r="O69" s="2426" t="s">
        <v>2384</v>
      </c>
      <c r="P69" s="2432" t="s">
        <v>2398</v>
      </c>
      <c r="Q69" s="2425">
        <f ca="1">ROUND(Q70-Q71*Q72,0)</f>
        <v>172</v>
      </c>
      <c r="R69" s="2428"/>
    </row>
    <row r="70" spans="1:18" ht="15.75" thickBot="1">
      <c r="A70" s="825" t="s">
        <v>1788</v>
      </c>
      <c r="B70" s="826" t="s">
        <v>1811</v>
      </c>
      <c r="C70" s="827">
        <f ca="1">ROUND(C67*10000/F70,0)</f>
        <v>-1982</v>
      </c>
      <c r="D70" s="828" t="s">
        <v>1812</v>
      </c>
      <c r="E70" s="829" t="s">
        <v>1813</v>
      </c>
      <c r="F70" s="830">
        <f ca="1">F43</f>
        <v>22872.600000000002</v>
      </c>
      <c r="O70" s="2426" t="s">
        <v>2399</v>
      </c>
      <c r="P70" s="2432" t="s">
        <v>2400</v>
      </c>
      <c r="Q70" s="2425">
        <f ca="1">C39</f>
        <v>1088</v>
      </c>
      <c r="R70" s="2424" t="s">
        <v>2380</v>
      </c>
    </row>
    <row r="71" spans="1:18" ht="15.75" thickBot="1">
      <c r="O71" s="2426" t="s">
        <v>2401</v>
      </c>
      <c r="P71" s="2432" t="s">
        <v>2402</v>
      </c>
      <c r="Q71" s="2425">
        <f ca="1">C13</f>
        <v>11448</v>
      </c>
      <c r="R71" s="2424" t="s">
        <v>2380</v>
      </c>
    </row>
    <row r="72" spans="1:18" ht="15.75" thickBot="1">
      <c r="O72" s="2426" t="s">
        <v>2403</v>
      </c>
      <c r="P72" s="2432" t="s">
        <v>2404</v>
      </c>
      <c r="Q72" s="2427">
        <f ca="1">J36</f>
        <v>0.08</v>
      </c>
      <c r="R72" s="2428"/>
    </row>
    <row r="73" spans="1:18" ht="15.75" thickBot="1">
      <c r="O73" s="2426" t="s">
        <v>2386</v>
      </c>
      <c r="P73" s="2424" t="s">
        <v>2393</v>
      </c>
      <c r="Q73" s="2427">
        <f>L52</f>
        <v>0</v>
      </c>
      <c r="R73" s="2428"/>
    </row>
    <row r="74" spans="1:18" ht="20.25" thickBot="1">
      <c r="O74" s="2426" t="s">
        <v>2388</v>
      </c>
      <c r="P74" s="2424" t="s">
        <v>2394</v>
      </c>
      <c r="Q74" s="2425" t="e">
        <f ca="1">L58</f>
        <v>#DIV/0!</v>
      </c>
      <c r="R74" s="2428" t="s">
        <v>2395</v>
      </c>
    </row>
    <row r="75" spans="1:18" ht="15.75" thickBot="1">
      <c r="O75" s="2426" t="s">
        <v>2417</v>
      </c>
      <c r="P75" s="2424" t="str">
        <f>K59</f>
        <v>建设期及建筑物耐用年限下的土地年期修正系数Kn</v>
      </c>
      <c r="Q75" s="2425" t="e">
        <f ca="1">L59</f>
        <v>#DIV/0!</v>
      </c>
      <c r="R75" s="2428" t="s">
        <v>2397</v>
      </c>
    </row>
    <row r="76" spans="1:18" ht="15.75" thickBot="1">
      <c r="O76" s="2423" t="s">
        <v>2391</v>
      </c>
      <c r="P76" s="2424" t="s">
        <v>2408</v>
      </c>
      <c r="Q76" s="2425">
        <f ca="1">Q66+Q67</f>
        <v>20452</v>
      </c>
      <c r="R76" s="242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6" sqref="E36:G36"/>
    </sheetView>
  </sheetViews>
  <sheetFormatPr defaultRowHeight="13.5"/>
  <cols>
    <col min="1" max="1" width="10.5" customWidth="1"/>
    <col min="2" max="2" width="12.875" customWidth="1"/>
    <col min="3" max="3" width="8.75" customWidth="1"/>
  </cols>
  <sheetData>
    <row r="1" spans="1:9" ht="14.25">
      <c r="A1" s="3612" t="s">
        <v>2473</v>
      </c>
      <c r="B1" s="3613"/>
      <c r="C1" s="3614"/>
      <c r="D1" s="3615">
        <f>SUM(I10,I15,I20,I21,I23)</f>
        <v>0</v>
      </c>
      <c r="E1" s="3615"/>
      <c r="F1" s="3615"/>
      <c r="G1" s="3615"/>
      <c r="H1" s="3615"/>
      <c r="I1" s="3616"/>
    </row>
    <row r="2" spans="1:9">
      <c r="A2" s="3602" t="s">
        <v>2474</v>
      </c>
      <c r="B2" s="3603" t="s">
        <v>2475</v>
      </c>
      <c r="C2" s="3603"/>
      <c r="D2" s="2532" t="s">
        <v>2476</v>
      </c>
      <c r="E2" s="2532" t="s">
        <v>2477</v>
      </c>
      <c r="F2" s="2532" t="s">
        <v>2478</v>
      </c>
      <c r="G2" s="2532" t="s">
        <v>2479</v>
      </c>
      <c r="H2" s="2532" t="s">
        <v>2480</v>
      </c>
      <c r="I2" s="2533" t="s">
        <v>2481</v>
      </c>
    </row>
    <row r="3" spans="1:9">
      <c r="A3" s="3602"/>
      <c r="B3" s="3603" t="s">
        <v>2482</v>
      </c>
      <c r="C3" s="3603"/>
      <c r="D3" s="2534"/>
      <c r="E3" s="2532"/>
      <c r="F3" s="2535"/>
      <c r="G3" s="2535"/>
      <c r="H3" s="2536"/>
      <c r="I3" s="2537">
        <f>ROUND(D3*E3*F3*G3*H3/10000,0)</f>
        <v>0</v>
      </c>
    </row>
    <row r="4" spans="1:9">
      <c r="A4" s="3602"/>
      <c r="B4" s="3603" t="s">
        <v>2483</v>
      </c>
      <c r="C4" s="3603"/>
      <c r="D4" s="2534"/>
      <c r="E4" s="2532"/>
      <c r="F4" s="2535"/>
      <c r="G4" s="2535"/>
      <c r="H4" s="2536"/>
      <c r="I4" s="2537">
        <f t="shared" ref="I4:I9" si="0">ROUND(D4*E4*F4*G4*H4/10000,0)</f>
        <v>0</v>
      </c>
    </row>
    <row r="5" spans="1:9">
      <c r="A5" s="3602"/>
      <c r="B5" s="3603" t="s">
        <v>2484</v>
      </c>
      <c r="C5" s="3603"/>
      <c r="D5" s="2534"/>
      <c r="E5" s="2532"/>
      <c r="F5" s="2535"/>
      <c r="G5" s="2535"/>
      <c r="H5" s="2536"/>
      <c r="I5" s="2537">
        <f t="shared" si="0"/>
        <v>0</v>
      </c>
    </row>
    <row r="6" spans="1:9">
      <c r="A6" s="3602"/>
      <c r="B6" s="3603" t="s">
        <v>2485</v>
      </c>
      <c r="C6" s="3603"/>
      <c r="D6" s="2534"/>
      <c r="E6" s="2532"/>
      <c r="F6" s="2535"/>
      <c r="G6" s="2535"/>
      <c r="H6" s="2536"/>
      <c r="I6" s="2537">
        <f t="shared" si="0"/>
        <v>0</v>
      </c>
    </row>
    <row r="7" spans="1:9">
      <c r="A7" s="3602"/>
      <c r="B7" s="3603" t="s">
        <v>2486</v>
      </c>
      <c r="C7" s="3603"/>
      <c r="D7" s="2534"/>
      <c r="E7" s="2532"/>
      <c r="F7" s="2535"/>
      <c r="G7" s="2535"/>
      <c r="H7" s="2536"/>
      <c r="I7" s="2537">
        <f t="shared" si="0"/>
        <v>0</v>
      </c>
    </row>
    <row r="8" spans="1:9">
      <c r="A8" s="3602"/>
      <c r="B8" s="3603" t="s">
        <v>2487</v>
      </c>
      <c r="C8" s="3603"/>
      <c r="D8" s="2534"/>
      <c r="E8" s="2532"/>
      <c r="F8" s="2535"/>
      <c r="G8" s="2535"/>
      <c r="H8" s="2536"/>
      <c r="I8" s="2537">
        <f t="shared" si="0"/>
        <v>0</v>
      </c>
    </row>
    <row r="9" spans="1:9">
      <c r="A9" s="3602"/>
      <c r="B9" s="3603" t="s">
        <v>2488</v>
      </c>
      <c r="C9" s="3603"/>
      <c r="D9" s="2534"/>
      <c r="E9" s="2532"/>
      <c r="F9" s="2535"/>
      <c r="G9" s="2535"/>
      <c r="H9" s="2536"/>
      <c r="I9" s="2537">
        <f t="shared" si="0"/>
        <v>0</v>
      </c>
    </row>
    <row r="10" spans="1:9">
      <c r="A10" s="3602"/>
      <c r="B10" s="3604" t="s">
        <v>2489</v>
      </c>
      <c r="C10" s="3604"/>
      <c r="D10" s="2538">
        <v>527</v>
      </c>
      <c r="E10" s="2538" t="e">
        <f>ROUND(D1*10000/D10/H9,0)</f>
        <v>#DIV/0!</v>
      </c>
      <c r="F10" s="2539"/>
      <c r="G10" s="2539"/>
      <c r="H10" s="2540"/>
      <c r="I10" s="2541">
        <f>SUM(I3:I9)</f>
        <v>0</v>
      </c>
    </row>
    <row r="11" spans="1:9" ht="14.25">
      <c r="A11" s="3602" t="s">
        <v>2490</v>
      </c>
      <c r="B11" s="3603" t="s">
        <v>2491</v>
      </c>
      <c r="C11" s="3603"/>
      <c r="D11" s="2534" t="s">
        <v>2492</v>
      </c>
      <c r="E11" s="2534" t="s">
        <v>2493</v>
      </c>
      <c r="F11" s="2535" t="s">
        <v>2494</v>
      </c>
      <c r="G11" s="2535" t="s">
        <v>2495</v>
      </c>
      <c r="H11" s="2542" t="s">
        <v>2496</v>
      </c>
      <c r="I11" s="2533" t="s">
        <v>2497</v>
      </c>
    </row>
    <row r="12" spans="1:9">
      <c r="A12" s="3602"/>
      <c r="B12" s="3603" t="s">
        <v>2498</v>
      </c>
      <c r="C12" s="3603"/>
      <c r="D12" s="2534"/>
      <c r="E12" s="2534"/>
      <c r="F12" s="2535"/>
      <c r="G12" s="2536"/>
      <c r="H12" s="2543"/>
      <c r="I12" s="2533">
        <f>ROUND(D12*E12*F12*G12/10000,0)</f>
        <v>0</v>
      </c>
    </row>
    <row r="13" spans="1:9">
      <c r="A13" s="3602"/>
      <c r="B13" s="3603" t="s">
        <v>2499</v>
      </c>
      <c r="C13" s="3603"/>
      <c r="D13" s="2534"/>
      <c r="E13" s="2534"/>
      <c r="F13" s="2535"/>
      <c r="G13" s="2536"/>
      <c r="H13" s="2543"/>
      <c r="I13" s="2533">
        <f>ROUND(D13*E13*F13*G13/10000,0)</f>
        <v>0</v>
      </c>
    </row>
    <row r="14" spans="1:9">
      <c r="A14" s="3602"/>
      <c r="B14" s="3603" t="s">
        <v>2500</v>
      </c>
      <c r="C14" s="3603"/>
      <c r="D14" s="2534"/>
      <c r="E14" s="2534"/>
      <c r="F14" s="2535"/>
      <c r="G14" s="2536"/>
      <c r="H14" s="2543"/>
      <c r="I14" s="2533">
        <f>ROUND(D14*E14*F14*G14/10000,0)</f>
        <v>0</v>
      </c>
    </row>
    <row r="15" spans="1:9">
      <c r="A15" s="3602"/>
      <c r="B15" s="3604" t="s">
        <v>2489</v>
      </c>
      <c r="C15" s="3604"/>
      <c r="D15" s="2538"/>
      <c r="E15" s="2538">
        <f>SUM(E12:E14)</f>
        <v>0</v>
      </c>
      <c r="F15" s="2539"/>
      <c r="G15" s="2536"/>
      <c r="H15" s="2543"/>
      <c r="I15" s="2544">
        <f>SUM(I12:I14)</f>
        <v>0</v>
      </c>
    </row>
    <row r="16" spans="1:9" ht="24">
      <c r="A16" s="3602" t="s">
        <v>2501</v>
      </c>
      <c r="B16" s="3603" t="s">
        <v>2502</v>
      </c>
      <c r="C16" s="3603"/>
      <c r="D16" s="2534" t="s">
        <v>2503</v>
      </c>
      <c r="E16" s="2545" t="s">
        <v>2504</v>
      </c>
      <c r="F16" s="2535" t="s">
        <v>2505</v>
      </c>
      <c r="G16" s="2536" t="s">
        <v>2495</v>
      </c>
      <c r="H16" s="2542" t="s">
        <v>2496</v>
      </c>
      <c r="I16" s="2533" t="s">
        <v>2497</v>
      </c>
    </row>
    <row r="17" spans="1:9" ht="14.25">
      <c r="A17" s="3602"/>
      <c r="B17" s="3603" t="s">
        <v>2506</v>
      </c>
      <c r="C17" s="3603"/>
      <c r="D17" s="2534"/>
      <c r="E17" s="2534"/>
      <c r="F17" s="2535"/>
      <c r="G17" s="2536"/>
      <c r="H17" s="2546"/>
      <c r="I17" s="2547">
        <f>ROUND(D17*E17*F17*G17/10000,0)</f>
        <v>0</v>
      </c>
    </row>
    <row r="18" spans="1:9" ht="14.25">
      <c r="A18" s="3602"/>
      <c r="B18" s="3603" t="s">
        <v>2507</v>
      </c>
      <c r="C18" s="3603"/>
      <c r="D18" s="2534"/>
      <c r="E18" s="2534"/>
      <c r="F18" s="2535"/>
      <c r="G18" s="2536"/>
      <c r="H18" s="2546"/>
      <c r="I18" s="2547">
        <f>ROUND(D18*E18*F18*G18/10000,0)</f>
        <v>0</v>
      </c>
    </row>
    <row r="19" spans="1:9" ht="14.25">
      <c r="A19" s="3602"/>
      <c r="B19" s="3603" t="s">
        <v>2508</v>
      </c>
      <c r="C19" s="3603"/>
      <c r="D19" s="2534"/>
      <c r="E19" s="2534"/>
      <c r="F19" s="2535"/>
      <c r="G19" s="2536"/>
      <c r="H19" s="2546"/>
      <c r="I19" s="2547">
        <f>ROUND(D19*E19*F19*G19/10000,0)</f>
        <v>0</v>
      </c>
    </row>
    <row r="20" spans="1:9">
      <c r="A20" s="3602"/>
      <c r="B20" s="3604" t="s">
        <v>2489</v>
      </c>
      <c r="C20" s="3604"/>
      <c r="D20" s="2538">
        <f>SUM(D17:D19)</f>
        <v>0</v>
      </c>
      <c r="E20" s="2538"/>
      <c r="F20" s="2539"/>
      <c r="G20" s="2536"/>
      <c r="H20" s="2543"/>
      <c r="I20" s="2544">
        <f>SUM(I17:I19)</f>
        <v>0</v>
      </c>
    </row>
    <row r="21" spans="1:9">
      <c r="A21" s="3602" t="s">
        <v>2509</v>
      </c>
      <c r="B21" s="3605"/>
      <c r="C21" s="3605"/>
      <c r="D21" s="3605"/>
      <c r="E21" s="3605"/>
      <c r="F21" s="3605"/>
      <c r="G21" s="3605"/>
      <c r="H21" s="2548">
        <v>0.1</v>
      </c>
      <c r="I21" s="2541">
        <f>ROUND(I10*H21,0)</f>
        <v>0</v>
      </c>
    </row>
    <row r="22" spans="1:9" ht="14.25">
      <c r="A22" s="3606" t="s">
        <v>2510</v>
      </c>
      <c r="B22" s="3607"/>
      <c r="C22" s="3608"/>
      <c r="D22" s="2549" t="s">
        <v>2511</v>
      </c>
      <c r="E22" s="2549" t="s">
        <v>2512</v>
      </c>
      <c r="F22" s="2550" t="s">
        <v>2513</v>
      </c>
      <c r="G22" s="2550" t="s">
        <v>2514</v>
      </c>
      <c r="H22" s="2542" t="s">
        <v>2515</v>
      </c>
      <c r="I22" s="2533" t="s">
        <v>2516</v>
      </c>
    </row>
    <row r="23" spans="1:9" ht="14.25" thickBot="1">
      <c r="A23" s="3609"/>
      <c r="B23" s="3610"/>
      <c r="C23" s="3611"/>
      <c r="D23" s="2551"/>
      <c r="E23" s="2551"/>
      <c r="F23" s="2551"/>
      <c r="G23" s="2552"/>
      <c r="H23" s="2553"/>
      <c r="I23" s="2554">
        <f>ROUND(E23*D23*F23*(1-G23)/10000,0)</f>
        <v>0</v>
      </c>
    </row>
    <row r="26" spans="1:9">
      <c r="A26" s="2555" t="s">
        <v>2517</v>
      </c>
      <c r="B26" s="2555"/>
      <c r="C26" s="2555"/>
      <c r="D26" s="2555"/>
      <c r="E26" s="3599">
        <f>C27-C30-C31-C32</f>
        <v>0</v>
      </c>
      <c r="F26" s="3599"/>
      <c r="G26" s="3599"/>
      <c r="H26" s="3071" t="s">
        <v>2846</v>
      </c>
    </row>
    <row r="27" spans="1:9">
      <c r="A27" s="2556">
        <v>1</v>
      </c>
      <c r="B27" s="2557" t="s">
        <v>2518</v>
      </c>
      <c r="C27" s="2557"/>
      <c r="D27" s="2557"/>
      <c r="E27" s="3600"/>
      <c r="F27" s="3600"/>
      <c r="G27" s="3600"/>
    </row>
    <row r="28" spans="1:9">
      <c r="A28" s="2558" t="s">
        <v>2519</v>
      </c>
      <c r="B28" s="2557" t="s">
        <v>2520</v>
      </c>
      <c r="C28" s="2557"/>
      <c r="D28" s="2557"/>
      <c r="E28" s="3600"/>
      <c r="F28" s="3600"/>
      <c r="G28" s="3600"/>
    </row>
    <row r="29" spans="1:9">
      <c r="A29" s="2558" t="s">
        <v>2521</v>
      </c>
      <c r="B29" s="2557" t="s">
        <v>2461</v>
      </c>
      <c r="C29" s="2557"/>
      <c r="D29" s="2557"/>
      <c r="E29" s="2557" t="s">
        <v>2522</v>
      </c>
      <c r="F29" s="2557"/>
      <c r="G29" s="2557"/>
    </row>
    <row r="30" spans="1:9">
      <c r="A30" s="2556">
        <v>2</v>
      </c>
      <c r="B30" s="2557" t="s">
        <v>2523</v>
      </c>
      <c r="C30" s="2557">
        <f>C27*D30</f>
        <v>0</v>
      </c>
      <c r="D30" s="2559">
        <v>0.2</v>
      </c>
      <c r="E30" s="2557" t="s">
        <v>2524</v>
      </c>
      <c r="F30" s="2557"/>
      <c r="G30" s="2557"/>
    </row>
    <row r="31" spans="1:9">
      <c r="A31" s="2556">
        <v>3</v>
      </c>
      <c r="B31" s="2557" t="s">
        <v>2525</v>
      </c>
      <c r="C31" s="2557">
        <f>C25*D31</f>
        <v>0</v>
      </c>
      <c r="D31" s="2559">
        <v>0.15</v>
      </c>
      <c r="E31" s="2557" t="s">
        <v>2526</v>
      </c>
      <c r="F31" s="2557"/>
      <c r="G31" s="2557"/>
    </row>
    <row r="32" spans="1:9">
      <c r="A32" s="2556">
        <v>4</v>
      </c>
      <c r="B32" s="2557" t="s">
        <v>2527</v>
      </c>
      <c r="C32" s="2557">
        <f>C27*D32</f>
        <v>0</v>
      </c>
      <c r="D32" s="2559">
        <v>0.05</v>
      </c>
      <c r="E32" s="3601"/>
      <c r="F32" s="3601"/>
      <c r="G32" s="3601"/>
    </row>
    <row r="33" spans="1:7" hidden="1">
      <c r="A33" s="3596" t="s">
        <v>2528</v>
      </c>
      <c r="B33" s="3597"/>
      <c r="C33" s="3597"/>
      <c r="D33" s="3598"/>
      <c r="E33" s="3599"/>
      <c r="F33" s="3599"/>
      <c r="G33" s="3599"/>
    </row>
    <row r="34" spans="1:7" hidden="1">
      <c r="A34" s="2560">
        <v>1</v>
      </c>
      <c r="B34" s="2557" t="s">
        <v>2529</v>
      </c>
      <c r="C34" s="2557"/>
      <c r="D34" s="2557"/>
      <c r="E34" s="3600"/>
      <c r="F34" s="3600"/>
      <c r="G34" s="3600"/>
    </row>
    <row r="35" spans="1:7" hidden="1">
      <c r="A35" s="2560">
        <v>2</v>
      </c>
      <c r="B35" s="2557" t="s">
        <v>2530</v>
      </c>
      <c r="C35" s="2557"/>
      <c r="D35" s="2557"/>
      <c r="E35" s="3600"/>
      <c r="F35" s="3600"/>
      <c r="G35" s="3600"/>
    </row>
    <row r="36" spans="1:7" hidden="1">
      <c r="A36" s="2560">
        <v>3</v>
      </c>
      <c r="B36" s="2557" t="s">
        <v>2531</v>
      </c>
      <c r="C36" s="2557"/>
      <c r="D36" s="2557"/>
      <c r="E36" s="3600"/>
      <c r="F36" s="3600"/>
      <c r="G36" s="3600"/>
    </row>
    <row r="37" spans="1:7" hidden="1">
      <c r="A37" s="2560">
        <v>4</v>
      </c>
      <c r="B37" s="2557" t="s">
        <v>2532</v>
      </c>
      <c r="C37" s="2557"/>
      <c r="D37" s="2557"/>
      <c r="E37" s="3600"/>
      <c r="F37" s="3600"/>
      <c r="G37" s="3600"/>
    </row>
    <row r="38" spans="1:7" hidden="1">
      <c r="A38" s="3596" t="s">
        <v>2533</v>
      </c>
      <c r="B38" s="3597"/>
      <c r="C38" s="3597"/>
      <c r="D38" s="3598"/>
      <c r="E38" s="3599"/>
      <c r="F38" s="3599"/>
      <c r="G38" s="35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E36" sqref="E36:G3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4" t="s">
        <v>604</v>
      </c>
      <c r="B1" s="744"/>
      <c r="C1" s="2183"/>
      <c r="D1" s="2183"/>
      <c r="E1" s="2183"/>
      <c r="F1" s="2183"/>
      <c r="G1" s="2109"/>
    </row>
    <row r="2" spans="1:25" s="2060" customFormat="1" ht="18" customHeight="1">
      <c r="A2" s="426" t="s">
        <v>467</v>
      </c>
      <c r="B2" s="428">
        <f ca="1">C23</f>
        <v>0</v>
      </c>
      <c r="C2" s="2109"/>
      <c r="D2" s="2109"/>
      <c r="E2" s="2109"/>
      <c r="F2" s="2109"/>
      <c r="G2" s="2109"/>
    </row>
    <row r="3" spans="1:25" s="2060" customFormat="1" ht="18" customHeight="1">
      <c r="A3" s="1379" t="s">
        <v>1686</v>
      </c>
      <c r="B3" s="428">
        <f ca="1">ROUND(B2*10000/'数据-汇总表'!E3,0)</f>
        <v>0</v>
      </c>
      <c r="C3" s="2109"/>
      <c r="D3" s="2109"/>
      <c r="E3" s="2109"/>
      <c r="F3" s="2109"/>
      <c r="G3" s="2109"/>
    </row>
    <row r="4" spans="1:25" s="2060" customFormat="1" ht="18" customHeight="1">
      <c r="A4" s="429" t="s">
        <v>468</v>
      </c>
      <c r="B4" s="430">
        <f ca="1">ROUND(B2*10000/'数据-汇总表'!D3,0)</f>
        <v>0</v>
      </c>
      <c r="C4" s="2062"/>
      <c r="D4" s="2109"/>
      <c r="E4" s="2109"/>
      <c r="F4" s="2109"/>
      <c r="G4" s="2109"/>
    </row>
    <row r="5" spans="1:25" s="2060" customFormat="1" ht="18" customHeight="1" thickBot="1">
      <c r="A5" s="432"/>
      <c r="B5" s="433">
        <f ca="1">ROUND(B2/('数据-汇总表'!D3/666.67),0)</f>
        <v>0</v>
      </c>
      <c r="C5" s="434" t="s">
        <v>469</v>
      </c>
      <c r="D5" s="2109"/>
      <c r="E5" s="2109"/>
      <c r="F5" s="2109"/>
      <c r="G5" s="2109"/>
    </row>
    <row r="6" spans="1:25" s="2184" customFormat="1" ht="13.5" customHeight="1">
      <c r="A6" s="745"/>
      <c r="B6" s="746" t="s">
        <v>605</v>
      </c>
      <c r="C6" s="747" t="s">
        <v>606</v>
      </c>
      <c r="D6" s="747" t="s">
        <v>607</v>
      </c>
      <c r="E6" s="748" t="s">
        <v>608</v>
      </c>
      <c r="F6" s="748" t="s">
        <v>609</v>
      </c>
      <c r="G6" s="749"/>
    </row>
    <row r="7" spans="1:25" s="2184" customFormat="1" ht="13.5" customHeight="1">
      <c r="A7" s="2494">
        <v>1</v>
      </c>
      <c r="B7" s="750" t="s">
        <v>610</v>
      </c>
      <c r="C7" s="751">
        <f>C8+C9</f>
        <v>0</v>
      </c>
      <c r="D7" s="751"/>
      <c r="E7" s="752"/>
      <c r="F7" s="752"/>
      <c r="G7" s="2504"/>
    </row>
    <row r="8" spans="1:25" s="2184" customFormat="1" ht="13.5" customHeight="1">
      <c r="A8" s="2494" t="s">
        <v>2440</v>
      </c>
      <c r="B8" s="2497" t="s">
        <v>2442</v>
      </c>
      <c r="C8" s="2498"/>
      <c r="D8" s="751"/>
      <c r="E8" s="752"/>
      <c r="F8" s="752"/>
      <c r="G8" s="753"/>
    </row>
    <row r="9" spans="1:25" s="2184" customFormat="1" ht="13.5" customHeight="1">
      <c r="A9" s="2494" t="s">
        <v>2441</v>
      </c>
      <c r="B9" s="2497" t="s">
        <v>2443</v>
      </c>
      <c r="C9" s="2498"/>
      <c r="D9" s="751"/>
      <c r="E9" s="752"/>
      <c r="F9" s="752"/>
      <c r="G9" s="753"/>
    </row>
    <row r="10" spans="1:25" s="2184" customFormat="1" ht="36">
      <c r="A10" s="2494">
        <v>2</v>
      </c>
      <c r="B10" s="750" t="s">
        <v>614</v>
      </c>
      <c r="C10" s="751">
        <f>C11+C14+C15</f>
        <v>0</v>
      </c>
      <c r="D10" s="762">
        <f>'数据-汇总表'!E3</f>
        <v>114363</v>
      </c>
      <c r="E10" s="751">
        <f>'数据-取费表'!B31</f>
        <v>200</v>
      </c>
      <c r="F10" s="763"/>
      <c r="G10" s="761" t="s">
        <v>615</v>
      </c>
    </row>
    <row r="11" spans="1:25" s="2184" customFormat="1" ht="13.5" customHeight="1">
      <c r="A11" s="2494" t="s">
        <v>2440</v>
      </c>
      <c r="B11" s="754" t="s">
        <v>611</v>
      </c>
      <c r="C11" s="755">
        <f>'数据-取费表'!B29</f>
        <v>0</v>
      </c>
      <c r="D11" s="756"/>
      <c r="E11" s="755"/>
      <c r="F11" s="757"/>
      <c r="G11" s="2503" t="s">
        <v>2451</v>
      </c>
    </row>
    <row r="12" spans="1:25" s="2184" customFormat="1" ht="13.5" customHeight="1">
      <c r="A12" s="2501" t="s">
        <v>2448</v>
      </c>
      <c r="B12" s="758" t="s">
        <v>612</v>
      </c>
      <c r="C12" s="759">
        <f>ROUND(D12*E12/10000,0)</f>
        <v>137</v>
      </c>
      <c r="D12" s="760">
        <f>'数据-汇总表'!E5</f>
        <v>91490.4</v>
      </c>
      <c r="E12" s="759">
        <f>'数据-取费表'!B27</f>
        <v>15</v>
      </c>
      <c r="F12" s="757"/>
      <c r="G12" s="761"/>
    </row>
    <row r="13" spans="1:25" s="2184" customFormat="1" ht="13.5" customHeight="1">
      <c r="A13" s="2501" t="s">
        <v>2447</v>
      </c>
      <c r="B13" s="758" t="s">
        <v>613</v>
      </c>
      <c r="C13" s="759">
        <f>ROUND(D13*E13/10000,0)</f>
        <v>46</v>
      </c>
      <c r="D13" s="760">
        <f>'数据-汇总表'!E6</f>
        <v>22872.600000000006</v>
      </c>
      <c r="E13" s="759">
        <f>'数据-取费表'!B28</f>
        <v>20</v>
      </c>
      <c r="F13" s="757"/>
      <c r="G13" s="761"/>
    </row>
    <row r="14" spans="1:25" s="2184" customFormat="1" ht="13.5" customHeight="1">
      <c r="A14" s="2494" t="s">
        <v>2441</v>
      </c>
      <c r="B14" s="2500" t="s">
        <v>2444</v>
      </c>
      <c r="C14" s="2498"/>
      <c r="D14" s="760"/>
      <c r="E14" s="759"/>
      <c r="F14" s="2499"/>
      <c r="G14" s="2502" t="s">
        <v>2449</v>
      </c>
    </row>
    <row r="15" spans="1:25" s="2184" customFormat="1" ht="13.5" customHeight="1">
      <c r="A15" s="2494" t="s">
        <v>2446</v>
      </c>
      <c r="B15" s="2500" t="s">
        <v>2445</v>
      </c>
      <c r="C15" s="2498"/>
      <c r="D15" s="760"/>
      <c r="E15" s="759"/>
      <c r="F15" s="2499"/>
      <c r="G15" s="2502" t="s">
        <v>2450</v>
      </c>
    </row>
    <row r="16" spans="1:25" s="2185" customFormat="1" ht="48">
      <c r="A16" s="2494">
        <v>3</v>
      </c>
      <c r="B16" s="750" t="s">
        <v>616</v>
      </c>
      <c r="C16" s="2498"/>
      <c r="D16" s="762"/>
      <c r="E16" s="751"/>
      <c r="F16" s="763"/>
      <c r="G16" s="761" t="s">
        <v>2452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50" t="s">
        <v>617</v>
      </c>
      <c r="C17" s="2598">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50" t="s">
        <v>618</v>
      </c>
      <c r="C18" s="751">
        <f>ROUND((C7+C10+C16)*F18,0)</f>
        <v>0</v>
      </c>
      <c r="D18" s="764"/>
      <c r="E18" s="765"/>
      <c r="F18" s="763">
        <f>'数据-取费表'!Q16</f>
        <v>0.23</v>
      </c>
      <c r="G18" s="767"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50" t="s">
        <v>620</v>
      </c>
      <c r="C19" s="751">
        <f ca="1">C7+C10+C16+C17+C18</f>
        <v>0</v>
      </c>
      <c r="D19" s="762"/>
      <c r="E19" s="751"/>
      <c r="F19" s="763"/>
      <c r="G19" s="767"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50" t="s">
        <v>622</v>
      </c>
      <c r="C20" s="751">
        <f ca="1">ROUND(C19*F20,0)</f>
        <v>0</v>
      </c>
      <c r="D20" s="762"/>
      <c r="E20" s="751"/>
      <c r="F20" s="1349"/>
      <c r="G20" s="767"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50" t="s">
        <v>624</v>
      </c>
      <c r="C21" s="751">
        <f ca="1">C19+C20</f>
        <v>0</v>
      </c>
      <c r="D21" s="762"/>
      <c r="E21" s="751"/>
      <c r="F21" s="763"/>
      <c r="G21" s="767"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50" t="s">
        <v>626</v>
      </c>
      <c r="C22" s="751">
        <f ca="1">ROUND(C21*F22,0)</f>
        <v>0</v>
      </c>
      <c r="D22" s="762"/>
      <c r="E22" s="751"/>
      <c r="F22" s="768">
        <f>'数据-取费表'!AP16</f>
        <v>0.92100000000000004</v>
      </c>
      <c r="G22" s="767"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9" t="s">
        <v>628</v>
      </c>
      <c r="C23" s="770">
        <f ca="1">C22</f>
        <v>0</v>
      </c>
      <c r="D23" s="771"/>
      <c r="E23" s="770"/>
      <c r="F23" s="772"/>
      <c r="G23" s="773"/>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7" zoomScale="80" zoomScaleNormal="80" workbookViewId="0">
      <selection activeCell="I47" sqref="I4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719</v>
      </c>
      <c r="B1" s="2648" t="s">
        <v>720</v>
      </c>
      <c r="C1" s="2649" t="s">
        <v>721</v>
      </c>
      <c r="D1" s="2650" t="s">
        <v>3270</v>
      </c>
      <c r="E1" s="2651"/>
      <c r="F1" s="2834" t="s">
        <v>3239</v>
      </c>
      <c r="G1" s="1601" t="s">
        <v>722</v>
      </c>
      <c r="H1" s="509"/>
      <c r="I1" s="509"/>
      <c r="J1" s="509"/>
      <c r="K1" s="510"/>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6" t="s">
        <v>467</v>
      </c>
      <c r="B2" s="2647">
        <f>ROUND(B3*D3/10000,0)</f>
        <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12" t="s">
        <v>520</v>
      </c>
      <c r="B3" s="853">
        <f>C49</f>
        <v>10686</v>
      </c>
      <c r="C3" s="854" t="s">
        <v>723</v>
      </c>
      <c r="D3" s="853">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5" t="s">
        <v>522</v>
      </c>
      <c r="B4" s="516"/>
      <c r="C4" s="3523" t="s">
        <v>523</v>
      </c>
      <c r="D4" s="3524"/>
      <c r="E4" s="3548" t="s">
        <v>524</v>
      </c>
      <c r="F4" s="3549"/>
      <c r="G4" s="3523" t="s">
        <v>525</v>
      </c>
      <c r="H4" s="3524"/>
      <c r="I4" s="3523" t="s">
        <v>526</v>
      </c>
      <c r="J4" s="3524"/>
      <c r="K4" s="855" t="s">
        <v>527</v>
      </c>
      <c r="L4" s="2134"/>
      <c r="M4" s="2135"/>
      <c r="N4" s="2135"/>
      <c r="O4" s="2135"/>
      <c r="P4" s="3525" t="s">
        <v>528</v>
      </c>
      <c r="Q4" s="3526"/>
      <c r="R4" s="3511" t="s">
        <v>524</v>
      </c>
      <c r="S4" s="3512"/>
      <c r="T4" s="3511" t="s">
        <v>525</v>
      </c>
      <c r="U4" s="3512"/>
      <c r="V4" s="3531" t="s">
        <v>526</v>
      </c>
      <c r="W4" s="3531"/>
      <c r="X4" s="3179"/>
      <c r="Y4" s="3511" t="s">
        <v>528</v>
      </c>
      <c r="Z4" s="3512"/>
      <c r="AA4" s="3506" t="s">
        <v>524</v>
      </c>
      <c r="AB4" s="3506" t="s">
        <v>525</v>
      </c>
      <c r="AC4" s="3506" t="s">
        <v>526</v>
      </c>
    </row>
    <row r="5" spans="1:29" ht="15">
      <c r="A5" s="518"/>
      <c r="B5" s="519"/>
      <c r="C5" s="3534" t="s">
        <v>2924</v>
      </c>
      <c r="D5" s="3535"/>
      <c r="E5" s="3617" t="str">
        <f>I5</f>
        <v>洱海传奇</v>
      </c>
      <c r="F5" s="3551"/>
      <c r="G5" s="3618" t="s">
        <v>3241</v>
      </c>
      <c r="H5" s="3535"/>
      <c r="I5" s="3618" t="s">
        <v>3240</v>
      </c>
      <c r="J5" s="3535"/>
      <c r="K5" s="856"/>
      <c r="L5" s="2134"/>
      <c r="M5" s="2135"/>
      <c r="N5" s="2135"/>
      <c r="O5" s="2135"/>
      <c r="P5" s="3527"/>
      <c r="Q5" s="3528"/>
      <c r="R5" s="3513"/>
      <c r="S5" s="3514"/>
      <c r="T5" s="3513"/>
      <c r="U5" s="3514"/>
      <c r="V5" s="3531"/>
      <c r="W5" s="3531"/>
      <c r="X5" s="3179"/>
      <c r="Y5" s="3513"/>
      <c r="Z5" s="3514"/>
      <c r="AA5" s="3507"/>
      <c r="AB5" s="3507"/>
      <c r="AC5" s="3507"/>
    </row>
    <row r="6" spans="1:29" ht="27" customHeight="1" thickBot="1">
      <c r="A6" s="520"/>
      <c r="B6" s="521"/>
      <c r="C6" s="3532" t="s">
        <v>2928</v>
      </c>
      <c r="D6" s="3533"/>
      <c r="E6" s="3619" t="str">
        <f>I6</f>
        <v>云南大理满江·机场路·石房子</v>
      </c>
      <c r="F6" s="3553"/>
      <c r="G6" s="3538" t="s">
        <v>3263</v>
      </c>
      <c r="H6" s="3533"/>
      <c r="I6" s="3538" t="s">
        <v>3264</v>
      </c>
      <c r="J6" s="3533"/>
      <c r="K6" s="856" t="s">
        <v>529</v>
      </c>
      <c r="L6" s="2134"/>
      <c r="M6" s="2135"/>
      <c r="N6" s="2135"/>
      <c r="O6" s="2135"/>
      <c r="P6" s="3529"/>
      <c r="Q6" s="3530"/>
      <c r="R6" s="3513"/>
      <c r="S6" s="3514"/>
      <c r="T6" s="3515"/>
      <c r="U6" s="3516"/>
      <c r="V6" s="3531"/>
      <c r="W6" s="3531"/>
      <c r="X6" s="3179"/>
      <c r="Y6" s="3515"/>
      <c r="Z6" s="3516"/>
      <c r="AA6" s="3508"/>
      <c r="AB6" s="3508"/>
      <c r="AC6" s="3508"/>
    </row>
    <row r="7" spans="1:29" s="1220" customFormat="1" ht="15.75" thickBot="1">
      <c r="A7" s="2939"/>
      <c r="B7" s="2946" t="s">
        <v>530</v>
      </c>
      <c r="C7" s="522">
        <f>'数据-取费表'!B2</f>
        <v>43052</v>
      </c>
      <c r="D7" s="523">
        <v>100</v>
      </c>
      <c r="E7" s="526">
        <v>43040</v>
      </c>
      <c r="F7" s="523">
        <f>SUMIF(58:58,YEAR(E7)&amp;"-"&amp;MONTH(E7),59:59)</f>
        <v>100</v>
      </c>
      <c r="G7" s="524">
        <f>E7</f>
        <v>43040</v>
      </c>
      <c r="H7" s="523">
        <f>SUMIF(58:58,YEAR(G7)&amp;"-"&amp;MONTH(G7),59:59)</f>
        <v>100</v>
      </c>
      <c r="I7" s="526">
        <f>G7</f>
        <v>43040</v>
      </c>
      <c r="J7" s="523">
        <f>SUMIF(58:58,YEAR(I7)&amp;"-"&amp;MONTH(I7),59:59)</f>
        <v>100</v>
      </c>
      <c r="K7" s="857"/>
      <c r="L7" s="2136"/>
      <c r="M7" s="2137"/>
      <c r="N7" s="2137"/>
      <c r="O7" s="2137"/>
      <c r="P7" s="3509" t="s">
        <v>531</v>
      </c>
      <c r="Q7" s="3518"/>
      <c r="R7" s="1568" t="s">
        <v>13</v>
      </c>
      <c r="S7" s="1569">
        <f t="shared" ref="S7:S15" si="0">F7</f>
        <v>100</v>
      </c>
      <c r="T7" s="1568" t="s">
        <v>13</v>
      </c>
      <c r="U7" s="1569">
        <f t="shared" ref="U7:U15" si="1">H7</f>
        <v>100</v>
      </c>
      <c r="V7" s="1568" t="s">
        <v>13</v>
      </c>
      <c r="W7" s="1569">
        <f t="shared" ref="W7:W15" si="2">J7</f>
        <v>100</v>
      </c>
      <c r="X7" s="1570"/>
      <c r="Y7" s="3509" t="s">
        <v>531</v>
      </c>
      <c r="Z7" s="3510"/>
      <c r="AA7" s="1571">
        <f>D7/F7</f>
        <v>1</v>
      </c>
      <c r="AB7" s="1571">
        <f>D7/H7</f>
        <v>1</v>
      </c>
      <c r="AC7" s="1571">
        <f>D7/J7</f>
        <v>1</v>
      </c>
    </row>
    <row r="8" spans="1:29" s="1220" customFormat="1" ht="15.75" thickBot="1">
      <c r="A8" s="2940"/>
      <c r="B8" s="2947" t="s">
        <v>532</v>
      </c>
      <c r="C8" s="528" t="s">
        <v>577</v>
      </c>
      <c r="D8" s="523">
        <v>100</v>
      </c>
      <c r="E8" s="528" t="s">
        <v>3023</v>
      </c>
      <c r="F8" s="523">
        <f>SUMIF(61:61,E8,62:62)-SUMIF(61:61,C8,62:62)+100</f>
        <v>100</v>
      </c>
      <c r="G8" s="858" t="s">
        <v>3023</v>
      </c>
      <c r="H8" s="523">
        <f>SUMIF(61:61,G8,62:62)-SUMIF(61:61,C8,62:62)+100</f>
        <v>100</v>
      </c>
      <c r="I8" s="858" t="s">
        <v>3023</v>
      </c>
      <c r="J8" s="523">
        <f>SUMIF(61:61,I8,62:62)-SUMIF(61:61,C8,62:62)+100</f>
        <v>100</v>
      </c>
      <c r="K8" s="857"/>
      <c r="L8" s="2136"/>
      <c r="M8" s="2137"/>
      <c r="N8" s="2137"/>
      <c r="O8" s="2137"/>
      <c r="P8" s="3509" t="s">
        <v>534</v>
      </c>
      <c r="Q8" s="3510"/>
      <c r="R8" s="1568" t="s">
        <v>13</v>
      </c>
      <c r="S8" s="1569">
        <f t="shared" si="0"/>
        <v>100</v>
      </c>
      <c r="T8" s="1568" t="s">
        <v>13</v>
      </c>
      <c r="U8" s="1569">
        <f t="shared" si="1"/>
        <v>100</v>
      </c>
      <c r="V8" s="1568" t="s">
        <v>13</v>
      </c>
      <c r="W8" s="1569">
        <f t="shared" si="2"/>
        <v>100</v>
      </c>
      <c r="X8" s="1570"/>
      <c r="Y8" s="3509" t="s">
        <v>534</v>
      </c>
      <c r="Z8" s="3510"/>
      <c r="AA8" s="1571">
        <f t="shared" ref="AA8:AA46" si="3">D8/F8</f>
        <v>1</v>
      </c>
      <c r="AB8" s="1571">
        <f t="shared" ref="AB8:AB46" si="4">D8/H8</f>
        <v>1</v>
      </c>
      <c r="AC8" s="1571">
        <f t="shared" ref="AC8:AC46" si="5">D8/J8</f>
        <v>1</v>
      </c>
    </row>
    <row r="9" spans="1:29" s="1220" customFormat="1" ht="15">
      <c r="A9" s="2941"/>
      <c r="B9" s="2948" t="s">
        <v>2759</v>
      </c>
      <c r="C9" s="3202" t="s">
        <v>3242</v>
      </c>
      <c r="D9" s="254">
        <v>100</v>
      </c>
      <c r="E9" s="862" t="s">
        <v>923</v>
      </c>
      <c r="F9" s="254">
        <f>SUMIF(63:63,E9,64:64)-SUMIF(63:63,C9,64:64)+100</f>
        <v>100</v>
      </c>
      <c r="G9" s="860" t="s">
        <v>923</v>
      </c>
      <c r="H9" s="254">
        <f>SUMIF(63:63,G9,64:64)-SUMIF(63:63,C9,64:64)+100</f>
        <v>100</v>
      </c>
      <c r="I9" s="860" t="s">
        <v>923</v>
      </c>
      <c r="J9" s="254">
        <f>SUMIF(63:63,I9,64:64)-SUMIF(63:63,C9,64:64)+100</f>
        <v>100</v>
      </c>
      <c r="K9" s="857"/>
      <c r="L9" s="2136"/>
      <c r="M9" s="2137"/>
      <c r="N9" s="2137"/>
      <c r="O9" s="2138"/>
      <c r="P9" s="3517" t="s">
        <v>536</v>
      </c>
      <c r="Q9" s="3176" t="str">
        <f t="shared" ref="Q9:Q15" si="6">B9</f>
        <v>用途</v>
      </c>
      <c r="R9" s="1568" t="s">
        <v>8</v>
      </c>
      <c r="S9" s="1569">
        <f t="shared" si="0"/>
        <v>100</v>
      </c>
      <c r="T9" s="1568" t="s">
        <v>8</v>
      </c>
      <c r="U9" s="1569">
        <f t="shared" si="1"/>
        <v>100</v>
      </c>
      <c r="V9" s="1568" t="s">
        <v>8</v>
      </c>
      <c r="W9" s="1569">
        <f t="shared" si="2"/>
        <v>100</v>
      </c>
      <c r="X9" s="1570"/>
      <c r="Y9" s="3474" t="s">
        <v>537</v>
      </c>
      <c r="Z9" s="3175" t="str">
        <f t="shared" ref="Z9:Z15" si="7">Q9</f>
        <v>用途</v>
      </c>
      <c r="AA9" s="1571">
        <f t="shared" si="3"/>
        <v>1</v>
      </c>
      <c r="AB9" s="1571">
        <f t="shared" si="4"/>
        <v>1</v>
      </c>
      <c r="AC9" s="1571">
        <f t="shared" si="5"/>
        <v>1</v>
      </c>
    </row>
    <row r="10" spans="1:29" s="1338" customFormat="1" ht="27">
      <c r="A10" s="2942"/>
      <c r="B10" s="2947" t="s">
        <v>2760</v>
      </c>
      <c r="C10" s="863" t="s">
        <v>3243</v>
      </c>
      <c r="D10" s="255">
        <v>100</v>
      </c>
      <c r="E10" s="863" t="s">
        <v>3243</v>
      </c>
      <c r="F10" s="255">
        <f>SUMIF(65:65,E10,66:66)-SUMIF(65:65,C10,66:66)+100</f>
        <v>100</v>
      </c>
      <c r="G10" s="864" t="s">
        <v>3243</v>
      </c>
      <c r="H10" s="255">
        <f>SUMIF(65:65,G10,66:66)-SUMIF(65:65,C10,66:66)+100</f>
        <v>100</v>
      </c>
      <c r="I10" s="864" t="s">
        <v>3243</v>
      </c>
      <c r="J10" s="255">
        <f>SUMIF(65:65,I10,66:66)-SUMIF(65:65,C10,66:66)+100</f>
        <v>100</v>
      </c>
      <c r="K10" s="866">
        <v>1</v>
      </c>
      <c r="L10" s="2139"/>
      <c r="M10" s="2179"/>
      <c r="N10" s="2179"/>
      <c r="O10" s="2140"/>
      <c r="P10" s="3517"/>
      <c r="Q10" s="3176" t="str">
        <f t="shared" si="6"/>
        <v>土地使用年限（年）</v>
      </c>
      <c r="R10" s="1568" t="s">
        <v>8</v>
      </c>
      <c r="S10" s="1569">
        <f t="shared" si="0"/>
        <v>100</v>
      </c>
      <c r="T10" s="1568" t="s">
        <v>8</v>
      </c>
      <c r="U10" s="1569">
        <f t="shared" si="1"/>
        <v>100</v>
      </c>
      <c r="V10" s="1568" t="s">
        <v>8</v>
      </c>
      <c r="W10" s="1569">
        <f t="shared" si="2"/>
        <v>100</v>
      </c>
      <c r="X10" s="1570"/>
      <c r="Y10" s="3474"/>
      <c r="Z10" s="3175" t="str">
        <f t="shared" si="7"/>
        <v>土地使用年限（年）</v>
      </c>
      <c r="AA10" s="1571">
        <f t="shared" si="3"/>
        <v>1</v>
      </c>
      <c r="AB10" s="1571">
        <f t="shared" si="4"/>
        <v>1</v>
      </c>
      <c r="AC10" s="1571">
        <f t="shared" si="5"/>
        <v>1</v>
      </c>
    </row>
    <row r="11" spans="1:29" ht="15.75" thickBot="1">
      <c r="A11" s="2943"/>
      <c r="B11" s="2947" t="s">
        <v>2761</v>
      </c>
      <c r="C11" s="536">
        <f>'数据-汇总表'!I6</f>
        <v>1.5</v>
      </c>
      <c r="D11" s="255">
        <v>100</v>
      </c>
      <c r="E11" s="3239">
        <f>I11</f>
        <v>0.65</v>
      </c>
      <c r="F11" s="256">
        <f>LOOKUP(E11,68:68,69:69)-LOOKUP(C11,68:68,69:69)+100</f>
        <v>101</v>
      </c>
      <c r="G11" s="537">
        <v>0.35</v>
      </c>
      <c r="H11" s="255">
        <f>LOOKUP(G11,68:68,69:69)-LOOKUP(C11,68:68,69:69)+100</f>
        <v>101</v>
      </c>
      <c r="I11" s="536">
        <v>0.65</v>
      </c>
      <c r="J11" s="255">
        <f>LOOKUP(I11,68:68,69:69)-LOOKUP(C11,68:68,69:69)+100</f>
        <v>101</v>
      </c>
      <c r="K11" s="866">
        <v>1</v>
      </c>
      <c r="L11" s="2141"/>
      <c r="M11" s="2135"/>
      <c r="N11" s="2135"/>
      <c r="O11" s="2142"/>
      <c r="P11" s="3517"/>
      <c r="Q11" s="3176" t="str">
        <f t="shared" si="6"/>
        <v>容积率</v>
      </c>
      <c r="R11" s="1568" t="s">
        <v>11</v>
      </c>
      <c r="S11" s="1569">
        <f t="shared" si="0"/>
        <v>101</v>
      </c>
      <c r="T11" s="1568" t="s">
        <v>11</v>
      </c>
      <c r="U11" s="1569">
        <f t="shared" si="1"/>
        <v>101</v>
      </c>
      <c r="V11" s="1568" t="s">
        <v>11</v>
      </c>
      <c r="W11" s="1569">
        <f t="shared" si="2"/>
        <v>101</v>
      </c>
      <c r="X11" s="1570"/>
      <c r="Y11" s="3474"/>
      <c r="Z11" s="3175" t="str">
        <f t="shared" si="7"/>
        <v>容积率</v>
      </c>
      <c r="AA11" s="1571">
        <f t="shared" si="3"/>
        <v>0.99009900990099009</v>
      </c>
      <c r="AB11" s="1571">
        <f t="shared" si="4"/>
        <v>0.99009900990099009</v>
      </c>
      <c r="AC11" s="1571">
        <f t="shared" si="5"/>
        <v>0.99009900990099009</v>
      </c>
    </row>
    <row r="12" spans="1:29" s="1220" customFormat="1" ht="15.75" hidden="1" thickBot="1">
      <c r="A12" s="2944"/>
      <c r="B12" s="2950"/>
      <c r="C12" s="531"/>
      <c r="D12" s="541">
        <v>100</v>
      </c>
      <c r="E12" s="531"/>
      <c r="F12" s="878">
        <f>SUMIF(70:70,E12,71:71)-SUMIF(70:70,C12,71:71)+100</f>
        <v>100</v>
      </c>
      <c r="G12" s="531"/>
      <c r="H12" s="255">
        <f>SUMIF(70:70,G12,71:71)-SUMIF(70:70,C12,71:71)+100</f>
        <v>100</v>
      </c>
      <c r="I12" s="531"/>
      <c r="J12" s="255">
        <f>SUMIF(70:70,I12,71:71)-SUMIF(70:70,C12,71:71)+100</f>
        <v>100</v>
      </c>
      <c r="K12" s="867"/>
      <c r="L12" s="2136"/>
      <c r="M12" s="2137"/>
      <c r="N12" s="2137"/>
      <c r="O12" s="2138"/>
      <c r="P12" s="3517"/>
      <c r="Q12" s="3176">
        <f t="shared" si="6"/>
        <v>0</v>
      </c>
      <c r="R12" s="1568" t="s">
        <v>11</v>
      </c>
      <c r="S12" s="1569">
        <f t="shared" si="0"/>
        <v>100</v>
      </c>
      <c r="T12" s="1568" t="s">
        <v>11</v>
      </c>
      <c r="U12" s="1569">
        <f t="shared" si="1"/>
        <v>100</v>
      </c>
      <c r="V12" s="1568" t="s">
        <v>11</v>
      </c>
      <c r="W12" s="1569">
        <f t="shared" si="2"/>
        <v>100</v>
      </c>
      <c r="X12" s="1570"/>
      <c r="Y12" s="3474"/>
      <c r="Z12" s="3175">
        <f t="shared" si="7"/>
        <v>0</v>
      </c>
      <c r="AA12" s="1571">
        <f>D12/F12</f>
        <v>1</v>
      </c>
      <c r="AB12" s="1571">
        <f>D12/H12</f>
        <v>1</v>
      </c>
      <c r="AC12" s="1571">
        <f>D12/J12</f>
        <v>1</v>
      </c>
    </row>
    <row r="13" spans="1:29" ht="15.75" hidden="1" thickBot="1">
      <c r="A13" s="2944"/>
      <c r="B13" s="2950"/>
      <c r="C13" s="542"/>
      <c r="D13" s="543">
        <v>100</v>
      </c>
      <c r="E13" s="542"/>
      <c r="F13" s="865">
        <f>SUMIF(72:72,E13,73:73)-SUMIF(72:72,C13,73:73)+100</f>
        <v>100</v>
      </c>
      <c r="G13" s="542"/>
      <c r="H13" s="543">
        <f>SUMIF(72:72,G13,73:73)-SUMIF(72:72,C13,73:73)+100</f>
        <v>100</v>
      </c>
      <c r="I13" s="542"/>
      <c r="J13" s="543">
        <f>SUMIF(72:72,I13,73:73)-SUMIF(72:72,C13,73:73)+100</f>
        <v>100</v>
      </c>
      <c r="K13" s="867"/>
      <c r="L13" s="2143"/>
      <c r="M13" s="2135"/>
      <c r="N13" s="2135"/>
      <c r="O13" s="2142"/>
      <c r="P13" s="3517"/>
      <c r="Q13" s="3176">
        <f t="shared" si="6"/>
        <v>0</v>
      </c>
      <c r="R13" s="1568" t="s">
        <v>11</v>
      </c>
      <c r="S13" s="1569">
        <f t="shared" si="0"/>
        <v>100</v>
      </c>
      <c r="T13" s="1568" t="s">
        <v>11</v>
      </c>
      <c r="U13" s="1569">
        <f t="shared" si="1"/>
        <v>100</v>
      </c>
      <c r="V13" s="1568" t="s">
        <v>11</v>
      </c>
      <c r="W13" s="1569">
        <f t="shared" si="2"/>
        <v>100</v>
      </c>
      <c r="X13" s="1570"/>
      <c r="Y13" s="3474"/>
      <c r="Z13" s="3175">
        <f t="shared" si="7"/>
        <v>0</v>
      </c>
      <c r="AA13" s="1571">
        <f t="shared" si="3"/>
        <v>1</v>
      </c>
      <c r="AB13" s="1571">
        <f t="shared" si="4"/>
        <v>1</v>
      </c>
      <c r="AC13" s="1571">
        <f t="shared" si="5"/>
        <v>1</v>
      </c>
    </row>
    <row r="14" spans="1:29" ht="15.75" hidden="1" thickBot="1">
      <c r="A14" s="2945"/>
      <c r="B14" s="2951"/>
      <c r="C14" s="548"/>
      <c r="D14" s="549">
        <v>100</v>
      </c>
      <c r="E14" s="548"/>
      <c r="F14" s="868">
        <f>SUMIF(74:74,E14,75:75)-SUMIF(74:74,C14,75:75)+100</f>
        <v>100</v>
      </c>
      <c r="G14" s="548"/>
      <c r="H14" s="549">
        <f>SUMIF(74:74,G14,75:75)-SUMIF(74:74,C14,75:75)+100</f>
        <v>100</v>
      </c>
      <c r="I14" s="548"/>
      <c r="J14" s="549">
        <f>SUMIF(74:74,I14,75:75)-SUMIF(74:74,C14,75:75)+100</f>
        <v>100</v>
      </c>
      <c r="K14" s="867"/>
      <c r="L14" s="2143"/>
      <c r="M14" s="2135"/>
      <c r="N14" s="2135"/>
      <c r="O14" s="2142"/>
      <c r="P14" s="3517"/>
      <c r="Q14" s="3176">
        <f t="shared" si="6"/>
        <v>0</v>
      </c>
      <c r="R14" s="1568" t="s">
        <v>11</v>
      </c>
      <c r="S14" s="1569">
        <f t="shared" si="0"/>
        <v>100</v>
      </c>
      <c r="T14" s="1568" t="s">
        <v>11</v>
      </c>
      <c r="U14" s="1569">
        <f t="shared" si="1"/>
        <v>100</v>
      </c>
      <c r="V14" s="1568" t="s">
        <v>11</v>
      </c>
      <c r="W14" s="1569">
        <f t="shared" si="2"/>
        <v>100</v>
      </c>
      <c r="X14" s="1570"/>
      <c r="Y14" s="3474"/>
      <c r="Z14" s="3175">
        <f t="shared" si="7"/>
        <v>0</v>
      </c>
      <c r="AA14" s="1571">
        <f t="shared" si="3"/>
        <v>1</v>
      </c>
      <c r="AB14" s="1571">
        <f t="shared" si="4"/>
        <v>1</v>
      </c>
      <c r="AC14" s="1571">
        <f t="shared" si="5"/>
        <v>1</v>
      </c>
    </row>
    <row r="15" spans="1:29" ht="72" customHeight="1">
      <c r="A15" s="2937" t="s">
        <v>2757</v>
      </c>
      <c r="B15" s="166" t="s">
        <v>295</v>
      </c>
      <c r="C15" s="869" t="str">
        <f>估价对象房地状况!C3</f>
        <v>周边居住用地比例、居住小区规模和社区发展完善程度</v>
      </c>
      <c r="D15" s="552">
        <v>100</v>
      </c>
      <c r="E15" s="553"/>
      <c r="F15" s="554">
        <f>SUMIF(76:76,E16,77:77)-SUMIF(76:76,C16,77:77)+100</f>
        <v>105</v>
      </c>
      <c r="G15" s="555" t="s">
        <v>3302</v>
      </c>
      <c r="H15" s="552">
        <f>SUMIF(76:76,G16,77:77)-SUMIF(76:76,C16,77:77)+100</f>
        <v>105</v>
      </c>
      <c r="I15" s="553"/>
      <c r="J15" s="552">
        <f>SUMIF(76:76,I16,77:77)-SUMIF(76:76,C16,77:77)+100</f>
        <v>105</v>
      </c>
      <c r="K15" s="870">
        <v>5</v>
      </c>
      <c r="L15" s="2143"/>
      <c r="M15" s="2135"/>
      <c r="N15" s="2135"/>
      <c r="O15" s="2142"/>
      <c r="P15" s="3519" t="s">
        <v>541</v>
      </c>
      <c r="Q15" s="3177" t="str">
        <f t="shared" si="6"/>
        <v>居住社区成熟度</v>
      </c>
      <c r="R15" s="1573" t="s">
        <v>11</v>
      </c>
      <c r="S15" s="1574">
        <f t="shared" si="0"/>
        <v>105</v>
      </c>
      <c r="T15" s="1573" t="s">
        <v>11</v>
      </c>
      <c r="U15" s="1574">
        <f t="shared" si="1"/>
        <v>105</v>
      </c>
      <c r="V15" s="1573" t="s">
        <v>11</v>
      </c>
      <c r="W15" s="1574">
        <f t="shared" si="2"/>
        <v>105</v>
      </c>
      <c r="X15" s="3179"/>
      <c r="Y15" s="3519" t="s">
        <v>541</v>
      </c>
      <c r="Z15" s="3178" t="str">
        <f t="shared" si="7"/>
        <v>居住社区成熟度</v>
      </c>
      <c r="AA15" s="3180">
        <f t="shared" si="3"/>
        <v>0.95238095238095233</v>
      </c>
      <c r="AB15" s="3180">
        <f t="shared" si="4"/>
        <v>0.95238095238095233</v>
      </c>
      <c r="AC15" s="3180">
        <f t="shared" si="5"/>
        <v>0.95238095238095233</v>
      </c>
    </row>
    <row r="16" spans="1:29" ht="15">
      <c r="A16" s="535"/>
      <c r="B16" s="871"/>
      <c r="C16" s="578" t="s">
        <v>3261</v>
      </c>
      <c r="D16" s="558"/>
      <c r="E16" s="578" t="s">
        <v>3238</v>
      </c>
      <c r="F16" s="560"/>
      <c r="G16" s="578" t="s">
        <v>3238</v>
      </c>
      <c r="H16" s="562"/>
      <c r="I16" s="578" t="s">
        <v>3238</v>
      </c>
      <c r="J16" s="558"/>
      <c r="K16" s="872"/>
      <c r="L16" s="2143"/>
      <c r="M16" s="2135"/>
      <c r="N16" s="2135"/>
      <c r="O16" s="2142"/>
      <c r="P16" s="3520"/>
      <c r="Q16" s="3177"/>
      <c r="R16" s="1573"/>
      <c r="S16" s="1574"/>
      <c r="T16" s="1573"/>
      <c r="U16" s="1574"/>
      <c r="V16" s="1573"/>
      <c r="W16" s="1574"/>
      <c r="X16" s="3179"/>
      <c r="Y16" s="3520"/>
      <c r="Z16" s="3178"/>
      <c r="AA16" s="3180">
        <v>1</v>
      </c>
      <c r="AB16" s="3180">
        <v>1</v>
      </c>
      <c r="AC16" s="3180">
        <v>1</v>
      </c>
    </row>
    <row r="17" spans="1:29" ht="71.25">
      <c r="A17" s="535"/>
      <c r="B17" s="873" t="s">
        <v>296</v>
      </c>
      <c r="C17" s="874" t="str">
        <f>估价对象房地状况!C6</f>
        <v>周边道路状况、公共交通通达情况、停车便捷程度（大理荒草坝机场</v>
      </c>
      <c r="D17" s="562">
        <v>100</v>
      </c>
      <c r="E17" s="564"/>
      <c r="F17" s="565">
        <f>SUMIF(78:78,E18,79:79)-SUMIF(78:78,C18,79:79)+100</f>
        <v>100</v>
      </c>
      <c r="G17" s="566"/>
      <c r="H17" s="567">
        <f>SUMIF(78:78,G18,79:79)-SUMIF(78:78,C18,79:79)+100</f>
        <v>100</v>
      </c>
      <c r="I17" s="564"/>
      <c r="J17" s="567">
        <f>SUMIF(78:78,I18,79:79)-SUMIF(78:78,C18,79:79)+100</f>
        <v>100</v>
      </c>
      <c r="K17" s="870">
        <v>5</v>
      </c>
      <c r="L17" s="2143"/>
      <c r="M17" s="2135"/>
      <c r="N17" s="2135"/>
      <c r="O17" s="2142"/>
      <c r="P17" s="3520"/>
      <c r="Q17" s="3177" t="str">
        <f>B17</f>
        <v>交通便捷度</v>
      </c>
      <c r="R17" s="1573" t="s">
        <v>11</v>
      </c>
      <c r="S17" s="1574">
        <f>F17</f>
        <v>100</v>
      </c>
      <c r="T17" s="1573" t="s">
        <v>11</v>
      </c>
      <c r="U17" s="1574">
        <f>H17</f>
        <v>100</v>
      </c>
      <c r="V17" s="1573" t="s">
        <v>11</v>
      </c>
      <c r="W17" s="1574">
        <f>J17</f>
        <v>100</v>
      </c>
      <c r="X17" s="3179"/>
      <c r="Y17" s="3520"/>
      <c r="Z17" s="3178" t="str">
        <f>Q17</f>
        <v>交通便捷度</v>
      </c>
      <c r="AA17" s="3180">
        <f t="shared" si="3"/>
        <v>1</v>
      </c>
      <c r="AB17" s="3180">
        <f t="shared" si="4"/>
        <v>1</v>
      </c>
      <c r="AC17" s="3180">
        <f t="shared" si="5"/>
        <v>1</v>
      </c>
    </row>
    <row r="18" spans="1:29" ht="15">
      <c r="A18" s="535"/>
      <c r="B18" s="597"/>
      <c r="C18" s="875" t="s">
        <v>3238</v>
      </c>
      <c r="D18" s="562"/>
      <c r="E18" s="875" t="s">
        <v>3238</v>
      </c>
      <c r="F18" s="565"/>
      <c r="G18" s="875" t="s">
        <v>3238</v>
      </c>
      <c r="H18" s="558"/>
      <c r="I18" s="875" t="s">
        <v>3238</v>
      </c>
      <c r="J18" s="558"/>
      <c r="K18" s="872"/>
      <c r="L18" s="2143"/>
      <c r="M18" s="2135"/>
      <c r="N18" s="2135"/>
      <c r="O18" s="2142"/>
      <c r="P18" s="3520"/>
      <c r="Q18" s="3177"/>
      <c r="R18" s="1573"/>
      <c r="S18" s="1574"/>
      <c r="T18" s="1573"/>
      <c r="U18" s="1574"/>
      <c r="V18" s="1573"/>
      <c r="W18" s="1574"/>
      <c r="X18" s="3179"/>
      <c r="Y18" s="3520"/>
      <c r="Z18" s="3178"/>
      <c r="AA18" s="3180">
        <v>1</v>
      </c>
      <c r="AB18" s="3180">
        <v>1</v>
      </c>
      <c r="AC18" s="3180">
        <v>1</v>
      </c>
    </row>
    <row r="19" spans="1:29" ht="42.75">
      <c r="A19" s="535"/>
      <c r="B19" s="2625" t="s">
        <v>2548</v>
      </c>
      <c r="C19" s="874" t="str">
        <f>估价对象房地状况!C7</f>
        <v>大理技师学院 与较成熟区域距离5-6公里</v>
      </c>
      <c r="D19" s="567">
        <v>100</v>
      </c>
      <c r="E19" s="572"/>
      <c r="F19" s="573">
        <f>SUMIF(80:80,E20,81:81)-SUMIF(80:80,C20,81:81)+100</f>
        <v>105</v>
      </c>
      <c r="G19" s="574" t="s">
        <v>3306</v>
      </c>
      <c r="H19" s="562">
        <f>SUMIF(80:80,G20,81:81)-SUMIF(80:80,C20,81:81)+100</f>
        <v>105</v>
      </c>
      <c r="I19" s="572" t="s">
        <v>3306</v>
      </c>
      <c r="J19" s="562">
        <f>SUMIF(80:80,I20,81:81)-SUMIF(80:80,C20,81:81)+100</f>
        <v>105</v>
      </c>
      <c r="K19" s="870">
        <v>5</v>
      </c>
      <c r="L19" s="2143"/>
      <c r="M19" s="2135"/>
      <c r="N19" s="2135"/>
      <c r="O19" s="2142"/>
      <c r="P19" s="3520"/>
      <c r="Q19" s="3177" t="str">
        <f>B19</f>
        <v>公共配套设施</v>
      </c>
      <c r="R19" s="1573" t="s">
        <v>11</v>
      </c>
      <c r="S19" s="1574">
        <f>F19</f>
        <v>105</v>
      </c>
      <c r="T19" s="1573" t="s">
        <v>11</v>
      </c>
      <c r="U19" s="1574">
        <f>H19</f>
        <v>105</v>
      </c>
      <c r="V19" s="1573" t="s">
        <v>11</v>
      </c>
      <c r="W19" s="1574">
        <f>J19</f>
        <v>105</v>
      </c>
      <c r="X19" s="3179"/>
      <c r="Y19" s="3520"/>
      <c r="Z19" s="3178" t="str">
        <f>Q19</f>
        <v>公共配套设施</v>
      </c>
      <c r="AA19" s="3180">
        <f t="shared" si="3"/>
        <v>0.95238095238095233</v>
      </c>
      <c r="AB19" s="3180">
        <f t="shared" si="4"/>
        <v>0.95238095238095233</v>
      </c>
      <c r="AC19" s="3180">
        <f t="shared" si="5"/>
        <v>0.95238095238095233</v>
      </c>
    </row>
    <row r="20" spans="1:29" ht="15">
      <c r="A20" s="535"/>
      <c r="B20" s="597"/>
      <c r="C20" s="578" t="s">
        <v>3261</v>
      </c>
      <c r="D20" s="558"/>
      <c r="E20" s="559" t="s">
        <v>3238</v>
      </c>
      <c r="F20" s="560"/>
      <c r="G20" s="559" t="s">
        <v>3238</v>
      </c>
      <c r="H20" s="558"/>
      <c r="I20" s="559" t="s">
        <v>3238</v>
      </c>
      <c r="J20" s="558"/>
      <c r="K20" s="872"/>
      <c r="L20" s="2143"/>
      <c r="M20" s="2135"/>
      <c r="N20" s="2135"/>
      <c r="O20" s="2142"/>
      <c r="P20" s="3520"/>
      <c r="Q20" s="3177"/>
      <c r="R20" s="1573"/>
      <c r="S20" s="1574"/>
      <c r="T20" s="1573"/>
      <c r="U20" s="1574"/>
      <c r="V20" s="1573"/>
      <c r="W20" s="1574"/>
      <c r="X20" s="3179"/>
      <c r="Y20" s="3520"/>
      <c r="Z20" s="3178"/>
      <c r="AA20" s="3180">
        <v>1</v>
      </c>
      <c r="AB20" s="3180">
        <v>1</v>
      </c>
      <c r="AC20" s="3180">
        <v>1</v>
      </c>
    </row>
    <row r="21" spans="1:29" ht="15">
      <c r="A21" s="535"/>
      <c r="B21" s="2618" t="s">
        <v>2549</v>
      </c>
      <c r="C21" s="874">
        <f>估价对象房地状况!C8</f>
        <v>0</v>
      </c>
      <c r="D21" s="567">
        <v>100</v>
      </c>
      <c r="E21" s="574"/>
      <c r="F21" s="573">
        <f>SUMIF(82:82,E22,83:83)-SUMIF(82:82,C22,83:83)+100</f>
        <v>100</v>
      </c>
      <c r="G21" s="574"/>
      <c r="H21" s="567">
        <f>SUMIF(82:82,G22,83:83)-SUMIF(82:82,C22,83:83)+100</f>
        <v>100</v>
      </c>
      <c r="I21" s="572"/>
      <c r="J21" s="567">
        <f>SUMIF(82:82,I22,83:83)-SUMIF(82:82,C22,83:83)+100</f>
        <v>100</v>
      </c>
      <c r="K21" s="870">
        <v>1</v>
      </c>
      <c r="L21" s="2143"/>
      <c r="M21" s="2135"/>
      <c r="N21" s="2135"/>
      <c r="O21" s="2142"/>
      <c r="P21" s="3520"/>
      <c r="Q21" s="3177" t="str">
        <f>B21</f>
        <v>基础设施水平</v>
      </c>
      <c r="R21" s="1573" t="s">
        <v>11</v>
      </c>
      <c r="S21" s="1574">
        <f>F21</f>
        <v>100</v>
      </c>
      <c r="T21" s="1573" t="s">
        <v>11</v>
      </c>
      <c r="U21" s="1574">
        <f>H21</f>
        <v>100</v>
      </c>
      <c r="V21" s="1573" t="s">
        <v>11</v>
      </c>
      <c r="W21" s="1574">
        <f>J21</f>
        <v>100</v>
      </c>
      <c r="X21" s="3179"/>
      <c r="Y21" s="3520"/>
      <c r="Z21" s="3178" t="str">
        <f>Q21</f>
        <v>基础设施水平</v>
      </c>
      <c r="AA21" s="3180">
        <f t="shared" ref="AA21" si="8">D21/F21</f>
        <v>1</v>
      </c>
      <c r="AB21" s="3180">
        <f t="shared" ref="AB21" si="9">D21/H21</f>
        <v>1</v>
      </c>
      <c r="AC21" s="3180">
        <f t="shared" ref="AC21" si="10">D21/J21</f>
        <v>1</v>
      </c>
    </row>
    <row r="22" spans="1:29" ht="15">
      <c r="A22" s="535"/>
      <c r="B22" s="923"/>
      <c r="C22" s="875" t="s">
        <v>3237</v>
      </c>
      <c r="D22" s="558"/>
      <c r="E22" s="875" t="s">
        <v>3237</v>
      </c>
      <c r="F22" s="560"/>
      <c r="G22" s="875" t="s">
        <v>3237</v>
      </c>
      <c r="H22" s="558"/>
      <c r="I22" s="875" t="s">
        <v>3237</v>
      </c>
      <c r="J22" s="558"/>
      <c r="K22" s="2624"/>
      <c r="L22" s="2143"/>
      <c r="M22" s="2135"/>
      <c r="N22" s="2135"/>
      <c r="O22" s="2142"/>
      <c r="P22" s="3520"/>
      <c r="Q22" s="3177"/>
      <c r="R22" s="1573"/>
      <c r="S22" s="1574"/>
      <c r="T22" s="1573"/>
      <c r="U22" s="1574"/>
      <c r="V22" s="1573"/>
      <c r="W22" s="1574"/>
      <c r="X22" s="3179"/>
      <c r="Y22" s="3520"/>
      <c r="Z22" s="3178"/>
      <c r="AA22" s="3180">
        <v>1</v>
      </c>
      <c r="AB22" s="3180">
        <v>1</v>
      </c>
      <c r="AC22" s="3180">
        <v>1</v>
      </c>
    </row>
    <row r="23" spans="1:29" ht="15">
      <c r="A23" s="535"/>
      <c r="B23" s="873" t="s">
        <v>297</v>
      </c>
      <c r="C23" s="874" t="str">
        <f>估价对象房地状况!C9</f>
        <v>洱海</v>
      </c>
      <c r="D23" s="562">
        <v>100</v>
      </c>
      <c r="E23" s="564"/>
      <c r="F23" s="565">
        <f>SUMIF(84:84,E24,85:85)-SUMIF(84:84,C24,85:85)+100</f>
        <v>100</v>
      </c>
      <c r="G23" s="3237" t="s">
        <v>3303</v>
      </c>
      <c r="H23" s="562">
        <f>SUMIF(84:84,G24,85:85)-SUMIF(84:84,C24,85:85)+100</f>
        <v>100</v>
      </c>
      <c r="I23" s="3205" t="s">
        <v>3304</v>
      </c>
      <c r="J23" s="562">
        <f>SUMIF(84:84,I24,85:85)-SUMIF(84:84,C24,85:85)+100</f>
        <v>100</v>
      </c>
      <c r="K23" s="870">
        <v>10</v>
      </c>
      <c r="L23" s="2143"/>
      <c r="M23" s="2135"/>
      <c r="N23" s="2135"/>
      <c r="O23" s="2142"/>
      <c r="P23" s="3520"/>
      <c r="Q23" s="3177" t="str">
        <f>B23</f>
        <v>自然及人文环境</v>
      </c>
      <c r="R23" s="1573" t="s">
        <v>11</v>
      </c>
      <c r="S23" s="1574">
        <f>F23</f>
        <v>100</v>
      </c>
      <c r="T23" s="1573" t="s">
        <v>11</v>
      </c>
      <c r="U23" s="1574">
        <f>H23</f>
        <v>100</v>
      </c>
      <c r="V23" s="1573" t="s">
        <v>11</v>
      </c>
      <c r="W23" s="1574">
        <f>J23</f>
        <v>100</v>
      </c>
      <c r="X23" s="3179"/>
      <c r="Y23" s="3520"/>
      <c r="Z23" s="3178" t="str">
        <f>Q23</f>
        <v>自然及人文环境</v>
      </c>
      <c r="AA23" s="3180">
        <f t="shared" si="3"/>
        <v>1</v>
      </c>
      <c r="AB23" s="3180">
        <f t="shared" si="4"/>
        <v>1</v>
      </c>
      <c r="AC23" s="3180">
        <f t="shared" si="5"/>
        <v>1</v>
      </c>
    </row>
    <row r="24" spans="1:29" ht="15.75" thickBot="1">
      <c r="A24" s="535"/>
      <c r="B24" s="597"/>
      <c r="C24" s="578" t="s">
        <v>3229</v>
      </c>
      <c r="D24" s="558"/>
      <c r="E24" s="578" t="s">
        <v>3229</v>
      </c>
      <c r="F24" s="560"/>
      <c r="G24" s="578" t="s">
        <v>3229</v>
      </c>
      <c r="H24" s="558"/>
      <c r="I24" s="578" t="s">
        <v>3229</v>
      </c>
      <c r="J24" s="558"/>
      <c r="K24" s="872"/>
      <c r="L24" s="2143"/>
      <c r="M24" s="2135"/>
      <c r="N24" s="2135"/>
      <c r="O24" s="2142"/>
      <c r="P24" s="3520"/>
      <c r="Q24" s="3177"/>
      <c r="R24" s="1573"/>
      <c r="S24" s="1574"/>
      <c r="T24" s="1573"/>
      <c r="U24" s="1574"/>
      <c r="V24" s="1573"/>
      <c r="W24" s="1574"/>
      <c r="X24" s="3179"/>
      <c r="Y24" s="3520"/>
      <c r="Z24" s="3178"/>
      <c r="AA24" s="3180">
        <v>1</v>
      </c>
      <c r="AB24" s="3180">
        <v>1</v>
      </c>
      <c r="AC24" s="3180">
        <v>1</v>
      </c>
    </row>
    <row r="25" spans="1:29" ht="15.75" hidden="1" thickBot="1">
      <c r="A25" s="535"/>
      <c r="B25" s="1896" t="s">
        <v>2259</v>
      </c>
      <c r="C25" s="576"/>
      <c r="D25" s="543">
        <v>100</v>
      </c>
      <c r="E25" s="876"/>
      <c r="F25" s="577">
        <f>SUMIF(86:86,E25,87:87)-SUMIF(86:86,C25,87:87)+100</f>
        <v>100</v>
      </c>
      <c r="G25" s="601"/>
      <c r="H25" s="543">
        <f>SUMIF(86:86,G25,87:87)-SUMIF(86:86,C25,87:87)+100</f>
        <v>100</v>
      </c>
      <c r="I25" s="876"/>
      <c r="J25" s="543">
        <f>SUMIF(86:86,I25,87:87)-SUMIF(86:86,C25,87:87)+100</f>
        <v>100</v>
      </c>
      <c r="K25" s="866"/>
      <c r="L25" s="2143"/>
      <c r="M25" s="2135"/>
      <c r="N25" s="2135"/>
      <c r="O25" s="2142"/>
      <c r="P25" s="3520"/>
      <c r="Q25" s="3177" t="str">
        <f t="shared" ref="Q25:Q46" si="11">B25</f>
        <v>楼层-1</v>
      </c>
      <c r="R25" s="1573" t="s">
        <v>11</v>
      </c>
      <c r="S25" s="1574">
        <f>F25</f>
        <v>100</v>
      </c>
      <c r="T25" s="1573" t="s">
        <v>11</v>
      </c>
      <c r="U25" s="1574">
        <f>H25</f>
        <v>100</v>
      </c>
      <c r="V25" s="1573" t="s">
        <v>11</v>
      </c>
      <c r="W25" s="1574">
        <f>J25</f>
        <v>100</v>
      </c>
      <c r="X25" s="3179"/>
      <c r="Y25" s="3520"/>
      <c r="Z25" s="3178" t="str">
        <f>Q25</f>
        <v>楼层-1</v>
      </c>
      <c r="AA25" s="3180">
        <f t="shared" si="3"/>
        <v>1</v>
      </c>
      <c r="AB25" s="3180">
        <f t="shared" si="4"/>
        <v>1</v>
      </c>
      <c r="AC25" s="3180">
        <f t="shared" si="5"/>
        <v>1</v>
      </c>
    </row>
    <row r="26" spans="1:29" ht="15.75" hidden="1" thickBot="1">
      <c r="A26" s="535"/>
      <c r="B26" s="530" t="s">
        <v>724</v>
      </c>
      <c r="C26" s="576"/>
      <c r="D26" s="543">
        <v>100</v>
      </c>
      <c r="E26" s="876"/>
      <c r="F26" s="577">
        <f>SUMIF(88:88,E26,89:89)-SUMIF(88:88,C26,89:89)+100</f>
        <v>100</v>
      </c>
      <c r="G26" s="601"/>
      <c r="H26" s="543">
        <f>SUMIF(88:88,G26,89:89)-SUMIF(88:88,C26,89:89)+100</f>
        <v>100</v>
      </c>
      <c r="I26" s="876"/>
      <c r="J26" s="543">
        <f>SUMIF(88:88,I26,89:89)-SUMIF(88:88,C26,89:89)+100</f>
        <v>100</v>
      </c>
      <c r="K26" s="866"/>
      <c r="L26" s="2143"/>
      <c r="M26" s="2135"/>
      <c r="N26" s="2135"/>
      <c r="O26" s="2142"/>
      <c r="P26" s="3520"/>
      <c r="Q26" s="3177" t="str">
        <f t="shared" si="11"/>
        <v>朝向</v>
      </c>
      <c r="R26" s="1573" t="s">
        <v>11</v>
      </c>
      <c r="S26" s="1574">
        <f>F26</f>
        <v>100</v>
      </c>
      <c r="T26" s="1573" t="s">
        <v>11</v>
      </c>
      <c r="U26" s="1574">
        <f>H26</f>
        <v>100</v>
      </c>
      <c r="V26" s="1573" t="s">
        <v>11</v>
      </c>
      <c r="W26" s="1574">
        <f>J26</f>
        <v>100</v>
      </c>
      <c r="X26" s="3179"/>
      <c r="Y26" s="3520"/>
      <c r="Z26" s="3178" t="str">
        <f>Q26</f>
        <v>朝向</v>
      </c>
      <c r="AA26" s="3180">
        <f t="shared" si="3"/>
        <v>1</v>
      </c>
      <c r="AB26" s="3180">
        <f t="shared" si="4"/>
        <v>1</v>
      </c>
      <c r="AC26" s="3180">
        <f t="shared" si="5"/>
        <v>1</v>
      </c>
    </row>
    <row r="27" spans="1:29" s="1220" customFormat="1" ht="15.75" hidden="1" thickBot="1">
      <c r="A27" s="539"/>
      <c r="B27" s="540"/>
      <c r="C27" s="531"/>
      <c r="D27" s="877">
        <v>100</v>
      </c>
      <c r="E27" s="533"/>
      <c r="F27" s="878">
        <f>SUMIF(90:90,E27,91:91)-SUMIF(90:90,C27,91:91)+100</f>
        <v>100</v>
      </c>
      <c r="G27" s="532"/>
      <c r="H27" s="877">
        <f>SUMIF(90:90,G27,91:91)-SUMIF(90:90,C27,91:91)+100</f>
        <v>100</v>
      </c>
      <c r="I27" s="533"/>
      <c r="J27" s="877">
        <f>SUMIF(90:90,I27,91:91)-SUMIF(90:90,C27,91:91)+100</f>
        <v>100</v>
      </c>
      <c r="K27" s="867"/>
      <c r="L27" s="2136"/>
      <c r="M27" s="2137"/>
      <c r="N27" s="2137"/>
      <c r="O27" s="2138"/>
      <c r="P27" s="3520"/>
      <c r="Q27" s="3176">
        <f t="shared" si="11"/>
        <v>0</v>
      </c>
      <c r="R27" s="1568" t="s">
        <v>11</v>
      </c>
      <c r="S27" s="1569">
        <f>F27</f>
        <v>100</v>
      </c>
      <c r="T27" s="1568" t="s">
        <v>11</v>
      </c>
      <c r="U27" s="1569">
        <f>H27</f>
        <v>100</v>
      </c>
      <c r="V27" s="1568" t="s">
        <v>11</v>
      </c>
      <c r="W27" s="1569">
        <f>J27</f>
        <v>100</v>
      </c>
      <c r="X27" s="1570"/>
      <c r="Y27" s="3520"/>
      <c r="Z27" s="3175">
        <f>Q27</f>
        <v>0</v>
      </c>
      <c r="AA27" s="3180">
        <f>D27/F27</f>
        <v>1</v>
      </c>
      <c r="AB27" s="3180">
        <f>D27/H27</f>
        <v>1</v>
      </c>
      <c r="AC27" s="3180">
        <f>D27/J27</f>
        <v>1</v>
      </c>
    </row>
    <row r="28" spans="1:29" ht="15.75" hidden="1" thickBot="1">
      <c r="A28" s="535"/>
      <c r="B28" s="879"/>
      <c r="C28" s="542"/>
      <c r="D28" s="543">
        <v>100</v>
      </c>
      <c r="E28" s="542"/>
      <c r="F28" s="577">
        <f>SUMIF(92:92,E28,93:93)-SUMIF(92:92,C28,93:93)+100</f>
        <v>100</v>
      </c>
      <c r="G28" s="542"/>
      <c r="H28" s="543">
        <f>SUMIF(92:92,G28,93:93)-SUMIF(92:92,C28,93:93)+100</f>
        <v>100</v>
      </c>
      <c r="I28" s="542"/>
      <c r="J28" s="543">
        <f>SUMIF(92:92,I28,93:93)-SUMIF(92:92,C28,93:93)+100</f>
        <v>100</v>
      </c>
      <c r="K28" s="867"/>
      <c r="L28" s="2143"/>
      <c r="M28" s="2135"/>
      <c r="N28" s="2135"/>
      <c r="O28" s="2142"/>
      <c r="P28" s="3520"/>
      <c r="Q28" s="3177">
        <f t="shared" si="11"/>
        <v>0</v>
      </c>
      <c r="R28" s="1573" t="s">
        <v>11</v>
      </c>
      <c r="S28" s="1574">
        <f t="shared" ref="S28:S46" si="12">F28</f>
        <v>100</v>
      </c>
      <c r="T28" s="1573" t="s">
        <v>11</v>
      </c>
      <c r="U28" s="1574">
        <f t="shared" ref="U28:U46" si="13">H28</f>
        <v>100</v>
      </c>
      <c r="V28" s="1573" t="s">
        <v>11</v>
      </c>
      <c r="W28" s="1574">
        <f t="shared" ref="W28:W46" si="14">J28</f>
        <v>100</v>
      </c>
      <c r="X28" s="3179"/>
      <c r="Y28" s="3520"/>
      <c r="Z28" s="3178">
        <f t="shared" ref="Z28:Z46" si="15">Q28</f>
        <v>0</v>
      </c>
      <c r="AA28" s="3180">
        <f t="shared" si="3"/>
        <v>1</v>
      </c>
      <c r="AB28" s="3180">
        <f t="shared" si="4"/>
        <v>1</v>
      </c>
      <c r="AC28" s="3180">
        <f t="shared" si="5"/>
        <v>1</v>
      </c>
    </row>
    <row r="29" spans="1:29" ht="15.75" hidden="1" thickBot="1">
      <c r="A29" s="535"/>
      <c r="B29" s="879"/>
      <c r="C29" s="542"/>
      <c r="D29" s="543">
        <v>100</v>
      </c>
      <c r="E29" s="542"/>
      <c r="F29" s="577">
        <f>SUMIF(94:94,E29,95:95)-SUMIF(94:94,C29,95:95)+100</f>
        <v>100</v>
      </c>
      <c r="G29" s="542"/>
      <c r="H29" s="543">
        <f>SUMIF(94:94,G29,95:95)-SUMIF(94:94,C29,95:95)+100</f>
        <v>100</v>
      </c>
      <c r="I29" s="542"/>
      <c r="J29" s="543">
        <f>SUMIF(94:94,I29,95:95)-SUMIF(94:94,C29,95:95)+100</f>
        <v>100</v>
      </c>
      <c r="K29" s="867"/>
      <c r="L29" s="2143"/>
      <c r="M29" s="2135"/>
      <c r="N29" s="2135"/>
      <c r="O29" s="2142"/>
      <c r="P29" s="3520"/>
      <c r="Q29" s="3177">
        <f t="shared" si="11"/>
        <v>0</v>
      </c>
      <c r="R29" s="1573" t="s">
        <v>11</v>
      </c>
      <c r="S29" s="1574">
        <f t="shared" si="12"/>
        <v>100</v>
      </c>
      <c r="T29" s="1573" t="s">
        <v>11</v>
      </c>
      <c r="U29" s="1574">
        <f t="shared" si="13"/>
        <v>100</v>
      </c>
      <c r="V29" s="1573" t="s">
        <v>11</v>
      </c>
      <c r="W29" s="1574">
        <f t="shared" si="14"/>
        <v>100</v>
      </c>
      <c r="X29" s="3179"/>
      <c r="Y29" s="3520"/>
      <c r="Z29" s="3178">
        <f t="shared" si="15"/>
        <v>0</v>
      </c>
      <c r="AA29" s="3180">
        <f t="shared" si="3"/>
        <v>1</v>
      </c>
      <c r="AB29" s="3180">
        <f t="shared" si="4"/>
        <v>1</v>
      </c>
      <c r="AC29" s="3180">
        <f t="shared" si="5"/>
        <v>1</v>
      </c>
    </row>
    <row r="30" spans="1:29" ht="15.75" hidden="1" thickBot="1">
      <c r="A30" s="535"/>
      <c r="B30" s="879"/>
      <c r="C30" s="542"/>
      <c r="D30" s="543">
        <v>100</v>
      </c>
      <c r="E30" s="542"/>
      <c r="F30" s="577">
        <f>SUMIF(96:96,E30,97:97)-SUMIF(96:96,C30,97:97)+100</f>
        <v>100</v>
      </c>
      <c r="G30" s="542"/>
      <c r="H30" s="543">
        <f>SUMIF(96:96,G30,97:97)-SUMIF(96:96,C30,97:97)+100</f>
        <v>100</v>
      </c>
      <c r="I30" s="542"/>
      <c r="J30" s="543">
        <f>SUMIF(96:96,I30,97:97)-SUMIF(96:96,C30,97:97)+100</f>
        <v>100</v>
      </c>
      <c r="K30" s="867"/>
      <c r="L30" s="2143"/>
      <c r="M30" s="2135"/>
      <c r="N30" s="2135"/>
      <c r="O30" s="2142"/>
      <c r="P30" s="3520"/>
      <c r="Q30" s="3177">
        <f t="shared" si="11"/>
        <v>0</v>
      </c>
      <c r="R30" s="1573" t="s">
        <v>11</v>
      </c>
      <c r="S30" s="1574">
        <f t="shared" si="12"/>
        <v>100</v>
      </c>
      <c r="T30" s="1573" t="s">
        <v>11</v>
      </c>
      <c r="U30" s="1574">
        <f t="shared" si="13"/>
        <v>100</v>
      </c>
      <c r="V30" s="1573" t="s">
        <v>11</v>
      </c>
      <c r="W30" s="1574">
        <f t="shared" si="14"/>
        <v>100</v>
      </c>
      <c r="X30" s="3179"/>
      <c r="Y30" s="3520"/>
      <c r="Z30" s="3178">
        <f t="shared" si="15"/>
        <v>0</v>
      </c>
      <c r="AA30" s="3180">
        <f t="shared" si="3"/>
        <v>1</v>
      </c>
      <c r="AB30" s="3180">
        <f t="shared" si="4"/>
        <v>1</v>
      </c>
      <c r="AC30" s="3180">
        <f t="shared" si="5"/>
        <v>1</v>
      </c>
    </row>
    <row r="31" spans="1:29" ht="15.75" hidden="1" thickBot="1">
      <c r="A31" s="546"/>
      <c r="B31" s="879"/>
      <c r="C31" s="548"/>
      <c r="D31" s="549">
        <v>100</v>
      </c>
      <c r="E31" s="548"/>
      <c r="F31" s="868">
        <f>SUMIF(98:98,E31,99:99)-SUMIF(98:98,C31,99:99)+100</f>
        <v>100</v>
      </c>
      <c r="G31" s="548"/>
      <c r="H31" s="549">
        <f>SUMIF(98:98,G31,99:99)-SUMIF(98:98,C31,99:99)+100</f>
        <v>100</v>
      </c>
      <c r="I31" s="548"/>
      <c r="J31" s="549">
        <f>SUMIF(98:98,I31,99:99)-SUMIF(98:98,C31,99:99)+100</f>
        <v>100</v>
      </c>
      <c r="K31" s="867"/>
      <c r="L31" s="2143"/>
      <c r="M31" s="2135"/>
      <c r="N31" s="2135"/>
      <c r="O31" s="2142"/>
      <c r="P31" s="3520"/>
      <c r="Q31" s="3177">
        <f t="shared" si="11"/>
        <v>0</v>
      </c>
      <c r="R31" s="1573" t="s">
        <v>11</v>
      </c>
      <c r="S31" s="1574">
        <f t="shared" si="12"/>
        <v>100</v>
      </c>
      <c r="T31" s="1573" t="s">
        <v>11</v>
      </c>
      <c r="U31" s="1574">
        <f t="shared" si="13"/>
        <v>100</v>
      </c>
      <c r="V31" s="1573" t="s">
        <v>11</v>
      </c>
      <c r="W31" s="1574">
        <f t="shared" si="14"/>
        <v>100</v>
      </c>
      <c r="X31" s="3179"/>
      <c r="Y31" s="3520"/>
      <c r="Z31" s="3178">
        <f t="shared" si="15"/>
        <v>0</v>
      </c>
      <c r="AA31" s="3180">
        <f t="shared" si="3"/>
        <v>1</v>
      </c>
      <c r="AB31" s="3180">
        <f t="shared" si="4"/>
        <v>1</v>
      </c>
      <c r="AC31" s="3180">
        <f t="shared" si="5"/>
        <v>1</v>
      </c>
    </row>
    <row r="32" spans="1:29" ht="15">
      <c r="A32" s="2934" t="s">
        <v>2758</v>
      </c>
      <c r="B32" s="172" t="s">
        <v>725</v>
      </c>
      <c r="C32" s="880" t="s">
        <v>3270</v>
      </c>
      <c r="D32" s="599">
        <v>100</v>
      </c>
      <c r="E32" s="880" t="s">
        <v>3270</v>
      </c>
      <c r="F32" s="577">
        <f>SUMIF(100:100,E32,101:101)-SUMIF(100:100,C32,101:101)+100</f>
        <v>100</v>
      </c>
      <c r="G32" s="880" t="s">
        <v>3270</v>
      </c>
      <c r="H32" s="599">
        <f>SUMIF(100:100,G32,101:101)-SUMIF(100:100,C32,101:101)+100</f>
        <v>100</v>
      </c>
      <c r="I32" s="880" t="s">
        <v>3268</v>
      </c>
      <c r="J32" s="543">
        <f>SUMIF(100:100,I32,101:101)-SUMIF(100:100,C32,101:101)+100</f>
        <v>110</v>
      </c>
      <c r="K32" s="866">
        <v>10</v>
      </c>
      <c r="L32" s="2143"/>
      <c r="M32" s="2135"/>
      <c r="N32" s="2135"/>
      <c r="O32" s="2142"/>
      <c r="P32" s="3521" t="s">
        <v>551</v>
      </c>
      <c r="Q32" s="3177" t="str">
        <f t="shared" si="11"/>
        <v>建筑类型</v>
      </c>
      <c r="R32" s="1573" t="s">
        <v>11</v>
      </c>
      <c r="S32" s="1574">
        <f t="shared" si="12"/>
        <v>100</v>
      </c>
      <c r="T32" s="1573" t="s">
        <v>11</v>
      </c>
      <c r="U32" s="1574">
        <f t="shared" si="13"/>
        <v>100</v>
      </c>
      <c r="V32" s="1573" t="s">
        <v>11</v>
      </c>
      <c r="W32" s="1574">
        <f t="shared" si="14"/>
        <v>110</v>
      </c>
      <c r="X32" s="3179"/>
      <c r="Y32" s="3522" t="s">
        <v>551</v>
      </c>
      <c r="Z32" s="3178" t="str">
        <f t="shared" si="15"/>
        <v>建筑类型</v>
      </c>
      <c r="AA32" s="3180">
        <f t="shared" si="3"/>
        <v>1</v>
      </c>
      <c r="AB32" s="3180">
        <f t="shared" si="4"/>
        <v>1</v>
      </c>
      <c r="AC32" s="3180">
        <f t="shared" si="5"/>
        <v>0.90909090909090906</v>
      </c>
    </row>
    <row r="33" spans="1:29" s="1339" customFormat="1" ht="15">
      <c r="A33" s="605"/>
      <c r="B33" s="530" t="s">
        <v>726</v>
      </c>
      <c r="C33" s="881">
        <f>'数据-汇总表'!E3</f>
        <v>114363</v>
      </c>
      <c r="D33" s="255">
        <v>100</v>
      </c>
      <c r="E33" s="537">
        <f>I33</f>
        <v>130000</v>
      </c>
      <c r="F33" s="865">
        <f>LOOKUP(E33,103:103,104:104)-LOOKUP(C33,103:103,104:104)+100</f>
        <v>100</v>
      </c>
      <c r="G33" s="536">
        <v>100000</v>
      </c>
      <c r="H33" s="255">
        <f>LOOKUP(G33,103:103,104:104)-LOOKUP(C33,103:103,104:104)+100</f>
        <v>100</v>
      </c>
      <c r="I33" s="537">
        <v>130000</v>
      </c>
      <c r="J33" s="255">
        <f>LOOKUP(I33,103:103,104:104)-LOOKUP(C33,103:103,104:104)+100</f>
        <v>100</v>
      </c>
      <c r="K33" s="867"/>
      <c r="L33" s="2141"/>
      <c r="M33" s="2172"/>
      <c r="N33" s="2172"/>
      <c r="O33" s="2144"/>
      <c r="P33" s="3522"/>
      <c r="Q33" s="1605" t="str">
        <f t="shared" si="11"/>
        <v>项目建筑规模</v>
      </c>
      <c r="R33" s="1577" t="s">
        <v>11</v>
      </c>
      <c r="S33" s="1578">
        <f t="shared" si="12"/>
        <v>100</v>
      </c>
      <c r="T33" s="1577" t="s">
        <v>11</v>
      </c>
      <c r="U33" s="1578">
        <f t="shared" si="13"/>
        <v>100</v>
      </c>
      <c r="V33" s="1577" t="s">
        <v>11</v>
      </c>
      <c r="W33" s="1578">
        <f t="shared" si="14"/>
        <v>100</v>
      </c>
      <c r="X33" s="1579"/>
      <c r="Y33" s="3522"/>
      <c r="Z33" s="1580" t="str">
        <f t="shared" si="15"/>
        <v>项目建筑规模</v>
      </c>
      <c r="AA33" s="3180">
        <f t="shared" si="3"/>
        <v>1</v>
      </c>
      <c r="AB33" s="3180">
        <f t="shared" si="4"/>
        <v>1</v>
      </c>
      <c r="AC33" s="3180">
        <f t="shared" si="5"/>
        <v>1</v>
      </c>
    </row>
    <row r="34" spans="1:29" ht="15">
      <c r="A34" s="596"/>
      <c r="B34" s="530" t="s">
        <v>727</v>
      </c>
      <c r="C34" s="882" t="s">
        <v>3247</v>
      </c>
      <c r="D34" s="543">
        <v>100</v>
      </c>
      <c r="E34" s="882" t="s">
        <v>3247</v>
      </c>
      <c r="F34" s="577">
        <f>SUMIF(105:105,E34,106:106)-SUMIF(105:105,C34,106:106)+100</f>
        <v>100</v>
      </c>
      <c r="G34" s="882" t="s">
        <v>3247</v>
      </c>
      <c r="H34" s="543">
        <f>SUMIF(105:105,G34,106:106)-SUMIF(105:105,C34,106:106)+100</f>
        <v>100</v>
      </c>
      <c r="I34" s="882" t="s">
        <v>3247</v>
      </c>
      <c r="J34" s="543">
        <f>SUMIF(105:105,I34,106:106)-SUMIF(105:105,C34,106:106)+100</f>
        <v>100</v>
      </c>
      <c r="K34" s="866"/>
      <c r="L34" s="2143"/>
      <c r="M34" s="2135"/>
      <c r="N34" s="2135"/>
      <c r="O34" s="2142"/>
      <c r="P34" s="3522"/>
      <c r="Q34" s="3177" t="str">
        <f t="shared" si="11"/>
        <v>建筑结构</v>
      </c>
      <c r="R34" s="1573" t="s">
        <v>11</v>
      </c>
      <c r="S34" s="1574">
        <f t="shared" si="12"/>
        <v>100</v>
      </c>
      <c r="T34" s="1573" t="s">
        <v>11</v>
      </c>
      <c r="U34" s="1574">
        <f t="shared" si="13"/>
        <v>100</v>
      </c>
      <c r="V34" s="1573" t="s">
        <v>11</v>
      </c>
      <c r="W34" s="1574">
        <f t="shared" si="14"/>
        <v>100</v>
      </c>
      <c r="X34" s="3179"/>
      <c r="Y34" s="3522"/>
      <c r="Z34" s="3178" t="str">
        <f t="shared" si="15"/>
        <v>建筑结构</v>
      </c>
      <c r="AA34" s="3180">
        <f t="shared" si="3"/>
        <v>1</v>
      </c>
      <c r="AB34" s="3180">
        <f t="shared" si="4"/>
        <v>1</v>
      </c>
      <c r="AC34" s="3180">
        <f t="shared" si="5"/>
        <v>1</v>
      </c>
    </row>
    <row r="35" spans="1:29" ht="15">
      <c r="A35" s="596"/>
      <c r="B35" s="530" t="s">
        <v>728</v>
      </c>
      <c r="C35" s="601" t="s">
        <v>3251</v>
      </c>
      <c r="D35" s="543">
        <v>100</v>
      </c>
      <c r="E35" s="601" t="s">
        <v>3251</v>
      </c>
      <c r="F35" s="577">
        <f>SUMIF(107:107,E35,108:108)-SUMIF(107:107,C35,108:108)+100</f>
        <v>100</v>
      </c>
      <c r="G35" s="601" t="s">
        <v>3251</v>
      </c>
      <c r="H35" s="543">
        <f>SUMIF(107:107,G35,108:108)-SUMIF(107:107,C35,108:108)+100</f>
        <v>100</v>
      </c>
      <c r="I35" s="601" t="s">
        <v>3251</v>
      </c>
      <c r="J35" s="543">
        <f>SUMIF(107:107,I35,108:108)-SUMIF(107:107,C35,108:108)+100</f>
        <v>100</v>
      </c>
      <c r="K35" s="866"/>
      <c r="L35" s="2143"/>
      <c r="M35" s="2135"/>
      <c r="N35" s="2135"/>
      <c r="O35" s="2142"/>
      <c r="P35" s="3522"/>
      <c r="Q35" s="3177" t="str">
        <f t="shared" si="11"/>
        <v>建筑品质</v>
      </c>
      <c r="R35" s="1573" t="s">
        <v>11</v>
      </c>
      <c r="S35" s="1574">
        <f t="shared" si="12"/>
        <v>100</v>
      </c>
      <c r="T35" s="1573" t="s">
        <v>11</v>
      </c>
      <c r="U35" s="1574">
        <f t="shared" si="13"/>
        <v>100</v>
      </c>
      <c r="V35" s="1573" t="s">
        <v>11</v>
      </c>
      <c r="W35" s="1574">
        <f t="shared" si="14"/>
        <v>100</v>
      </c>
      <c r="X35" s="3179"/>
      <c r="Y35" s="3522"/>
      <c r="Z35" s="3178" t="str">
        <f t="shared" si="15"/>
        <v>建筑品质</v>
      </c>
      <c r="AA35" s="3180">
        <f t="shared" si="3"/>
        <v>1</v>
      </c>
      <c r="AB35" s="3180">
        <f t="shared" si="4"/>
        <v>1</v>
      </c>
      <c r="AC35" s="3180">
        <f t="shared" si="5"/>
        <v>1</v>
      </c>
    </row>
    <row r="36" spans="1:29" ht="15">
      <c r="A36" s="596"/>
      <c r="B36" s="530" t="s">
        <v>729</v>
      </c>
      <c r="C36" s="601" t="s">
        <v>3253</v>
      </c>
      <c r="D36" s="543">
        <v>100</v>
      </c>
      <c r="E36" s="601" t="s">
        <v>3253</v>
      </c>
      <c r="F36" s="577">
        <f>SUMIF(109:109,E36,110:110)-SUMIF(109:109,C36,110:110)+100</f>
        <v>100</v>
      </c>
      <c r="G36" s="601" t="s">
        <v>3253</v>
      </c>
      <c r="H36" s="543">
        <f>SUMIF(109:109,G36,110:110)-SUMIF(109:109,C36,110:110)+100</f>
        <v>100</v>
      </c>
      <c r="I36" s="601" t="s">
        <v>3253</v>
      </c>
      <c r="J36" s="543">
        <f>SUMIF(109:109,I36,110:110)-SUMIF(109:109,C36,110:110)+100</f>
        <v>100</v>
      </c>
      <c r="K36" s="866"/>
      <c r="L36" s="2143"/>
      <c r="M36" s="2135"/>
      <c r="N36" s="2135"/>
      <c r="O36" s="2142"/>
      <c r="P36" s="3522"/>
      <c r="Q36" s="3177" t="str">
        <f t="shared" si="11"/>
        <v>公共部分装修</v>
      </c>
      <c r="R36" s="1573" t="s">
        <v>11</v>
      </c>
      <c r="S36" s="1574">
        <f t="shared" si="12"/>
        <v>100</v>
      </c>
      <c r="T36" s="1573" t="s">
        <v>11</v>
      </c>
      <c r="U36" s="1574">
        <f t="shared" si="13"/>
        <v>100</v>
      </c>
      <c r="V36" s="1573" t="s">
        <v>11</v>
      </c>
      <c r="W36" s="1574">
        <f t="shared" si="14"/>
        <v>100</v>
      </c>
      <c r="X36" s="3179"/>
      <c r="Y36" s="3522"/>
      <c r="Z36" s="3178" t="str">
        <f t="shared" si="15"/>
        <v>公共部分装修</v>
      </c>
      <c r="AA36" s="3180">
        <f t="shared" si="3"/>
        <v>1</v>
      </c>
      <c r="AB36" s="3180">
        <f t="shared" si="4"/>
        <v>1</v>
      </c>
      <c r="AC36" s="3180">
        <f t="shared" si="5"/>
        <v>1</v>
      </c>
    </row>
    <row r="37" spans="1:29" s="1220" customFormat="1" ht="15">
      <c r="A37" s="602"/>
      <c r="B37" s="530" t="s">
        <v>730</v>
      </c>
      <c r="C37" s="884">
        <v>1</v>
      </c>
      <c r="D37" s="255">
        <v>100</v>
      </c>
      <c r="E37" s="884">
        <v>1</v>
      </c>
      <c r="F37" s="865">
        <f>LOOKUP(E37,112:112,113:113)-LOOKUP(C37,112:112,113:113)+100</f>
        <v>100</v>
      </c>
      <c r="G37" s="884">
        <v>1</v>
      </c>
      <c r="H37" s="255">
        <f>LOOKUP(G37,112:112,113:113)-LOOKUP(C37,112:112,113:113)+100</f>
        <v>100</v>
      </c>
      <c r="I37" s="884">
        <v>1</v>
      </c>
      <c r="J37" s="255">
        <f>LOOKUP(I37,112:112,113:113)-LOOKUP(C37,112:112,113:113)+100</f>
        <v>100</v>
      </c>
      <c r="K37" s="866"/>
      <c r="L37" s="2136"/>
      <c r="M37" s="2137"/>
      <c r="N37" s="2137"/>
      <c r="O37" s="2138"/>
      <c r="P37" s="3522"/>
      <c r="Q37" s="3176" t="str">
        <f t="shared" si="11"/>
        <v>成新度</v>
      </c>
      <c r="R37" s="1568" t="s">
        <v>11</v>
      </c>
      <c r="S37" s="1569">
        <f t="shared" si="12"/>
        <v>100</v>
      </c>
      <c r="T37" s="1568" t="s">
        <v>11</v>
      </c>
      <c r="U37" s="1569">
        <f t="shared" si="13"/>
        <v>100</v>
      </c>
      <c r="V37" s="1568" t="s">
        <v>11</v>
      </c>
      <c r="W37" s="1569">
        <f t="shared" si="14"/>
        <v>100</v>
      </c>
      <c r="X37" s="1570"/>
      <c r="Y37" s="3522"/>
      <c r="Z37" s="3175" t="str">
        <f t="shared" si="15"/>
        <v>成新度</v>
      </c>
      <c r="AA37" s="1571">
        <f t="shared" si="3"/>
        <v>1</v>
      </c>
      <c r="AB37" s="1571">
        <f t="shared" si="4"/>
        <v>1</v>
      </c>
      <c r="AC37" s="1571">
        <f t="shared" si="5"/>
        <v>1</v>
      </c>
    </row>
    <row r="38" spans="1:29" ht="15">
      <c r="A38" s="596"/>
      <c r="B38" s="530" t="s">
        <v>731</v>
      </c>
      <c r="C38" s="601" t="s">
        <v>3255</v>
      </c>
      <c r="D38" s="543">
        <v>100</v>
      </c>
      <c r="E38" s="601" t="s">
        <v>3255</v>
      </c>
      <c r="F38" s="577">
        <f>SUMIF(114:114,E38,115:115)-SUMIF(114:114,C38,115:115)+100</f>
        <v>100</v>
      </c>
      <c r="G38" s="601" t="s">
        <v>3255</v>
      </c>
      <c r="H38" s="543">
        <f>SUMIF(114:114,G38,115:115)-SUMIF(114:114,C38,115:115)+100</f>
        <v>100</v>
      </c>
      <c r="I38" s="601" t="s">
        <v>3255</v>
      </c>
      <c r="J38" s="543">
        <f>SUMIF(114:114,I38,115:115)-SUMIF(114:114,C38,115:115)+100</f>
        <v>100</v>
      </c>
      <c r="K38" s="866"/>
      <c r="L38" s="2143"/>
      <c r="M38" s="2135"/>
      <c r="N38" s="2135"/>
      <c r="O38" s="2142"/>
      <c r="P38" s="3522" t="s">
        <v>551</v>
      </c>
      <c r="Q38" s="3177" t="str">
        <f t="shared" si="11"/>
        <v>物业管理</v>
      </c>
      <c r="R38" s="1573" t="s">
        <v>11</v>
      </c>
      <c r="S38" s="1574">
        <f t="shared" si="12"/>
        <v>100</v>
      </c>
      <c r="T38" s="1573" t="s">
        <v>11</v>
      </c>
      <c r="U38" s="1574">
        <f t="shared" si="13"/>
        <v>100</v>
      </c>
      <c r="V38" s="1573" t="s">
        <v>11</v>
      </c>
      <c r="W38" s="1574">
        <f t="shared" si="14"/>
        <v>100</v>
      </c>
      <c r="X38" s="3179"/>
      <c r="Y38" s="3522" t="s">
        <v>551</v>
      </c>
      <c r="Z38" s="3178" t="str">
        <f t="shared" si="15"/>
        <v>物业管理</v>
      </c>
      <c r="AA38" s="3180">
        <f t="shared" si="3"/>
        <v>1</v>
      </c>
      <c r="AB38" s="3180">
        <f t="shared" si="4"/>
        <v>1</v>
      </c>
      <c r="AC38" s="3180">
        <f t="shared" si="5"/>
        <v>1</v>
      </c>
    </row>
    <row r="39" spans="1:29" ht="15">
      <c r="A39" s="596"/>
      <c r="B39" s="1896" t="s">
        <v>2566</v>
      </c>
      <c r="C39" s="601" t="s">
        <v>3257</v>
      </c>
      <c r="D39" s="543">
        <v>100</v>
      </c>
      <c r="E39" s="601" t="s">
        <v>3257</v>
      </c>
      <c r="F39" s="577">
        <f>SUMIF(116:116,E39,117:117)-SUMIF(116:116,C39,117:117)+100</f>
        <v>100</v>
      </c>
      <c r="G39" s="601" t="s">
        <v>3257</v>
      </c>
      <c r="H39" s="543">
        <f>SUMIF(116:116,G39,117:117)-SUMIF(116:116,C39,117:117)+100</f>
        <v>100</v>
      </c>
      <c r="I39" s="601" t="s">
        <v>3257</v>
      </c>
      <c r="J39" s="543">
        <f>SUMIF(116:116,I39,117:117)-SUMIF(116:116,C39,117:117)+100</f>
        <v>100</v>
      </c>
      <c r="K39" s="866"/>
      <c r="L39" s="2143"/>
      <c r="M39" s="2135"/>
      <c r="N39" s="2135"/>
      <c r="O39" s="2142"/>
      <c r="P39" s="3522"/>
      <c r="Q39" s="3177" t="str">
        <f t="shared" si="11"/>
        <v>市政基础设施</v>
      </c>
      <c r="R39" s="1573" t="s">
        <v>11</v>
      </c>
      <c r="S39" s="1574">
        <f t="shared" si="12"/>
        <v>100</v>
      </c>
      <c r="T39" s="1573" t="s">
        <v>11</v>
      </c>
      <c r="U39" s="1574">
        <f t="shared" si="13"/>
        <v>100</v>
      </c>
      <c r="V39" s="1573" t="s">
        <v>11</v>
      </c>
      <c r="W39" s="1574">
        <f t="shared" si="14"/>
        <v>100</v>
      </c>
      <c r="X39" s="3179"/>
      <c r="Y39" s="3522"/>
      <c r="Z39" s="3178" t="str">
        <f t="shared" si="15"/>
        <v>市政基础设施</v>
      </c>
      <c r="AA39" s="3180">
        <f t="shared" si="3"/>
        <v>1</v>
      </c>
      <c r="AB39" s="3180">
        <f t="shared" si="4"/>
        <v>1</v>
      </c>
      <c r="AC39" s="3180">
        <f t="shared" si="5"/>
        <v>1</v>
      </c>
    </row>
    <row r="40" spans="1:29" ht="15">
      <c r="A40" s="596"/>
      <c r="B40" s="530" t="s">
        <v>732</v>
      </c>
      <c r="C40" s="601"/>
      <c r="D40" s="543">
        <v>100</v>
      </c>
      <c r="E40" s="876"/>
      <c r="F40" s="577">
        <f>SUMIF(118:118,E40,119:119)-SUMIF(118:118,C40,119:119)+100</f>
        <v>100</v>
      </c>
      <c r="G40" s="601"/>
      <c r="H40" s="543">
        <f>SUMIF(118:118,G40,119:119)-SUMIF(118:118,C40,119:119)+100</f>
        <v>100</v>
      </c>
      <c r="I40" s="876"/>
      <c r="J40" s="543">
        <f>SUMIF(118:118,I40,119:119)-SUMIF(118:118,C40,119:119)+100</f>
        <v>100</v>
      </c>
      <c r="K40" s="866"/>
      <c r="L40" s="2143"/>
      <c r="M40" s="2135"/>
      <c r="N40" s="2135"/>
      <c r="O40" s="2142"/>
      <c r="P40" s="3522"/>
      <c r="Q40" s="3177" t="str">
        <f t="shared" si="11"/>
        <v>房型</v>
      </c>
      <c r="R40" s="1573" t="s">
        <v>11</v>
      </c>
      <c r="S40" s="1574">
        <f t="shared" si="12"/>
        <v>100</v>
      </c>
      <c r="T40" s="1573" t="s">
        <v>11</v>
      </c>
      <c r="U40" s="1574">
        <f t="shared" si="13"/>
        <v>100</v>
      </c>
      <c r="V40" s="1573" t="s">
        <v>11</v>
      </c>
      <c r="W40" s="1574">
        <f t="shared" si="14"/>
        <v>100</v>
      </c>
      <c r="X40" s="3179"/>
      <c r="Y40" s="3522"/>
      <c r="Z40" s="3178" t="str">
        <f t="shared" si="15"/>
        <v>房型</v>
      </c>
      <c r="AA40" s="3180">
        <f t="shared" si="3"/>
        <v>1</v>
      </c>
      <c r="AB40" s="3180">
        <f t="shared" si="4"/>
        <v>1</v>
      </c>
      <c r="AC40" s="3180">
        <f t="shared" si="5"/>
        <v>1</v>
      </c>
    </row>
    <row r="41" spans="1:29" s="1339" customFormat="1" ht="28.5">
      <c r="A41" s="605"/>
      <c r="B41" s="530" t="s">
        <v>733</v>
      </c>
      <c r="C41" s="881"/>
      <c r="D41" s="255">
        <v>100</v>
      </c>
      <c r="E41" s="537"/>
      <c r="F41" s="865">
        <f>SUMIF(120:120,E41,121:121)-SUMIF(120:120,C41,121:121)+100</f>
        <v>100</v>
      </c>
      <c r="G41" s="536"/>
      <c r="H41" s="255">
        <f>SUMIF(120:120,G41,121:121)-SUMIF(120:120,C41,121:121)+100</f>
        <v>100</v>
      </c>
      <c r="I41" s="588"/>
      <c r="J41" s="543">
        <f>SUMIF(120:120,I41,121:121)-SUMIF(120:120,C41,121:121)+100</f>
        <v>100</v>
      </c>
      <c r="K41" s="867"/>
      <c r="L41" s="2141"/>
      <c r="M41" s="2172"/>
      <c r="N41" s="2172"/>
      <c r="O41" s="2144"/>
      <c r="P41" s="3522"/>
      <c r="Q41" s="1605" t="str">
        <f t="shared" si="11"/>
        <v>单套/主力户型建筑面积</v>
      </c>
      <c r="R41" s="1577" t="s">
        <v>11</v>
      </c>
      <c r="S41" s="1578">
        <f t="shared" si="12"/>
        <v>100</v>
      </c>
      <c r="T41" s="1577" t="s">
        <v>11</v>
      </c>
      <c r="U41" s="1578">
        <f t="shared" si="13"/>
        <v>100</v>
      </c>
      <c r="V41" s="1577" t="s">
        <v>11</v>
      </c>
      <c r="W41" s="1578">
        <f t="shared" si="14"/>
        <v>100</v>
      </c>
      <c r="X41" s="1579"/>
      <c r="Y41" s="3522"/>
      <c r="Z41" s="1580" t="str">
        <f t="shared" si="15"/>
        <v>单套/主力户型建筑面积</v>
      </c>
      <c r="AA41" s="3180">
        <f t="shared" si="3"/>
        <v>1</v>
      </c>
      <c r="AB41" s="3180">
        <f t="shared" si="4"/>
        <v>1</v>
      </c>
      <c r="AC41" s="3180">
        <f t="shared" si="5"/>
        <v>1</v>
      </c>
    </row>
    <row r="42" spans="1:29" ht="15">
      <c r="A42" s="596"/>
      <c r="B42" s="530" t="s">
        <v>734</v>
      </c>
      <c r="C42" s="601" t="s">
        <v>3259</v>
      </c>
      <c r="D42" s="543">
        <v>100</v>
      </c>
      <c r="E42" s="601" t="s">
        <v>3265</v>
      </c>
      <c r="F42" s="577">
        <f>SUMIF(122:122,E42,123:123)-SUMIF(122:122,C42,123:123)+100</f>
        <v>105</v>
      </c>
      <c r="G42" s="601" t="s">
        <v>3265</v>
      </c>
      <c r="H42" s="543">
        <f>SUMIF(122:122,G42,123:123)-SUMIF(122:122,C42,123:123)+100</f>
        <v>105</v>
      </c>
      <c r="I42" s="601" t="s">
        <v>3265</v>
      </c>
      <c r="J42" s="543">
        <f>SUMIF(122:122,I42,123:123)-SUMIF(122:122,C42,123:123)+100</f>
        <v>105</v>
      </c>
      <c r="K42" s="866">
        <v>5</v>
      </c>
      <c r="L42" s="2143"/>
      <c r="M42" s="2135"/>
      <c r="N42" s="2135"/>
      <c r="O42" s="2142"/>
      <c r="P42" s="3522"/>
      <c r="Q42" s="3177" t="str">
        <f t="shared" si="11"/>
        <v>内部装修</v>
      </c>
      <c r="R42" s="1573" t="s">
        <v>11</v>
      </c>
      <c r="S42" s="1574">
        <f t="shared" si="12"/>
        <v>105</v>
      </c>
      <c r="T42" s="1573" t="s">
        <v>11</v>
      </c>
      <c r="U42" s="1574">
        <f t="shared" si="13"/>
        <v>105</v>
      </c>
      <c r="V42" s="1573" t="s">
        <v>11</v>
      </c>
      <c r="W42" s="1574">
        <f t="shared" si="14"/>
        <v>105</v>
      </c>
      <c r="X42" s="3179"/>
      <c r="Y42" s="3522"/>
      <c r="Z42" s="3178" t="str">
        <f t="shared" si="15"/>
        <v>内部装修</v>
      </c>
      <c r="AA42" s="3180">
        <f t="shared" si="3"/>
        <v>0.95238095238095233</v>
      </c>
      <c r="AB42" s="3180">
        <f t="shared" si="4"/>
        <v>0.95238095238095233</v>
      </c>
      <c r="AC42" s="3180">
        <f t="shared" si="5"/>
        <v>0.95238095238095233</v>
      </c>
    </row>
    <row r="43" spans="1:29" ht="27.75" thickBot="1">
      <c r="A43" s="596"/>
      <c r="B43" s="530" t="s">
        <v>735</v>
      </c>
      <c r="C43" s="601" t="s">
        <v>3229</v>
      </c>
      <c r="D43" s="543">
        <v>100</v>
      </c>
      <c r="E43" s="601" t="s">
        <v>3229</v>
      </c>
      <c r="F43" s="577">
        <f>SUMIF(124:124,E43,125:125)-SUMIF(124:124,C43,125:125)+100</f>
        <v>100</v>
      </c>
      <c r="G43" s="601" t="s">
        <v>3229</v>
      </c>
      <c r="H43" s="543">
        <f>SUMIF(124:124,G43,125:125)-SUMIF(124:124,C43,125:125)+100</f>
        <v>100</v>
      </c>
      <c r="I43" s="601" t="s">
        <v>3229</v>
      </c>
      <c r="J43" s="543">
        <f>SUMIF(124:124,I43,125:125)-SUMIF(124:124,C43,125:125)+100</f>
        <v>100</v>
      </c>
      <c r="K43" s="866"/>
      <c r="L43" s="2143"/>
      <c r="M43" s="2135"/>
      <c r="N43" s="2135"/>
      <c r="O43" s="2142"/>
      <c r="P43" s="3522"/>
      <c r="Q43" s="3177" t="str">
        <f t="shared" si="11"/>
        <v>内部装修维护情况</v>
      </c>
      <c r="R43" s="1573" t="s">
        <v>11</v>
      </c>
      <c r="S43" s="1574">
        <f t="shared" si="12"/>
        <v>100</v>
      </c>
      <c r="T43" s="1573" t="s">
        <v>11</v>
      </c>
      <c r="U43" s="1574">
        <f t="shared" si="13"/>
        <v>100</v>
      </c>
      <c r="V43" s="1573" t="s">
        <v>11</v>
      </c>
      <c r="W43" s="1574">
        <f t="shared" si="14"/>
        <v>100</v>
      </c>
      <c r="X43" s="3179"/>
      <c r="Y43" s="3522"/>
      <c r="Z43" s="3178" t="str">
        <f t="shared" si="15"/>
        <v>内部装修维护情况</v>
      </c>
      <c r="AA43" s="3180">
        <f t="shared" si="3"/>
        <v>1</v>
      </c>
      <c r="AB43" s="3180">
        <f t="shared" si="4"/>
        <v>1</v>
      </c>
      <c r="AC43" s="3180">
        <f t="shared" si="5"/>
        <v>1</v>
      </c>
    </row>
    <row r="44" spans="1:29" s="1220" customFormat="1" ht="18.75" hidden="1" customHeight="1">
      <c r="A44" s="602"/>
      <c r="B44" s="879"/>
      <c r="C44" s="881"/>
      <c r="D44" s="255">
        <v>100</v>
      </c>
      <c r="E44" s="881"/>
      <c r="F44" s="865">
        <f>SUMIF(126:126,E44,127:127)-SUMIF(126:126,C44,127:127)+100</f>
        <v>100</v>
      </c>
      <c r="G44" s="881"/>
      <c r="H44" s="255">
        <f>SUMIF(126:126,G44,127:127)-SUMIF(126:126,C44,127:127)+100</f>
        <v>100</v>
      </c>
      <c r="I44" s="881"/>
      <c r="J44" s="255">
        <f>SUMIF(126:126,I44,127:127)-SUMIF(126:126,C44,127:127)+100</f>
        <v>100</v>
      </c>
      <c r="K44" s="867"/>
      <c r="L44" s="2136"/>
      <c r="M44" s="2137"/>
      <c r="N44" s="2137"/>
      <c r="O44" s="2138"/>
      <c r="P44" s="3522"/>
      <c r="Q44" s="3176">
        <f t="shared" si="11"/>
        <v>0</v>
      </c>
      <c r="R44" s="1568" t="s">
        <v>11</v>
      </c>
      <c r="S44" s="1569">
        <f t="shared" si="12"/>
        <v>100</v>
      </c>
      <c r="T44" s="1568" t="s">
        <v>11</v>
      </c>
      <c r="U44" s="1569">
        <f t="shared" si="13"/>
        <v>100</v>
      </c>
      <c r="V44" s="1568" t="s">
        <v>11</v>
      </c>
      <c r="W44" s="1569">
        <f t="shared" si="14"/>
        <v>100</v>
      </c>
      <c r="X44" s="1570"/>
      <c r="Y44" s="3522"/>
      <c r="Z44" s="3175">
        <f t="shared" si="15"/>
        <v>0</v>
      </c>
      <c r="AA44" s="1571">
        <f t="shared" si="3"/>
        <v>1</v>
      </c>
      <c r="AB44" s="1571">
        <f t="shared" si="4"/>
        <v>1</v>
      </c>
      <c r="AC44" s="1571">
        <f t="shared" si="5"/>
        <v>1</v>
      </c>
    </row>
    <row r="45" spans="1:29" ht="15.75" hidden="1" thickBot="1">
      <c r="A45" s="596"/>
      <c r="B45" s="879"/>
      <c r="C45" s="542"/>
      <c r="D45" s="543">
        <v>100</v>
      </c>
      <c r="E45" s="542"/>
      <c r="F45" s="577">
        <f>SUMIF(128:128,E45,129:129)-SUMIF(128:128,C45,129:129)+100</f>
        <v>100</v>
      </c>
      <c r="G45" s="542"/>
      <c r="H45" s="543">
        <f>SUMIF(128:128,G45,129:129)-SUMIF(128:128,C45,129:129)+100</f>
        <v>100</v>
      </c>
      <c r="I45" s="542"/>
      <c r="J45" s="543">
        <f>SUMIF(128:128,I45,129:129)-SUMIF(128:128,C45,129:129)+100</f>
        <v>100</v>
      </c>
      <c r="K45" s="867"/>
      <c r="L45" s="2143"/>
      <c r="M45" s="2135"/>
      <c r="N45" s="2135"/>
      <c r="O45" s="2142"/>
      <c r="P45" s="3522"/>
      <c r="Q45" s="3177">
        <f t="shared" si="11"/>
        <v>0</v>
      </c>
      <c r="R45" s="1573" t="s">
        <v>11</v>
      </c>
      <c r="S45" s="1574">
        <f t="shared" si="12"/>
        <v>100</v>
      </c>
      <c r="T45" s="1573" t="s">
        <v>11</v>
      </c>
      <c r="U45" s="1574">
        <f t="shared" si="13"/>
        <v>100</v>
      </c>
      <c r="V45" s="1573" t="s">
        <v>11</v>
      </c>
      <c r="W45" s="1574">
        <f t="shared" si="14"/>
        <v>100</v>
      </c>
      <c r="X45" s="3179"/>
      <c r="Y45" s="3522"/>
      <c r="Z45" s="3178">
        <f t="shared" si="15"/>
        <v>0</v>
      </c>
      <c r="AA45" s="3180">
        <f t="shared" si="3"/>
        <v>1</v>
      </c>
      <c r="AB45" s="3180">
        <f t="shared" si="4"/>
        <v>1</v>
      </c>
      <c r="AC45" s="3180">
        <f t="shared" si="5"/>
        <v>1</v>
      </c>
    </row>
    <row r="46" spans="1:29" ht="15.75" hidden="1" thickBot="1">
      <c r="A46" s="887"/>
      <c r="B46" s="547"/>
      <c r="C46" s="548"/>
      <c r="D46" s="549">
        <v>100</v>
      </c>
      <c r="E46" s="548"/>
      <c r="F46" s="868">
        <f>SUMIF(130:130,E46,131:131)-SUMIF(130:130,C46,131:131)+100</f>
        <v>100</v>
      </c>
      <c r="G46" s="548"/>
      <c r="H46" s="549">
        <f>SUMIF(130:130,G46,131:131)-SUMIF(130:130,C46,131:131)+100</f>
        <v>100</v>
      </c>
      <c r="I46" s="548"/>
      <c r="J46" s="549">
        <f>SUMIF(130:130,I46,131:131)-SUMIF(130:130,C46,131:131)+100</f>
        <v>100</v>
      </c>
      <c r="K46" s="867"/>
      <c r="L46" s="2143"/>
      <c r="M46" s="2135"/>
      <c r="N46" s="2135"/>
      <c r="O46" s="2142"/>
      <c r="P46" s="3620"/>
      <c r="Q46" s="3177">
        <f t="shared" si="11"/>
        <v>0</v>
      </c>
      <c r="R46" s="1573" t="s">
        <v>10</v>
      </c>
      <c r="S46" s="1574">
        <f t="shared" si="12"/>
        <v>100</v>
      </c>
      <c r="T46" s="1573" t="s">
        <v>10</v>
      </c>
      <c r="U46" s="1574">
        <f t="shared" si="13"/>
        <v>100</v>
      </c>
      <c r="V46" s="1573" t="s">
        <v>10</v>
      </c>
      <c r="W46" s="1574">
        <f t="shared" si="14"/>
        <v>100</v>
      </c>
      <c r="X46" s="3179"/>
      <c r="Y46" s="3620"/>
      <c r="Z46" s="3178">
        <f t="shared" si="15"/>
        <v>0</v>
      </c>
      <c r="AA46" s="3180">
        <f t="shared" si="3"/>
        <v>1</v>
      </c>
      <c r="AB46" s="3180">
        <f t="shared" si="4"/>
        <v>1</v>
      </c>
      <c r="AC46" s="3180">
        <f t="shared" si="5"/>
        <v>1</v>
      </c>
    </row>
    <row r="47" spans="1:29" ht="15">
      <c r="A47" s="609" t="s">
        <v>736</v>
      </c>
      <c r="B47" s="888"/>
      <c r="C47" s="2652" t="s">
        <v>9</v>
      </c>
      <c r="D47" s="2653"/>
      <c r="E47" s="2654">
        <f>ROUND(150*10000/110*0.95,0)</f>
        <v>12955</v>
      </c>
      <c r="F47" s="2655"/>
      <c r="G47" s="2654">
        <f>ROUND(14000*0.95,0)</f>
        <v>13300</v>
      </c>
      <c r="H47" s="2657"/>
      <c r="I47" s="2654">
        <f>ROUND(13000*0.95,0)</f>
        <v>12350</v>
      </c>
      <c r="J47" s="2657"/>
      <c r="K47" s="1606"/>
      <c r="L47" s="2145"/>
      <c r="M47" s="2146"/>
      <c r="N47" s="2135"/>
      <c r="O47" s="2146"/>
      <c r="P47" s="3517" t="str">
        <f>A47</f>
        <v>成交单价（元/平方米）</v>
      </c>
      <c r="Q47" s="3517"/>
      <c r="R47" s="3621">
        <f>E47</f>
        <v>12955</v>
      </c>
      <c r="S47" s="3621"/>
      <c r="T47" s="3621">
        <f>G47</f>
        <v>13300</v>
      </c>
      <c r="U47" s="3621"/>
      <c r="V47" s="3621">
        <f>I47</f>
        <v>12350</v>
      </c>
      <c r="W47" s="3621"/>
      <c r="X47" s="1559"/>
      <c r="Y47" s="1581"/>
      <c r="Z47" s="1559"/>
      <c r="AA47" s="1559"/>
      <c r="AB47" s="1559"/>
      <c r="AC47" s="1559"/>
    </row>
    <row r="48" spans="1:29" ht="15.75" thickBot="1">
      <c r="A48" s="617" t="s">
        <v>2696</v>
      </c>
      <c r="B48" s="889"/>
      <c r="C48" s="2658">
        <f>R49</f>
        <v>10686</v>
      </c>
      <c r="D48" s="2659"/>
      <c r="E48" s="2660">
        <f>R48</f>
        <v>11080</v>
      </c>
      <c r="F48" s="2660"/>
      <c r="G48" s="2658">
        <f>T48</f>
        <v>11375</v>
      </c>
      <c r="H48" s="2659"/>
      <c r="I48" s="2660">
        <f>V48</f>
        <v>9603</v>
      </c>
      <c r="J48" s="2659"/>
      <c r="K48" s="1607"/>
      <c r="L48" s="2145"/>
      <c r="M48" s="2146"/>
      <c r="N48" s="2146"/>
      <c r="O48" s="2146"/>
      <c r="P48" s="3517" t="str">
        <f>A48</f>
        <v>比较价格（元/平方米）</v>
      </c>
      <c r="Q48" s="3517"/>
      <c r="R48" s="3621">
        <f>IF(F1="售价",ROUND(PRODUCT(R47,AA7:AA46),0),ROUND(PRODUCT(R47,AA7:AA46),1))</f>
        <v>11080</v>
      </c>
      <c r="S48" s="3621"/>
      <c r="T48" s="3621">
        <f>IF(F1="售价",ROUND(PRODUCT(T47,AB7:AB46),0),ROUND(PRODUCT(T47,AB7:AB46),1))</f>
        <v>11375</v>
      </c>
      <c r="U48" s="3621"/>
      <c r="V48" s="3621">
        <f>IF(F1="售价",ROUND(PRODUCT(V47,AC7:AC46),0),ROUND(PRODUCT(V47,AC7:AC46),1))</f>
        <v>9603</v>
      </c>
      <c r="W48" s="3621"/>
      <c r="X48" s="1559"/>
      <c r="Y48" s="1559"/>
      <c r="Z48" s="1559"/>
      <c r="AA48" s="1559"/>
      <c r="AB48" s="1559"/>
      <c r="AC48" s="1559"/>
    </row>
    <row r="49" spans="1:29" ht="15.75" thickBot="1">
      <c r="A49" s="623" t="s">
        <v>2930</v>
      </c>
      <c r="B49" s="624"/>
      <c r="C49" s="2661">
        <f>R49</f>
        <v>10686</v>
      </c>
      <c r="D49" s="2661"/>
      <c r="E49" s="2661"/>
      <c r="F49" s="2661"/>
      <c r="G49" s="2661"/>
      <c r="H49" s="2661"/>
      <c r="I49" s="2661"/>
      <c r="J49" s="2661"/>
      <c r="K49" s="1608"/>
      <c r="L49" s="2145"/>
      <c r="M49" s="2146"/>
      <c r="N49" s="2146"/>
      <c r="O49" s="2146"/>
      <c r="P49" s="3539" t="str">
        <f>A49</f>
        <v>估价对象XX用房的比较价格（楼面单价，元/平方米）</v>
      </c>
      <c r="Q49" s="3540"/>
      <c r="R49" s="3622">
        <f>IF(F1="售价",ROUND(AVERAGE(R48:V48),0),ROUND(AVERAGE(R48:V48),1))</f>
        <v>10686</v>
      </c>
      <c r="S49" s="3622"/>
      <c r="T49" s="3622"/>
      <c r="U49" s="3622"/>
      <c r="V49" s="3622"/>
      <c r="W49" s="362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6" t="s">
        <v>558</v>
      </c>
      <c r="D52" s="627"/>
      <c r="E52" s="628">
        <f>IF(E47&lt;E48,E48/E47-1,E47/E48-1)</f>
        <v>0.16922382671480141</v>
      </c>
      <c r="F52" s="629" t="str">
        <f>IF(OR(E52&gt;=0.3,E52&lt;=-0.3),"超过30%","")</f>
        <v/>
      </c>
      <c r="G52" s="628">
        <f>IF(G47&lt;G48,G48/G47-1,G47/G48-1)</f>
        <v>0.1692307692307693</v>
      </c>
      <c r="H52" s="629" t="str">
        <f>IF(OR(G52&gt;=0.3,G52&lt;=-0.3),"超过30%","")</f>
        <v/>
      </c>
      <c r="I52" s="628">
        <f>IF(I47&lt;I48,I48/I47-1,I47/I48-1)</f>
        <v>0.28605644069561587</v>
      </c>
      <c r="J52" s="629"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6" t="s">
        <v>559</v>
      </c>
      <c r="D53" s="630"/>
      <c r="E53" s="628">
        <f>IF(E48&lt;G48,G48/E48-1,E48/G48-1)</f>
        <v>2.6624548736462028E-2</v>
      </c>
      <c r="F53" s="629" t="str">
        <f>IF(OR(E53&gt;=0.2,E53&lt;=-0.2),"超过20%","")</f>
        <v/>
      </c>
      <c r="G53" s="628">
        <f>IF(G48&lt;I48,I48/G48-1,G48/I48-1)</f>
        <v>0.18452566906175161</v>
      </c>
      <c r="H53" s="629" t="str">
        <f>IF(OR(G53&gt;=0.2,G53&lt;=-0.2),"超过20%","")</f>
        <v/>
      </c>
      <c r="I53" s="628">
        <f>IF(I48&lt;E48,E48/I48-1,I48/E48-1)</f>
        <v>0.15380610225971059</v>
      </c>
      <c r="J53" s="629"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6" t="s">
        <v>560</v>
      </c>
      <c r="D54" s="630"/>
      <c r="E54" s="628">
        <f>IF(E47&lt;G47,G47/E47-1,E47/G47-1)</f>
        <v>2.6630644538788051E-2</v>
      </c>
      <c r="F54" s="629" t="str">
        <f>IF(OR(E54&gt;=0.3,E54&lt;=-0.3),"超过30%","")</f>
        <v/>
      </c>
      <c r="G54" s="628">
        <f>IF(G47&lt;I47,I47/G47-1,G47/I47-1)</f>
        <v>7.6923076923076872E-2</v>
      </c>
      <c r="H54" s="629" t="str">
        <f>IF(OR(G54&gt;=0.3,G54&lt;=-0.3),"超过30%","")</f>
        <v/>
      </c>
      <c r="I54" s="628">
        <f>IF(I47&lt;E47,E47/I47-1,I47/E47-1)</f>
        <v>4.8987854251012042E-2</v>
      </c>
      <c r="J54" s="629"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7" t="s">
        <v>530</v>
      </c>
      <c r="B58" s="648"/>
      <c r="C58" s="2831" t="str">
        <f>YEAR(C7)&amp;"-"&amp;MONTH(C7)</f>
        <v>2017-11</v>
      </c>
      <c r="D58" s="2831">
        <f>EDATE(C58,-1)</f>
        <v>43009</v>
      </c>
      <c r="E58" s="2831">
        <f t="shared" ref="E58:O58" si="16">EDATE(D58,-1)</f>
        <v>42979</v>
      </c>
      <c r="F58" s="2831">
        <f t="shared" si="16"/>
        <v>42948</v>
      </c>
      <c r="G58" s="2831">
        <f t="shared" si="16"/>
        <v>42917</v>
      </c>
      <c r="H58" s="2831">
        <f t="shared" si="16"/>
        <v>42887</v>
      </c>
      <c r="I58" s="2831">
        <f t="shared" si="16"/>
        <v>42856</v>
      </c>
      <c r="J58" s="2831">
        <f t="shared" si="16"/>
        <v>42826</v>
      </c>
      <c r="K58" s="2831">
        <f t="shared" si="16"/>
        <v>42795</v>
      </c>
      <c r="L58" s="2831">
        <f t="shared" si="16"/>
        <v>42767</v>
      </c>
      <c r="M58" s="2831">
        <f t="shared" si="16"/>
        <v>42736</v>
      </c>
      <c r="N58" s="2831">
        <f t="shared" si="16"/>
        <v>42705</v>
      </c>
      <c r="O58" s="2831">
        <f t="shared" si="16"/>
        <v>42675</v>
      </c>
      <c r="P58" s="2161"/>
      <c r="Q58" s="2162"/>
      <c r="R58" s="2162"/>
      <c r="S58" s="2162"/>
      <c r="T58" s="2162"/>
      <c r="U58" s="2162"/>
      <c r="V58" s="2162"/>
      <c r="W58" s="2162"/>
      <c r="X58" s="2162"/>
      <c r="Y58" s="2162"/>
      <c r="Z58" s="2162"/>
      <c r="AA58" s="2162"/>
      <c r="AB58" s="2162"/>
      <c r="AC58" s="2162"/>
    </row>
    <row r="59" spans="1:29" s="1220" customFormat="1" ht="15">
      <c r="A59" s="649"/>
      <c r="B59" s="650"/>
      <c r="C59" s="651">
        <v>100</v>
      </c>
      <c r="D59" s="652"/>
      <c r="E59" s="652"/>
      <c r="F59" s="652"/>
      <c r="G59" s="652"/>
      <c r="H59" s="652"/>
      <c r="I59" s="652"/>
      <c r="J59" s="652"/>
      <c r="K59" s="652"/>
      <c r="L59" s="652"/>
      <c r="M59" s="652"/>
      <c r="N59" s="652"/>
      <c r="O59" s="652"/>
      <c r="P59" s="2159"/>
      <c r="Q59" s="1994"/>
      <c r="R59" s="1994"/>
      <c r="S59" s="1994"/>
      <c r="T59" s="1994"/>
      <c r="U59" s="1994"/>
      <c r="V59" s="1994"/>
      <c r="W59" s="1994"/>
      <c r="X59" s="1994"/>
      <c r="Y59" s="1994"/>
      <c r="Z59" s="1994"/>
      <c r="AA59" s="1994"/>
      <c r="AB59" s="1994"/>
      <c r="AC59" s="1994"/>
    </row>
    <row r="60" spans="1:29" s="1220" customFormat="1" ht="15.75" thickBot="1">
      <c r="A60" s="655" t="s">
        <v>576</v>
      </c>
      <c r="B60" s="656"/>
      <c r="C60" s="657"/>
      <c r="D60" s="658"/>
      <c r="E60" s="658"/>
      <c r="F60" s="658"/>
      <c r="G60" s="658"/>
      <c r="H60" s="658"/>
      <c r="I60" s="658"/>
      <c r="J60" s="658"/>
      <c r="K60" s="658"/>
      <c r="L60" s="658"/>
      <c r="M60" s="659"/>
      <c r="N60" s="658"/>
      <c r="O60" s="660"/>
      <c r="P60" s="2159"/>
      <c r="Q60" s="2159"/>
      <c r="R60" s="1994"/>
      <c r="S60" s="1994"/>
      <c r="T60" s="1994"/>
      <c r="U60" s="1994"/>
      <c r="V60" s="1994"/>
      <c r="W60" s="1994"/>
      <c r="X60" s="1994"/>
      <c r="Y60" s="1994"/>
      <c r="Z60" s="1994"/>
      <c r="AA60" s="1994"/>
      <c r="AB60" s="1994"/>
      <c r="AC60" s="1994"/>
    </row>
    <row r="61" spans="1:29" s="1220" customFormat="1" ht="15">
      <c r="A61" s="661" t="s">
        <v>532</v>
      </c>
      <c r="B61" s="650"/>
      <c r="C61" s="662" t="s">
        <v>577</v>
      </c>
      <c r="D61" s="663"/>
      <c r="E61" s="663"/>
      <c r="F61" s="663"/>
      <c r="G61" s="663"/>
      <c r="H61" s="663"/>
      <c r="I61" s="663"/>
      <c r="J61" s="663"/>
      <c r="K61" s="663"/>
      <c r="L61" s="664"/>
      <c r="M61" s="665"/>
      <c r="N61" s="2163"/>
      <c r="O61" s="2163"/>
      <c r="P61" s="2164"/>
      <c r="Q61" s="2159"/>
      <c r="R61" s="1994"/>
      <c r="S61" s="1994"/>
      <c r="T61" s="1994"/>
      <c r="U61" s="1994"/>
      <c r="V61" s="1994"/>
      <c r="W61" s="1994"/>
      <c r="X61" s="1994"/>
      <c r="Y61" s="1994"/>
      <c r="Z61" s="1994"/>
      <c r="AA61" s="1994"/>
      <c r="AB61" s="1994"/>
      <c r="AC61" s="1994"/>
    </row>
    <row r="62" spans="1:29" s="1220" customFormat="1" ht="15.75" thickBot="1">
      <c r="A62" s="661"/>
      <c r="B62" s="650"/>
      <c r="C62" s="890">
        <v>100</v>
      </c>
      <c r="D62" s="652"/>
      <c r="E62" s="652"/>
      <c r="F62" s="652"/>
      <c r="G62" s="652"/>
      <c r="H62" s="652"/>
      <c r="I62" s="652"/>
      <c r="J62" s="652"/>
      <c r="K62" s="652"/>
      <c r="L62" s="652"/>
      <c r="M62" s="654"/>
      <c r="N62" s="2163"/>
      <c r="O62" s="2163"/>
      <c r="P62" s="2159"/>
      <c r="Q62" s="2159"/>
      <c r="R62" s="1994"/>
      <c r="S62" s="1994"/>
      <c r="T62" s="1994"/>
      <c r="U62" s="1994"/>
      <c r="V62" s="1994"/>
      <c r="W62" s="1994"/>
      <c r="X62" s="1994"/>
      <c r="Y62" s="1994"/>
      <c r="Z62" s="1994"/>
      <c r="AA62" s="1994"/>
      <c r="AB62" s="1994"/>
      <c r="AC62" s="1994"/>
    </row>
    <row r="63" spans="1:29">
      <c r="A63" s="666" t="s">
        <v>578</v>
      </c>
      <c r="B63" s="667" t="s">
        <v>535</v>
      </c>
      <c r="C63" s="706" t="str">
        <f>C9</f>
        <v>住宅</v>
      </c>
      <c r="D63" s="600"/>
      <c r="E63" s="600"/>
      <c r="F63" s="600"/>
      <c r="G63" s="600"/>
      <c r="H63" s="600"/>
      <c r="I63" s="600"/>
      <c r="J63" s="600"/>
      <c r="K63" s="668"/>
      <c r="L63" s="669"/>
      <c r="M63" s="670"/>
      <c r="N63" s="2165"/>
      <c r="O63" s="2165"/>
      <c r="P63" s="2166"/>
      <c r="Q63" s="2159"/>
      <c r="R63" s="2146"/>
      <c r="S63" s="2146"/>
      <c r="T63" s="2146"/>
      <c r="U63" s="2146"/>
      <c r="V63" s="2146"/>
      <c r="W63" s="2146"/>
      <c r="X63" s="2146"/>
      <c r="Y63" s="2146"/>
      <c r="Z63" s="2146"/>
      <c r="AA63" s="2146"/>
      <c r="AB63" s="2146"/>
      <c r="AC63" s="2146"/>
    </row>
    <row r="64" spans="1:29" ht="15.75" thickBot="1">
      <c r="A64" s="671"/>
      <c r="B64" s="672"/>
      <c r="C64" s="673">
        <v>100</v>
      </c>
      <c r="D64" s="673"/>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71"/>
      <c r="B65" s="675" t="s">
        <v>538</v>
      </c>
      <c r="C65" s="676" t="s">
        <v>737</v>
      </c>
      <c r="D65" s="676" t="s">
        <v>738</v>
      </c>
      <c r="E65" s="676" t="s">
        <v>739</v>
      </c>
      <c r="F65" s="676" t="s">
        <v>740</v>
      </c>
      <c r="G65" s="676" t="s">
        <v>741</v>
      </c>
      <c r="H65" s="676" t="s">
        <v>742</v>
      </c>
      <c r="I65" s="676" t="s">
        <v>743</v>
      </c>
      <c r="J65" s="676"/>
      <c r="K65" s="677"/>
      <c r="L65" s="678"/>
      <c r="M65" s="679"/>
      <c r="N65" s="2165"/>
      <c r="O65" s="2165"/>
      <c r="P65" s="2166"/>
      <c r="Q65" s="2159"/>
      <c r="R65" s="2146"/>
      <c r="S65" s="2146"/>
      <c r="T65" s="2146"/>
      <c r="U65" s="2146"/>
      <c r="V65" s="2146"/>
      <c r="W65" s="2146"/>
      <c r="X65" s="2146"/>
      <c r="Y65" s="2146"/>
      <c r="Z65" s="2146"/>
      <c r="AA65" s="2146"/>
      <c r="AB65" s="2146"/>
      <c r="AC65" s="2146"/>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67"/>
      <c r="O66" s="2167"/>
      <c r="P66" s="2166"/>
      <c r="Q66" s="2159"/>
      <c r="R66" s="2146"/>
      <c r="S66" s="2146"/>
      <c r="T66" s="2146"/>
      <c r="U66" s="2146"/>
      <c r="V66" s="2146"/>
      <c r="W66" s="2146"/>
      <c r="X66" s="2146"/>
      <c r="Y66" s="2146"/>
      <c r="Z66" s="2146"/>
      <c r="AA66" s="2146"/>
      <c r="AB66" s="2146"/>
      <c r="AC66" s="2146"/>
    </row>
    <row r="67" spans="1:29" ht="15.75" thickTop="1">
      <c r="A67" s="671"/>
      <c r="B67" s="683" t="s">
        <v>539</v>
      </c>
      <c r="C67" s="684" t="str">
        <f>C68&amp;"（含）"&amp;"-"&amp;D68</f>
        <v>0（含）-1</v>
      </c>
      <c r="D67" s="684" t="str">
        <f t="shared" ref="D67:L67" si="18">D68&amp;"（含）"&amp;"-"&amp;E68</f>
        <v>1（含）-2</v>
      </c>
      <c r="E67" s="684" t="str">
        <f t="shared" si="18"/>
        <v>2（含）-3</v>
      </c>
      <c r="F67" s="684" t="str">
        <f t="shared" si="18"/>
        <v>3（含）-</v>
      </c>
      <c r="G67" s="684" t="str">
        <f t="shared" si="18"/>
        <v>（含）-</v>
      </c>
      <c r="H67" s="684" t="str">
        <f t="shared" si="18"/>
        <v>（含）-</v>
      </c>
      <c r="I67" s="684" t="str">
        <f t="shared" si="18"/>
        <v>（含）-</v>
      </c>
      <c r="J67" s="684" t="str">
        <f t="shared" si="18"/>
        <v>（含）-</v>
      </c>
      <c r="K67" s="684" t="str">
        <f t="shared" si="18"/>
        <v>（含）-</v>
      </c>
      <c r="L67" s="684" t="str">
        <f t="shared" si="18"/>
        <v>（含）-</v>
      </c>
      <c r="M67" s="558"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1"/>
      <c r="B68" s="685"/>
      <c r="C68" s="544">
        <v>0</v>
      </c>
      <c r="D68" s="544">
        <v>1</v>
      </c>
      <c r="E68" s="544">
        <v>2</v>
      </c>
      <c r="F68" s="544">
        <v>3</v>
      </c>
      <c r="G68" s="544"/>
      <c r="H68" s="544"/>
      <c r="I68" s="544"/>
      <c r="J68" s="544"/>
      <c r="K68" s="686"/>
      <c r="L68" s="687"/>
      <c r="M68" s="688"/>
      <c r="N68" s="2165"/>
      <c r="O68" s="2165"/>
      <c r="P68" s="2166"/>
      <c r="Q68" s="2159"/>
      <c r="R68" s="2146"/>
      <c r="S68" s="2146"/>
      <c r="T68" s="2146"/>
      <c r="U68" s="2146"/>
      <c r="V68" s="2146"/>
      <c r="W68" s="2146"/>
      <c r="X68" s="2146"/>
      <c r="Y68" s="2146"/>
      <c r="Z68" s="2146"/>
      <c r="AA68" s="2146"/>
      <c r="AB68" s="2146"/>
      <c r="AC68" s="2146"/>
    </row>
    <row r="69" spans="1:29" ht="15.75" thickBot="1">
      <c r="A69" s="671"/>
      <c r="B69" s="672"/>
      <c r="C69" s="681">
        <v>100</v>
      </c>
      <c r="D69" s="681">
        <f t="shared" ref="D69:M69" si="19">C69-$K11</f>
        <v>99</v>
      </c>
      <c r="E69" s="681">
        <f t="shared" si="19"/>
        <v>98</v>
      </c>
      <c r="F69" s="681">
        <f t="shared" si="19"/>
        <v>97</v>
      </c>
      <c r="G69" s="681">
        <f t="shared" si="19"/>
        <v>96</v>
      </c>
      <c r="H69" s="681">
        <f t="shared" si="19"/>
        <v>95</v>
      </c>
      <c r="I69" s="681">
        <f t="shared" si="19"/>
        <v>94</v>
      </c>
      <c r="J69" s="681">
        <f t="shared" si="19"/>
        <v>93</v>
      </c>
      <c r="K69" s="681">
        <f t="shared" si="19"/>
        <v>92</v>
      </c>
      <c r="L69" s="681">
        <f t="shared" si="19"/>
        <v>91</v>
      </c>
      <c r="M69" s="682">
        <f t="shared" si="19"/>
        <v>90</v>
      </c>
      <c r="N69" s="2167"/>
      <c r="O69" s="2167"/>
      <c r="P69" s="2166"/>
      <c r="Q69" s="2159"/>
      <c r="R69" s="2146"/>
      <c r="S69" s="2146"/>
      <c r="T69" s="2146"/>
      <c r="U69" s="2146"/>
      <c r="V69" s="2146"/>
      <c r="W69" s="2146"/>
      <c r="X69" s="2146"/>
      <c r="Y69" s="2146"/>
      <c r="Z69" s="2146"/>
      <c r="AA69" s="2146"/>
      <c r="AB69" s="2146"/>
      <c r="AC69" s="2146"/>
    </row>
    <row r="70" spans="1:29" s="1339" customFormat="1" ht="16.5" hidden="1" thickTop="1" thickBot="1">
      <c r="A70" s="689"/>
      <c r="B70" s="675">
        <f>B12</f>
        <v>0</v>
      </c>
      <c r="C70" s="690"/>
      <c r="D70" s="690"/>
      <c r="E70" s="690"/>
      <c r="F70" s="690"/>
      <c r="G70" s="690"/>
      <c r="H70" s="691"/>
      <c r="I70" s="691"/>
      <c r="J70" s="691"/>
      <c r="K70" s="691"/>
      <c r="L70" s="692"/>
      <c r="M70" s="693"/>
      <c r="N70" s="2168"/>
      <c r="O70" s="2168"/>
      <c r="P70" s="2169"/>
      <c r="Q70" s="2170"/>
      <c r="R70" s="2171"/>
      <c r="S70" s="2171"/>
      <c r="T70" s="2171"/>
      <c r="U70" s="2171"/>
      <c r="V70" s="2171"/>
      <c r="W70" s="2171"/>
      <c r="X70" s="2171"/>
      <c r="Y70" s="2171"/>
      <c r="Z70" s="2171"/>
      <c r="AA70" s="2171"/>
      <c r="AB70" s="2171"/>
      <c r="AC70" s="2171"/>
    </row>
    <row r="71" spans="1:29" s="1339" customFormat="1" ht="16.5" hidden="1" thickTop="1" thickBot="1">
      <c r="A71" s="689"/>
      <c r="B71" s="680"/>
      <c r="C71" s="694"/>
      <c r="D71" s="673"/>
      <c r="E71" s="673"/>
      <c r="F71" s="673"/>
      <c r="G71" s="673"/>
      <c r="H71" s="673"/>
      <c r="I71" s="673"/>
      <c r="J71" s="673"/>
      <c r="K71" s="673"/>
      <c r="L71" s="673"/>
      <c r="M71" s="674"/>
      <c r="N71" s="2167"/>
      <c r="O71" s="2167"/>
      <c r="P71" s="2169"/>
      <c r="Q71" s="2170"/>
      <c r="R71" s="2171"/>
      <c r="S71" s="2171"/>
      <c r="T71" s="2171"/>
      <c r="U71" s="2171"/>
      <c r="V71" s="2171"/>
      <c r="W71" s="2171"/>
      <c r="X71" s="2171"/>
      <c r="Y71" s="2171"/>
      <c r="Z71" s="2171"/>
      <c r="AA71" s="2171"/>
      <c r="AB71" s="2171"/>
      <c r="AC71" s="2171"/>
    </row>
    <row r="72" spans="1:29" s="1339" customFormat="1" ht="16.5" hidden="1" thickTop="1" thickBot="1">
      <c r="A72" s="689"/>
      <c r="B72" s="675">
        <f>B13</f>
        <v>0</v>
      </c>
      <c r="C72" s="690"/>
      <c r="D72" s="690"/>
      <c r="E72" s="690"/>
      <c r="F72" s="690"/>
      <c r="G72" s="690"/>
      <c r="H72" s="691"/>
      <c r="I72" s="691"/>
      <c r="J72" s="691"/>
      <c r="K72" s="691"/>
      <c r="L72" s="692"/>
      <c r="M72" s="693"/>
      <c r="N72" s="2168"/>
      <c r="O72" s="2168"/>
      <c r="P72" s="2172"/>
      <c r="Q72" s="2173"/>
      <c r="R72" s="2171"/>
      <c r="S72" s="2171"/>
      <c r="T72" s="2171"/>
      <c r="U72" s="2171"/>
      <c r="V72" s="2171"/>
      <c r="W72" s="2171"/>
      <c r="X72" s="2171"/>
      <c r="Y72" s="2171"/>
      <c r="Z72" s="2171"/>
      <c r="AA72" s="2171"/>
      <c r="AB72" s="2171"/>
      <c r="AC72" s="2171"/>
    </row>
    <row r="73" spans="1:29" s="1339" customFormat="1" ht="16.5" hidden="1" thickTop="1" thickBot="1">
      <c r="A73" s="689"/>
      <c r="B73" s="680"/>
      <c r="C73" s="694"/>
      <c r="D73" s="694"/>
      <c r="E73" s="694"/>
      <c r="F73" s="694"/>
      <c r="G73" s="694"/>
      <c r="H73" s="695"/>
      <c r="I73" s="695"/>
      <c r="J73" s="695"/>
      <c r="K73" s="695"/>
      <c r="L73" s="695"/>
      <c r="M73" s="696"/>
      <c r="N73" s="2168"/>
      <c r="O73" s="2168"/>
      <c r="P73" s="2169"/>
      <c r="Q73" s="2170"/>
      <c r="R73" s="2171"/>
      <c r="S73" s="2171"/>
      <c r="T73" s="2171"/>
      <c r="U73" s="2171"/>
      <c r="V73" s="2171"/>
      <c r="W73" s="2171"/>
      <c r="X73" s="2171"/>
      <c r="Y73" s="2171"/>
      <c r="Z73" s="2171"/>
      <c r="AA73" s="2171"/>
      <c r="AB73" s="2171"/>
      <c r="AC73" s="2171"/>
    </row>
    <row r="74" spans="1:29" s="1339" customFormat="1" ht="16.5" hidden="1" thickTop="1" thickBot="1">
      <c r="A74" s="689"/>
      <c r="B74" s="683">
        <f>B14</f>
        <v>0</v>
      </c>
      <c r="C74" s="690"/>
      <c r="D74" s="690"/>
      <c r="E74" s="690"/>
      <c r="F74" s="690"/>
      <c r="G74" s="663"/>
      <c r="H74" s="697"/>
      <c r="I74" s="697"/>
      <c r="J74" s="697"/>
      <c r="K74" s="697"/>
      <c r="L74" s="698"/>
      <c r="M74" s="699"/>
      <c r="N74" s="2168"/>
      <c r="O74" s="2168"/>
      <c r="P74" s="2174"/>
      <c r="Q74" s="2170"/>
      <c r="R74" s="2171"/>
      <c r="S74" s="2171"/>
      <c r="T74" s="2171"/>
      <c r="U74" s="2171"/>
      <c r="V74" s="2171"/>
      <c r="W74" s="2171"/>
      <c r="X74" s="2171"/>
      <c r="Y74" s="2171"/>
      <c r="Z74" s="2171"/>
      <c r="AA74" s="2171"/>
      <c r="AB74" s="2171"/>
      <c r="AC74" s="2171"/>
    </row>
    <row r="75" spans="1:29" s="1339" customFormat="1" ht="16.5" hidden="1" thickTop="1" thickBot="1">
      <c r="A75" s="700"/>
      <c r="B75" s="701"/>
      <c r="C75" s="702"/>
      <c r="D75" s="702"/>
      <c r="E75" s="702"/>
      <c r="F75" s="702"/>
      <c r="G75" s="702"/>
      <c r="H75" s="703"/>
      <c r="I75" s="703"/>
      <c r="J75" s="703"/>
      <c r="K75" s="703"/>
      <c r="L75" s="703"/>
      <c r="M75" s="704"/>
      <c r="N75" s="2168"/>
      <c r="O75" s="2168"/>
      <c r="P75" s="2169"/>
      <c r="Q75" s="2170"/>
      <c r="R75" s="2171"/>
      <c r="S75" s="2171"/>
      <c r="T75" s="2171"/>
      <c r="U75" s="2171"/>
      <c r="V75" s="2171"/>
      <c r="W75" s="2171"/>
      <c r="X75" s="2171"/>
      <c r="Y75" s="2171"/>
      <c r="Z75" s="2171"/>
      <c r="AA75" s="2171"/>
      <c r="AB75" s="2171"/>
      <c r="AC75" s="2171"/>
    </row>
    <row r="76" spans="1:29" ht="15" thickTop="1">
      <c r="A76" s="666" t="s">
        <v>540</v>
      </c>
      <c r="B76" s="667" t="s">
        <v>579</v>
      </c>
      <c r="C76" s="705" t="s">
        <v>580</v>
      </c>
      <c r="D76" s="705" t="s">
        <v>581</v>
      </c>
      <c r="E76" s="705" t="s">
        <v>582</v>
      </c>
      <c r="F76" s="705" t="s">
        <v>583</v>
      </c>
      <c r="G76" s="705" t="s">
        <v>584</v>
      </c>
      <c r="H76" s="706"/>
      <c r="I76" s="706"/>
      <c r="J76" s="706"/>
      <c r="K76" s="707"/>
      <c r="L76" s="708"/>
      <c r="M76" s="709"/>
      <c r="N76" s="2165"/>
      <c r="O76" s="2165"/>
      <c r="P76" s="2175"/>
      <c r="Q76" s="2159"/>
      <c r="R76" s="2146"/>
      <c r="S76" s="2146"/>
      <c r="T76" s="2146"/>
      <c r="U76" s="2146"/>
      <c r="V76" s="2146"/>
      <c r="W76" s="2146"/>
      <c r="X76" s="2146"/>
      <c r="Y76" s="2146"/>
      <c r="Z76" s="2146"/>
      <c r="AA76" s="2146"/>
      <c r="AB76" s="2146"/>
      <c r="AC76" s="2146"/>
    </row>
    <row r="77" spans="1:29" ht="15.75" thickBot="1">
      <c r="A77" s="671"/>
      <c r="B77" s="680"/>
      <c r="C77" s="681">
        <v>100</v>
      </c>
      <c r="D77" s="681">
        <f>C77-$K15</f>
        <v>95</v>
      </c>
      <c r="E77" s="681">
        <f>D77-$K15</f>
        <v>90</v>
      </c>
      <c r="F77" s="681">
        <f>E77-$K15</f>
        <v>85</v>
      </c>
      <c r="G77" s="681">
        <f>F77-$K15</f>
        <v>80</v>
      </c>
      <c r="H77" s="681"/>
      <c r="I77" s="681"/>
      <c r="J77" s="681"/>
      <c r="K77" s="681"/>
      <c r="L77" s="681"/>
      <c r="M77" s="682"/>
      <c r="N77" s="2167"/>
      <c r="O77" s="2167"/>
      <c r="P77" s="2166"/>
      <c r="Q77" s="2159"/>
      <c r="R77" s="2146"/>
      <c r="S77" s="2146"/>
      <c r="T77" s="2146"/>
      <c r="U77" s="2146"/>
      <c r="V77" s="2146"/>
      <c r="W77" s="2146"/>
      <c r="X77" s="2146"/>
      <c r="Y77" s="2146"/>
      <c r="Z77" s="2146"/>
      <c r="AA77" s="2146"/>
      <c r="AB77" s="2146"/>
      <c r="AC77" s="2146"/>
    </row>
    <row r="78" spans="1:29" ht="15.75" thickTop="1">
      <c r="A78" s="671"/>
      <c r="B78" s="675" t="s">
        <v>587</v>
      </c>
      <c r="C78" s="710" t="s">
        <v>580</v>
      </c>
      <c r="D78" s="710" t="s">
        <v>581</v>
      </c>
      <c r="E78" s="710" t="s">
        <v>582</v>
      </c>
      <c r="F78" s="710" t="s">
        <v>583</v>
      </c>
      <c r="G78" s="710" t="s">
        <v>584</v>
      </c>
      <c r="H78" s="676"/>
      <c r="I78" s="676"/>
      <c r="J78" s="676"/>
      <c r="K78" s="677"/>
      <c r="L78" s="678"/>
      <c r="M78" s="679"/>
      <c r="N78" s="2165"/>
      <c r="O78" s="2165"/>
      <c r="P78" s="2166"/>
      <c r="Q78" s="2159"/>
      <c r="R78" s="2146"/>
      <c r="S78" s="2146"/>
      <c r="T78" s="2146"/>
      <c r="U78" s="2146"/>
      <c r="V78" s="2146"/>
      <c r="W78" s="2146"/>
      <c r="X78" s="2146"/>
      <c r="Y78" s="2146"/>
      <c r="Z78" s="2146"/>
      <c r="AA78" s="2146"/>
      <c r="AB78" s="2146"/>
      <c r="AC78" s="2146"/>
    </row>
    <row r="79" spans="1:29" ht="15.75" thickBot="1">
      <c r="A79" s="671"/>
      <c r="B79" s="680"/>
      <c r="C79" s="681">
        <v>100</v>
      </c>
      <c r="D79" s="681">
        <f>C79-$K17</f>
        <v>95</v>
      </c>
      <c r="E79" s="681">
        <f>D79-$K17</f>
        <v>90</v>
      </c>
      <c r="F79" s="681">
        <f>E79-$K17</f>
        <v>85</v>
      </c>
      <c r="G79" s="681">
        <f>F79-$K17</f>
        <v>80</v>
      </c>
      <c r="H79" s="681"/>
      <c r="I79" s="681"/>
      <c r="J79" s="681"/>
      <c r="K79" s="681"/>
      <c r="L79" s="681"/>
      <c r="M79" s="682"/>
      <c r="N79" s="2167"/>
      <c r="O79" s="2167"/>
      <c r="P79" s="2166"/>
      <c r="Q79" s="2159"/>
      <c r="R79" s="2146"/>
      <c r="S79" s="2146"/>
      <c r="T79" s="2146"/>
      <c r="U79" s="2146"/>
      <c r="V79" s="2146"/>
      <c r="W79" s="2146"/>
      <c r="X79" s="2146"/>
      <c r="Y79" s="2146"/>
      <c r="Z79" s="2146"/>
      <c r="AA79" s="2146"/>
      <c r="AB79" s="2146"/>
      <c r="AC79" s="2146"/>
    </row>
    <row r="80" spans="1:29" ht="15.75" thickTop="1">
      <c r="A80" s="671"/>
      <c r="B80" s="1897" t="s">
        <v>2317</v>
      </c>
      <c r="C80" s="710" t="s">
        <v>580</v>
      </c>
      <c r="D80" s="710" t="s">
        <v>581</v>
      </c>
      <c r="E80" s="710" t="s">
        <v>582</v>
      </c>
      <c r="F80" s="710" t="s">
        <v>583</v>
      </c>
      <c r="G80" s="710" t="s">
        <v>584</v>
      </c>
      <c r="H80" s="676"/>
      <c r="I80" s="676"/>
      <c r="J80" s="676"/>
      <c r="K80" s="677"/>
      <c r="L80" s="678"/>
      <c r="M80" s="679"/>
      <c r="N80" s="2165"/>
      <c r="O80" s="2165"/>
      <c r="P80" s="2166"/>
      <c r="Q80" s="2159"/>
      <c r="R80" s="2146"/>
      <c r="S80" s="2146"/>
      <c r="T80" s="2146"/>
      <c r="U80" s="2146"/>
      <c r="V80" s="2146"/>
      <c r="W80" s="2146"/>
      <c r="X80" s="2146"/>
      <c r="Y80" s="2146"/>
      <c r="Z80" s="2146"/>
      <c r="AA80" s="2146"/>
      <c r="AB80" s="2146"/>
      <c r="AC80" s="2146"/>
    </row>
    <row r="81" spans="1:29" ht="15.75" thickBot="1">
      <c r="A81" s="671"/>
      <c r="B81" s="680"/>
      <c r="C81" s="681">
        <v>100</v>
      </c>
      <c r="D81" s="681">
        <f>C81-$K19</f>
        <v>95</v>
      </c>
      <c r="E81" s="681">
        <f>D81-$K19</f>
        <v>90</v>
      </c>
      <c r="F81" s="681">
        <f>E81-$K19</f>
        <v>85</v>
      </c>
      <c r="G81" s="681">
        <f>F81-$K19</f>
        <v>80</v>
      </c>
      <c r="H81" s="681"/>
      <c r="I81" s="681"/>
      <c r="J81" s="681"/>
      <c r="K81" s="681"/>
      <c r="L81" s="681"/>
      <c r="M81" s="682"/>
      <c r="N81" s="2167"/>
      <c r="O81" s="2167"/>
      <c r="P81" s="2166"/>
      <c r="Q81" s="2159"/>
      <c r="R81" s="2146"/>
      <c r="S81" s="2146"/>
      <c r="T81" s="2146"/>
      <c r="U81" s="2146"/>
      <c r="V81" s="2146"/>
      <c r="W81" s="2146"/>
      <c r="X81" s="2146"/>
      <c r="Y81" s="2146"/>
      <c r="Z81" s="2146"/>
      <c r="AA81" s="2146"/>
      <c r="AB81" s="2146"/>
      <c r="AC81" s="2146"/>
    </row>
    <row r="82" spans="1:29" ht="15.75" thickTop="1">
      <c r="A82" s="671"/>
      <c r="B82" s="2622" t="s">
        <v>2549</v>
      </c>
      <c r="C82" s="2623" t="s">
        <v>2561</v>
      </c>
      <c r="D82" s="2623" t="s">
        <v>2562</v>
      </c>
      <c r="E82" s="2623" t="s">
        <v>2563</v>
      </c>
      <c r="F82" s="2623" t="s">
        <v>2564</v>
      </c>
      <c r="G82" s="2623" t="s">
        <v>2565</v>
      </c>
      <c r="H82" s="676"/>
      <c r="I82" s="676"/>
      <c r="J82" s="676"/>
      <c r="K82" s="676"/>
      <c r="L82" s="676"/>
      <c r="M82" s="2626"/>
      <c r="N82" s="2167"/>
      <c r="O82" s="2167"/>
      <c r="P82" s="2166"/>
      <c r="Q82" s="2159"/>
      <c r="R82" s="2146"/>
      <c r="S82" s="2146"/>
      <c r="T82" s="2146"/>
      <c r="U82" s="2146"/>
      <c r="V82" s="2146"/>
      <c r="W82" s="2146"/>
      <c r="X82" s="2146"/>
      <c r="Y82" s="2146"/>
      <c r="Z82" s="2146"/>
      <c r="AA82" s="2146"/>
      <c r="AB82" s="2146"/>
      <c r="AC82" s="2146"/>
    </row>
    <row r="83" spans="1:29" ht="15.75" thickBot="1">
      <c r="A83" s="671"/>
      <c r="B83" s="683"/>
      <c r="C83" s="681">
        <v>100</v>
      </c>
      <c r="D83" s="681">
        <f>C83-$K21</f>
        <v>99</v>
      </c>
      <c r="E83" s="681">
        <f>D83-$K21</f>
        <v>98</v>
      </c>
      <c r="F83" s="681">
        <f>E83-$K21</f>
        <v>97</v>
      </c>
      <c r="G83" s="681">
        <f>F83-$K21</f>
        <v>96</v>
      </c>
      <c r="H83" s="936"/>
      <c r="I83" s="936"/>
      <c r="J83" s="936"/>
      <c r="K83" s="936"/>
      <c r="L83" s="936"/>
      <c r="M83" s="562"/>
      <c r="N83" s="2167"/>
      <c r="O83" s="2167"/>
      <c r="P83" s="2166"/>
      <c r="Q83" s="2159"/>
      <c r="R83" s="2146"/>
      <c r="S83" s="2146"/>
      <c r="T83" s="2146"/>
      <c r="U83" s="2146"/>
      <c r="V83" s="2146"/>
      <c r="W83" s="2146"/>
      <c r="X83" s="2146"/>
      <c r="Y83" s="2146"/>
      <c r="Z83" s="2146"/>
      <c r="AA83" s="2146"/>
      <c r="AB83" s="2146"/>
      <c r="AC83" s="2146"/>
    </row>
    <row r="84" spans="1:29" ht="15.75" thickTop="1">
      <c r="A84" s="671"/>
      <c r="B84" s="675" t="s">
        <v>744</v>
      </c>
      <c r="C84" s="710" t="s">
        <v>580</v>
      </c>
      <c r="D84" s="710" t="s">
        <v>581</v>
      </c>
      <c r="E84" s="710" t="s">
        <v>582</v>
      </c>
      <c r="F84" s="710" t="s">
        <v>583</v>
      </c>
      <c r="G84" s="710" t="s">
        <v>584</v>
      </c>
      <c r="H84" s="676"/>
      <c r="I84" s="676"/>
      <c r="J84" s="676"/>
      <c r="K84" s="677"/>
      <c r="L84" s="678"/>
      <c r="M84" s="679"/>
      <c r="N84" s="2165"/>
      <c r="O84" s="2165"/>
      <c r="P84" s="2166"/>
      <c r="Q84" s="2159"/>
      <c r="R84" s="2146"/>
      <c r="S84" s="2146"/>
      <c r="T84" s="2146"/>
      <c r="U84" s="2146"/>
      <c r="V84" s="2146"/>
      <c r="W84" s="2146"/>
      <c r="X84" s="2146"/>
      <c r="Y84" s="2146"/>
      <c r="Z84" s="2146"/>
      <c r="AA84" s="2146"/>
      <c r="AB84" s="2146"/>
      <c r="AC84" s="2146"/>
    </row>
    <row r="85" spans="1:29" ht="15.75" thickBot="1">
      <c r="A85" s="671"/>
      <c r="B85" s="680"/>
      <c r="C85" s="681">
        <v>100</v>
      </c>
      <c r="D85" s="681">
        <f>C85-$K23</f>
        <v>90</v>
      </c>
      <c r="E85" s="681">
        <f>D85-$K23</f>
        <v>80</v>
      </c>
      <c r="F85" s="681">
        <f>E85-$K23</f>
        <v>70</v>
      </c>
      <c r="G85" s="681">
        <f>F85-$K23</f>
        <v>60</v>
      </c>
      <c r="H85" s="681"/>
      <c r="I85" s="681"/>
      <c r="J85" s="681"/>
      <c r="K85" s="681"/>
      <c r="L85" s="681"/>
      <c r="M85" s="682"/>
      <c r="N85" s="2167"/>
      <c r="O85" s="2167"/>
      <c r="P85" s="2166"/>
      <c r="Q85" s="2159"/>
      <c r="R85" s="2146"/>
      <c r="S85" s="2146"/>
      <c r="T85" s="2146"/>
      <c r="U85" s="2146"/>
      <c r="V85" s="2146"/>
      <c r="W85" s="2146"/>
      <c r="X85" s="2146"/>
      <c r="Y85" s="2146"/>
      <c r="Z85" s="2146"/>
      <c r="AA85" s="2146"/>
      <c r="AB85" s="2146"/>
      <c r="AC85" s="2146"/>
    </row>
    <row r="86" spans="1:29" s="1220" customFormat="1" ht="15.75" thickTop="1">
      <c r="A86" s="711"/>
      <c r="B86" s="1897" t="s">
        <v>2260</v>
      </c>
      <c r="C86" s="690"/>
      <c r="D86" s="690"/>
      <c r="E86" s="690"/>
      <c r="F86" s="690"/>
      <c r="G86" s="690"/>
      <c r="H86" s="690"/>
      <c r="I86" s="690"/>
      <c r="J86" s="690"/>
      <c r="K86" s="690"/>
      <c r="L86" s="891"/>
      <c r="M86" s="892"/>
      <c r="N86" s="2163"/>
      <c r="O86" s="2163"/>
      <c r="P86" s="2166"/>
      <c r="Q86" s="2159"/>
      <c r="R86" s="1994"/>
      <c r="S86" s="1994"/>
      <c r="T86" s="1994"/>
      <c r="U86" s="1994"/>
      <c r="V86" s="1994"/>
      <c r="W86" s="1994"/>
      <c r="X86" s="1994"/>
      <c r="Y86" s="1994"/>
      <c r="Z86" s="1994"/>
      <c r="AA86" s="1994"/>
      <c r="AB86" s="1994"/>
      <c r="AC86" s="1994"/>
    </row>
    <row r="87" spans="1:29" s="1220"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11"/>
      <c r="B88" s="675" t="s">
        <v>746</v>
      </c>
      <c r="C88" s="690"/>
      <c r="D88" s="690"/>
      <c r="E88" s="690"/>
      <c r="F88" s="893"/>
      <c r="G88" s="690"/>
      <c r="H88" s="690"/>
      <c r="I88" s="690"/>
      <c r="J88" s="690"/>
      <c r="K88" s="690"/>
      <c r="L88" s="690"/>
      <c r="M88" s="892"/>
      <c r="N88" s="2163"/>
      <c r="O88" s="2163"/>
      <c r="P88" s="2166"/>
      <c r="Q88" s="2159"/>
      <c r="R88" s="1994"/>
      <c r="S88" s="1994"/>
      <c r="T88" s="1994"/>
      <c r="U88" s="1994"/>
      <c r="V88" s="1994"/>
      <c r="W88" s="1994"/>
      <c r="X88" s="1994"/>
      <c r="Y88" s="1994"/>
      <c r="Z88" s="1994"/>
      <c r="AA88" s="1994"/>
      <c r="AB88" s="1994"/>
      <c r="AC88" s="1994"/>
    </row>
    <row r="89" spans="1:29" s="1220"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7"/>
      <c r="O89" s="2167"/>
      <c r="P89" s="2166"/>
      <c r="Q89" s="2159"/>
      <c r="R89" s="1994"/>
      <c r="S89" s="1994"/>
      <c r="T89" s="1994"/>
      <c r="U89" s="1994"/>
      <c r="V89" s="1994"/>
      <c r="W89" s="1994"/>
      <c r="X89" s="1994"/>
      <c r="Y89" s="1994"/>
      <c r="Z89" s="1994"/>
      <c r="AA89" s="1994"/>
      <c r="AB89" s="1994"/>
      <c r="AC89" s="1994"/>
    </row>
    <row r="90" spans="1:29" s="1339" customFormat="1" ht="16.5" hidden="1" thickTop="1" thickBot="1">
      <c r="A90" s="689"/>
      <c r="B90" s="675">
        <f>B27</f>
        <v>0</v>
      </c>
      <c r="C90" s="690"/>
      <c r="D90" s="690"/>
      <c r="E90" s="690"/>
      <c r="F90" s="690"/>
      <c r="G90" s="690"/>
      <c r="H90" s="691"/>
      <c r="I90" s="691"/>
      <c r="J90" s="691"/>
      <c r="K90" s="691"/>
      <c r="L90" s="692"/>
      <c r="M90" s="693"/>
      <c r="N90" s="2168"/>
      <c r="O90" s="2168"/>
      <c r="P90" s="2169"/>
      <c r="Q90" s="2170"/>
      <c r="R90" s="2171"/>
      <c r="S90" s="2171"/>
      <c r="T90" s="2171"/>
      <c r="U90" s="2171"/>
      <c r="V90" s="2171"/>
      <c r="W90" s="2171"/>
      <c r="X90" s="2171"/>
      <c r="Y90" s="2171"/>
      <c r="Z90" s="2171"/>
      <c r="AA90" s="2171"/>
      <c r="AB90" s="2171"/>
      <c r="AC90" s="2171"/>
    </row>
    <row r="91" spans="1:29" s="1339" customFormat="1" ht="16.5" hidden="1" thickTop="1" thickBot="1">
      <c r="A91" s="689"/>
      <c r="B91" s="680"/>
      <c r="C91" s="694"/>
      <c r="D91" s="694"/>
      <c r="E91" s="694"/>
      <c r="F91" s="694"/>
      <c r="G91" s="694"/>
      <c r="H91" s="695"/>
      <c r="I91" s="695"/>
      <c r="J91" s="695"/>
      <c r="K91" s="695"/>
      <c r="L91" s="695"/>
      <c r="M91" s="696"/>
      <c r="N91" s="2168"/>
      <c r="O91" s="2168"/>
      <c r="P91" s="2169"/>
      <c r="Q91" s="2170"/>
      <c r="R91" s="2171"/>
      <c r="S91" s="2171"/>
      <c r="T91" s="2171"/>
      <c r="U91" s="2171"/>
      <c r="V91" s="2171"/>
      <c r="W91" s="2171"/>
      <c r="X91" s="2171"/>
      <c r="Y91" s="2171"/>
      <c r="Z91" s="2171"/>
      <c r="AA91" s="2171"/>
      <c r="AB91" s="2171"/>
      <c r="AC91" s="2171"/>
    </row>
    <row r="92" spans="1:29" ht="16.5" hidden="1" thickTop="1" thickBot="1">
      <c r="A92" s="671"/>
      <c r="B92" s="675">
        <f>B28</f>
        <v>0</v>
      </c>
      <c r="C92" s="690"/>
      <c r="D92" s="690"/>
      <c r="E92" s="690"/>
      <c r="F92" s="690"/>
      <c r="G92" s="720"/>
      <c r="H92" s="720"/>
      <c r="I92" s="720"/>
      <c r="J92" s="720"/>
      <c r="K92" s="721"/>
      <c r="L92" s="722"/>
      <c r="M92" s="723"/>
      <c r="N92" s="2165"/>
      <c r="O92" s="2165"/>
      <c r="P92" s="2166"/>
      <c r="Q92" s="2159"/>
      <c r="R92" s="2146"/>
      <c r="S92" s="2146"/>
      <c r="T92" s="2146"/>
      <c r="U92" s="2146"/>
      <c r="V92" s="2146"/>
      <c r="W92" s="2146"/>
      <c r="X92" s="2146"/>
      <c r="Y92" s="2146"/>
      <c r="Z92" s="2146"/>
      <c r="AA92" s="2146"/>
      <c r="AB92" s="2146"/>
      <c r="AC92" s="2146"/>
    </row>
    <row r="93" spans="1:29" ht="16.5" hidden="1" thickTop="1" thickBot="1">
      <c r="A93" s="671"/>
      <c r="B93" s="680"/>
      <c r="C93" s="694"/>
      <c r="D93" s="673"/>
      <c r="E93" s="673"/>
      <c r="F93" s="673"/>
      <c r="G93" s="673"/>
      <c r="H93" s="673"/>
      <c r="I93" s="673"/>
      <c r="J93" s="673"/>
      <c r="K93" s="673"/>
      <c r="L93" s="673"/>
      <c r="M93" s="674"/>
      <c r="N93" s="2167"/>
      <c r="O93" s="2167"/>
      <c r="P93" s="2166"/>
      <c r="Q93" s="2159"/>
      <c r="R93" s="2146"/>
      <c r="S93" s="2146"/>
      <c r="T93" s="2146"/>
      <c r="U93" s="2146"/>
      <c r="V93" s="2146"/>
      <c r="W93" s="2146"/>
      <c r="X93" s="2146"/>
      <c r="Y93" s="2146"/>
      <c r="Z93" s="2146"/>
      <c r="AA93" s="2146"/>
      <c r="AB93" s="2146"/>
      <c r="AC93" s="2146"/>
    </row>
    <row r="94" spans="1:29" ht="16.5" hidden="1" thickTop="1" thickBot="1">
      <c r="A94" s="671"/>
      <c r="B94" s="675">
        <f>B29</f>
        <v>0</v>
      </c>
      <c r="C94" s="690"/>
      <c r="D94" s="690"/>
      <c r="E94" s="690"/>
      <c r="F94" s="690"/>
      <c r="G94" s="720"/>
      <c r="H94" s="720"/>
      <c r="I94" s="720"/>
      <c r="J94" s="720"/>
      <c r="K94" s="721"/>
      <c r="L94" s="722"/>
      <c r="M94" s="723"/>
      <c r="N94" s="2165"/>
      <c r="O94" s="2165"/>
      <c r="P94" s="2166"/>
      <c r="Q94" s="2159"/>
      <c r="R94" s="2146"/>
      <c r="S94" s="2146"/>
      <c r="T94" s="2146"/>
      <c r="U94" s="2146"/>
      <c r="V94" s="2146"/>
      <c r="W94" s="2146"/>
      <c r="X94" s="2146"/>
      <c r="Y94" s="2146"/>
      <c r="Z94" s="2146"/>
      <c r="AA94" s="2146"/>
      <c r="AB94" s="2146"/>
      <c r="AC94" s="2146"/>
    </row>
    <row r="95" spans="1:29" ht="16.5" hidden="1" thickTop="1" thickBot="1">
      <c r="A95" s="671"/>
      <c r="B95" s="680"/>
      <c r="C95" s="694"/>
      <c r="D95" s="694"/>
      <c r="E95" s="694"/>
      <c r="F95" s="694"/>
      <c r="G95" s="673"/>
      <c r="H95" s="673"/>
      <c r="I95" s="673"/>
      <c r="J95" s="673"/>
      <c r="K95" s="673"/>
      <c r="L95" s="673"/>
      <c r="M95" s="674"/>
      <c r="N95" s="2167"/>
      <c r="O95" s="2167"/>
      <c r="P95" s="2166"/>
      <c r="Q95" s="2159"/>
      <c r="R95" s="2146"/>
      <c r="S95" s="2146"/>
      <c r="T95" s="2146"/>
      <c r="U95" s="2146"/>
      <c r="V95" s="2146"/>
      <c r="W95" s="2146"/>
      <c r="X95" s="2146"/>
      <c r="Y95" s="2146"/>
      <c r="Z95" s="2146"/>
      <c r="AA95" s="2146"/>
      <c r="AB95" s="2146"/>
      <c r="AC95" s="2146"/>
    </row>
    <row r="96" spans="1:29" ht="16.5" hidden="1" thickTop="1" thickBot="1">
      <c r="A96" s="671"/>
      <c r="B96" s="675">
        <f>B30</f>
        <v>0</v>
      </c>
      <c r="C96" s="690"/>
      <c r="D96" s="690"/>
      <c r="E96" s="690"/>
      <c r="F96" s="690"/>
      <c r="G96" s="720"/>
      <c r="H96" s="720"/>
      <c r="I96" s="720"/>
      <c r="J96" s="720"/>
      <c r="K96" s="721"/>
      <c r="L96" s="722"/>
      <c r="M96" s="723"/>
      <c r="N96" s="2165"/>
      <c r="O96" s="2165"/>
      <c r="P96" s="2166"/>
      <c r="Q96" s="2159"/>
      <c r="R96" s="2146"/>
      <c r="S96" s="2146"/>
      <c r="T96" s="2146"/>
      <c r="U96" s="2146"/>
      <c r="V96" s="2146"/>
      <c r="W96" s="2146"/>
      <c r="X96" s="2146"/>
      <c r="Y96" s="2146"/>
      <c r="Z96" s="2146"/>
      <c r="AA96" s="2146"/>
      <c r="AB96" s="2146"/>
      <c r="AC96" s="2146"/>
    </row>
    <row r="97" spans="1:29" ht="16.5" hidden="1" thickTop="1" thickBot="1">
      <c r="A97" s="671"/>
      <c r="B97" s="680"/>
      <c r="C97" s="702"/>
      <c r="D97" s="702"/>
      <c r="E97" s="702"/>
      <c r="F97" s="702"/>
      <c r="G97" s="673"/>
      <c r="H97" s="673"/>
      <c r="I97" s="673"/>
      <c r="J97" s="673"/>
      <c r="K97" s="673"/>
      <c r="L97" s="673"/>
      <c r="M97" s="674"/>
      <c r="N97" s="2167"/>
      <c r="O97" s="2167"/>
      <c r="P97" s="2166"/>
      <c r="Q97" s="2159"/>
      <c r="R97" s="2146"/>
      <c r="S97" s="2146"/>
      <c r="T97" s="2146"/>
      <c r="U97" s="2146"/>
      <c r="V97" s="2146"/>
      <c r="W97" s="2146"/>
      <c r="X97" s="2146"/>
      <c r="Y97" s="2146"/>
      <c r="Z97" s="2146"/>
      <c r="AA97" s="2146"/>
      <c r="AB97" s="2146"/>
      <c r="AC97" s="2146"/>
    </row>
    <row r="98" spans="1:29" ht="16.5" hidden="1" thickTop="1" thickBot="1">
      <c r="A98" s="671"/>
      <c r="B98" s="683">
        <f>B31</f>
        <v>0</v>
      </c>
      <c r="C98" s="724"/>
      <c r="D98" s="724"/>
      <c r="E98" s="724"/>
      <c r="F98" s="724"/>
      <c r="G98" s="724"/>
      <c r="H98" s="724"/>
      <c r="I98" s="724"/>
      <c r="J98" s="724"/>
      <c r="K98" s="725"/>
      <c r="L98" s="726"/>
      <c r="M98" s="727"/>
      <c r="N98" s="2165"/>
      <c r="O98" s="2165"/>
      <c r="P98" s="2166"/>
      <c r="Q98" s="2159"/>
      <c r="R98" s="2146"/>
      <c r="S98" s="2146"/>
      <c r="T98" s="2146"/>
      <c r="U98" s="2146"/>
      <c r="V98" s="2146"/>
      <c r="W98" s="2146"/>
      <c r="X98" s="2146"/>
      <c r="Y98" s="2146"/>
      <c r="Z98" s="2146"/>
      <c r="AA98" s="2146"/>
      <c r="AB98" s="2146"/>
      <c r="AC98" s="2146"/>
    </row>
    <row r="99" spans="1:29" ht="16.5" hidden="1" thickTop="1" thickBot="1">
      <c r="A99" s="894"/>
      <c r="B99" s="701"/>
      <c r="C99" s="728"/>
      <c r="D99" s="728"/>
      <c r="E99" s="728"/>
      <c r="F99" s="728"/>
      <c r="G99" s="728"/>
      <c r="H99" s="728"/>
      <c r="I99" s="728"/>
      <c r="J99" s="728"/>
      <c r="K99" s="728"/>
      <c r="L99" s="728"/>
      <c r="M99" s="729"/>
      <c r="N99" s="2167"/>
      <c r="O99" s="2167"/>
      <c r="P99" s="2166"/>
      <c r="Q99" s="2159"/>
      <c r="R99" s="2146"/>
      <c r="S99" s="2146"/>
      <c r="T99" s="2146"/>
      <c r="U99" s="2146"/>
      <c r="V99" s="2146"/>
      <c r="W99" s="2146"/>
      <c r="X99" s="2146"/>
      <c r="Y99" s="2146"/>
      <c r="Z99" s="2146"/>
      <c r="AA99" s="2146"/>
      <c r="AB99" s="2146"/>
      <c r="AC99" s="2146"/>
    </row>
    <row r="100" spans="1:29" ht="15" thickTop="1">
      <c r="A100" s="666" t="s">
        <v>552</v>
      </c>
      <c r="B100" s="667" t="s">
        <v>747</v>
      </c>
      <c r="C100" s="3198" t="s">
        <v>3269</v>
      </c>
      <c r="D100" s="3198" t="s">
        <v>3271</v>
      </c>
      <c r="E100" s="3198" t="s">
        <v>3272</v>
      </c>
      <c r="F100" s="600"/>
      <c r="G100" s="600"/>
      <c r="H100" s="600"/>
      <c r="I100" s="600"/>
      <c r="J100" s="600"/>
      <c r="K100" s="668"/>
      <c r="L100" s="669"/>
      <c r="M100" s="670"/>
      <c r="N100" s="2165"/>
      <c r="O100" s="2165"/>
      <c r="P100" s="2166"/>
      <c r="Q100" s="2159"/>
      <c r="R100" s="2146"/>
      <c r="S100" s="2146"/>
      <c r="T100" s="2146"/>
      <c r="U100" s="2146"/>
      <c r="V100" s="2146"/>
      <c r="W100" s="2146"/>
      <c r="X100" s="2146"/>
      <c r="Y100" s="2146"/>
      <c r="Z100" s="2146"/>
      <c r="AA100" s="2146"/>
      <c r="AB100" s="2146"/>
      <c r="AC100" s="2146"/>
    </row>
    <row r="101" spans="1:29" ht="15.75" thickBot="1">
      <c r="A101" s="671"/>
      <c r="B101" s="680"/>
      <c r="C101" s="681">
        <v>100</v>
      </c>
      <c r="D101" s="681">
        <f t="shared" ref="D101:M101" si="22">C101-$K32</f>
        <v>90</v>
      </c>
      <c r="E101" s="681">
        <f t="shared" si="22"/>
        <v>80</v>
      </c>
      <c r="F101" s="681">
        <f t="shared" si="22"/>
        <v>70</v>
      </c>
      <c r="G101" s="681">
        <f t="shared" si="22"/>
        <v>60</v>
      </c>
      <c r="H101" s="681">
        <f t="shared" si="22"/>
        <v>50</v>
      </c>
      <c r="I101" s="681">
        <f t="shared" si="22"/>
        <v>40</v>
      </c>
      <c r="J101" s="681">
        <f t="shared" si="22"/>
        <v>30</v>
      </c>
      <c r="K101" s="681">
        <f t="shared" si="22"/>
        <v>20</v>
      </c>
      <c r="L101" s="681">
        <f t="shared" si="22"/>
        <v>10</v>
      </c>
      <c r="M101" s="681">
        <f t="shared" si="22"/>
        <v>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71"/>
      <c r="B102" s="675" t="s">
        <v>748</v>
      </c>
      <c r="C102" s="710" t="str">
        <f>C103&amp;"(含)"&amp;"-"&amp;D103</f>
        <v>0(含)-500000</v>
      </c>
      <c r="D102" s="710" t="str">
        <f t="shared" ref="D102:L102" si="23">D103&amp;"(含)"&amp;"-"&amp;E103</f>
        <v>500000(含)-1000000</v>
      </c>
      <c r="E102" s="710" t="str">
        <f t="shared" si="23"/>
        <v>1000000(含)-1500000</v>
      </c>
      <c r="F102" s="710" t="str">
        <f t="shared" si="23"/>
        <v>1500000(含)-2000000</v>
      </c>
      <c r="G102" s="710" t="str">
        <f t="shared" si="23"/>
        <v>2000000(含)-</v>
      </c>
      <c r="H102" s="710" t="str">
        <f t="shared" si="23"/>
        <v>(含)-</v>
      </c>
      <c r="I102" s="710" t="str">
        <f t="shared" si="23"/>
        <v>(含)-</v>
      </c>
      <c r="J102" s="710" t="str">
        <f t="shared" si="23"/>
        <v>(含)-</v>
      </c>
      <c r="K102" s="710" t="str">
        <f t="shared" si="23"/>
        <v>(含)-</v>
      </c>
      <c r="L102" s="710" t="str">
        <f t="shared" si="23"/>
        <v>(含)-</v>
      </c>
      <c r="M102" s="710"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30"/>
      <c r="B103" s="731"/>
      <c r="C103" s="732">
        <v>0</v>
      </c>
      <c r="D103" s="732">
        <v>500000</v>
      </c>
      <c r="E103" s="732">
        <v>1000000</v>
      </c>
      <c r="F103" s="732">
        <v>1500000</v>
      </c>
      <c r="G103" s="732">
        <v>2000000</v>
      </c>
      <c r="H103" s="732"/>
      <c r="I103" s="732"/>
      <c r="J103" s="733"/>
      <c r="K103" s="733"/>
      <c r="L103" s="734"/>
      <c r="M103" s="735"/>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9"/>
      <c r="B104" s="680"/>
      <c r="C104" s="694">
        <v>100</v>
      </c>
      <c r="D104" s="673">
        <v>101</v>
      </c>
      <c r="E104" s="673">
        <v>102</v>
      </c>
      <c r="F104" s="673">
        <v>103</v>
      </c>
      <c r="G104" s="673">
        <v>104</v>
      </c>
      <c r="H104" s="673"/>
      <c r="I104" s="673"/>
      <c r="J104" s="673"/>
      <c r="K104" s="673"/>
      <c r="L104" s="673"/>
      <c r="M104" s="673"/>
      <c r="N104" s="2167"/>
      <c r="O104" s="2167"/>
      <c r="P104" s="2169"/>
      <c r="Q104" s="2170"/>
      <c r="R104" s="2171"/>
      <c r="S104" s="2171"/>
      <c r="T104" s="2171"/>
      <c r="U104" s="2171"/>
      <c r="V104" s="2171"/>
      <c r="W104" s="2171"/>
      <c r="X104" s="2171"/>
      <c r="Y104" s="2171"/>
      <c r="Z104" s="2171"/>
      <c r="AA104" s="2171"/>
      <c r="AB104" s="2171"/>
      <c r="AC104" s="2171"/>
    </row>
    <row r="105" spans="1:29" ht="15" thickTop="1">
      <c r="A105" s="737"/>
      <c r="B105" s="675" t="s">
        <v>749</v>
      </c>
      <c r="C105" s="3199" t="s">
        <v>3250</v>
      </c>
      <c r="D105" s="690"/>
      <c r="E105" s="720"/>
      <c r="F105" s="720"/>
      <c r="G105" s="720"/>
      <c r="H105" s="720"/>
      <c r="I105" s="720"/>
      <c r="J105" s="720"/>
      <c r="K105" s="721"/>
      <c r="L105" s="722"/>
      <c r="M105" s="723"/>
      <c r="N105" s="2165"/>
      <c r="O105" s="2165"/>
      <c r="P105" s="2166"/>
      <c r="Q105" s="2159"/>
      <c r="R105" s="2146"/>
      <c r="S105" s="2146"/>
      <c r="T105" s="2146"/>
      <c r="U105" s="2146"/>
      <c r="V105" s="2146"/>
      <c r="W105" s="2146"/>
      <c r="X105" s="2146"/>
      <c r="Y105" s="2146"/>
      <c r="Z105" s="2146"/>
      <c r="AA105" s="2146"/>
      <c r="AB105" s="2146"/>
      <c r="AC105" s="2146"/>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7"/>
      <c r="B107" s="675" t="s">
        <v>750</v>
      </c>
      <c r="C107" s="3200" t="s">
        <v>3252</v>
      </c>
      <c r="D107" s="720"/>
      <c r="E107" s="720"/>
      <c r="F107" s="720"/>
      <c r="G107" s="720"/>
      <c r="H107" s="720"/>
      <c r="I107" s="720"/>
      <c r="J107" s="720"/>
      <c r="K107" s="721"/>
      <c r="L107" s="722"/>
      <c r="M107" s="723"/>
      <c r="N107" s="2165"/>
      <c r="O107" s="2165"/>
      <c r="P107" s="2166"/>
      <c r="Q107" s="2159"/>
      <c r="R107" s="2146"/>
      <c r="S107" s="2146"/>
      <c r="T107" s="2146"/>
      <c r="U107" s="2146"/>
      <c r="V107" s="2146"/>
      <c r="W107" s="2146"/>
      <c r="X107" s="2146"/>
      <c r="Y107" s="2146"/>
      <c r="Z107" s="2146"/>
      <c r="AA107" s="2146"/>
      <c r="AB107" s="2146"/>
      <c r="AC107" s="2146"/>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7"/>
      <c r="B109" s="675" t="s">
        <v>751</v>
      </c>
      <c r="C109" s="3199" t="s">
        <v>3254</v>
      </c>
      <c r="D109" s="690"/>
      <c r="E109" s="690"/>
      <c r="F109" s="720"/>
      <c r="G109" s="720"/>
      <c r="H109" s="720"/>
      <c r="I109" s="720"/>
      <c r="J109" s="720"/>
      <c r="K109" s="721"/>
      <c r="L109" s="722"/>
      <c r="M109" s="723"/>
      <c r="N109" s="2165"/>
      <c r="O109" s="2165"/>
      <c r="P109" s="2166"/>
      <c r="Q109" s="2159"/>
      <c r="R109" s="2146"/>
      <c r="S109" s="2146"/>
      <c r="T109" s="2146"/>
      <c r="U109" s="2146"/>
      <c r="V109" s="2146"/>
      <c r="W109" s="2146"/>
      <c r="X109" s="2146"/>
      <c r="Y109" s="2146"/>
      <c r="Z109" s="2146"/>
      <c r="AA109" s="2146"/>
      <c r="AB109" s="2146"/>
      <c r="AC109" s="2146"/>
    </row>
    <row r="110" spans="1:29" ht="15.75" thickBot="1">
      <c r="A110" s="671"/>
      <c r="B110" s="680"/>
      <c r="C110" s="681">
        <v>100</v>
      </c>
      <c r="D110" s="681">
        <f t="shared" ref="D110:M110" si="26">C110-$K36</f>
        <v>100</v>
      </c>
      <c r="E110" s="681">
        <f t="shared" si="26"/>
        <v>100</v>
      </c>
      <c r="F110" s="681">
        <f t="shared" si="26"/>
        <v>100</v>
      </c>
      <c r="G110" s="681">
        <f t="shared" si="26"/>
        <v>100</v>
      </c>
      <c r="H110" s="681">
        <f t="shared" si="26"/>
        <v>100</v>
      </c>
      <c r="I110" s="681">
        <f t="shared" si="26"/>
        <v>100</v>
      </c>
      <c r="J110" s="681">
        <f t="shared" si="26"/>
        <v>100</v>
      </c>
      <c r="K110" s="681">
        <f t="shared" si="26"/>
        <v>100</v>
      </c>
      <c r="L110" s="681">
        <f t="shared" si="26"/>
        <v>100</v>
      </c>
      <c r="M110" s="681">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30"/>
      <c r="B111" s="675" t="s">
        <v>752</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30"/>
      <c r="B112" s="683"/>
      <c r="C112" s="895">
        <v>0.5</v>
      </c>
      <c r="D112" s="895">
        <v>0.6</v>
      </c>
      <c r="E112" s="895">
        <v>0.7</v>
      </c>
      <c r="F112" s="895">
        <v>0.8</v>
      </c>
      <c r="G112" s="895">
        <v>0.9</v>
      </c>
      <c r="H112" s="895">
        <v>1.0001</v>
      </c>
      <c r="I112" s="895"/>
      <c r="J112" s="896"/>
      <c r="K112" s="896"/>
      <c r="L112" s="897"/>
      <c r="M112" s="898"/>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68"/>
      <c r="O113" s="2168"/>
      <c r="P113" s="2169"/>
      <c r="Q113" s="2170"/>
      <c r="R113" s="2171"/>
      <c r="S113" s="2171"/>
      <c r="T113" s="2171"/>
      <c r="U113" s="2171"/>
      <c r="V113" s="2171"/>
      <c r="W113" s="2171"/>
      <c r="X113" s="2171"/>
      <c r="Y113" s="2171"/>
      <c r="Z113" s="2171"/>
      <c r="AA113" s="2171"/>
      <c r="AB113" s="2171"/>
      <c r="AC113" s="2171"/>
    </row>
    <row r="114" spans="1:29" ht="15" thickTop="1">
      <c r="A114" s="737"/>
      <c r="B114" s="675" t="s">
        <v>753</v>
      </c>
      <c r="C114" s="3199" t="s">
        <v>3256</v>
      </c>
      <c r="D114" s="690"/>
      <c r="E114" s="720"/>
      <c r="F114" s="720"/>
      <c r="G114" s="720"/>
      <c r="H114" s="720"/>
      <c r="I114" s="720"/>
      <c r="J114" s="720"/>
      <c r="K114" s="721"/>
      <c r="L114" s="722"/>
      <c r="M114" s="723"/>
      <c r="N114" s="2165"/>
      <c r="O114" s="2165"/>
      <c r="P114" s="2166"/>
      <c r="Q114" s="2159"/>
      <c r="R114" s="2146"/>
      <c r="S114" s="2146"/>
      <c r="T114" s="2146"/>
      <c r="U114" s="2146"/>
      <c r="V114" s="2146"/>
      <c r="W114" s="2146"/>
      <c r="X114" s="2146"/>
      <c r="Y114" s="2146"/>
      <c r="Z114" s="2146"/>
      <c r="AA114" s="2146"/>
      <c r="AB114" s="2146"/>
      <c r="AC114" s="2146"/>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7"/>
      <c r="B116" s="1897" t="s">
        <v>2558</v>
      </c>
      <c r="C116" s="3199" t="s">
        <v>3258</v>
      </c>
      <c r="D116" s="690"/>
      <c r="E116" s="690"/>
      <c r="F116" s="690"/>
      <c r="G116" s="690"/>
      <c r="H116" s="720"/>
      <c r="I116" s="720"/>
      <c r="J116" s="720"/>
      <c r="K116" s="721"/>
      <c r="L116" s="722"/>
      <c r="M116" s="723"/>
      <c r="N116" s="2165"/>
      <c r="O116" s="2165"/>
      <c r="P116" s="2166"/>
      <c r="Q116" s="2159"/>
      <c r="R116" s="2146"/>
      <c r="S116" s="2146"/>
      <c r="T116" s="2146"/>
      <c r="U116" s="2146"/>
      <c r="V116" s="2146"/>
      <c r="W116" s="2146"/>
      <c r="X116" s="2146"/>
      <c r="Y116" s="2146"/>
      <c r="Z116" s="2146"/>
      <c r="AA116" s="2146"/>
      <c r="AB116" s="2146"/>
      <c r="AC116" s="2146"/>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67"/>
      <c r="O117" s="2167"/>
      <c r="P117" s="2166"/>
      <c r="Q117" s="2159"/>
      <c r="R117" s="2146"/>
      <c r="S117" s="2146"/>
      <c r="T117" s="2146"/>
      <c r="U117" s="2146"/>
      <c r="V117" s="2146"/>
      <c r="W117" s="2146"/>
      <c r="X117" s="2146"/>
      <c r="Y117" s="2146"/>
      <c r="Z117" s="2146"/>
      <c r="AA117" s="2146"/>
      <c r="AB117" s="2146"/>
      <c r="AC117" s="2146"/>
    </row>
    <row r="118" spans="1:29" ht="15" thickTop="1">
      <c r="A118" s="737"/>
      <c r="B118" s="675" t="s">
        <v>754</v>
      </c>
      <c r="C118" s="720"/>
      <c r="D118" s="720"/>
      <c r="E118" s="720"/>
      <c r="F118" s="720"/>
      <c r="G118" s="720"/>
      <c r="H118" s="720"/>
      <c r="I118" s="720"/>
      <c r="J118" s="720"/>
      <c r="K118" s="721"/>
      <c r="L118" s="722"/>
      <c r="M118" s="723"/>
      <c r="N118" s="2165"/>
      <c r="O118" s="2165"/>
      <c r="P118" s="2166"/>
      <c r="Q118" s="2159"/>
      <c r="R118" s="2146"/>
      <c r="S118" s="2146"/>
      <c r="T118" s="2146"/>
      <c r="U118" s="2146"/>
      <c r="V118" s="2146"/>
      <c r="W118" s="2146"/>
      <c r="X118" s="2146"/>
      <c r="Y118" s="2146"/>
      <c r="Z118" s="2146"/>
      <c r="AA118" s="2146"/>
      <c r="AB118" s="2146"/>
      <c r="AC118" s="2146"/>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30"/>
      <c r="B120" s="675" t="s">
        <v>733</v>
      </c>
      <c r="C120" s="690"/>
      <c r="D120" s="690"/>
      <c r="E120" s="690"/>
      <c r="F120" s="690"/>
      <c r="G120" s="690"/>
      <c r="H120" s="690"/>
      <c r="I120" s="690"/>
      <c r="J120" s="690"/>
      <c r="K120" s="690"/>
      <c r="L120" s="891"/>
      <c r="M120" s="892"/>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9"/>
      <c r="B121" s="672"/>
      <c r="C121" s="694"/>
      <c r="D121" s="673"/>
      <c r="E121" s="673"/>
      <c r="F121" s="673"/>
      <c r="G121" s="673"/>
      <c r="H121" s="673"/>
      <c r="I121" s="673"/>
      <c r="J121" s="673"/>
      <c r="K121" s="673"/>
      <c r="L121" s="673"/>
      <c r="M121" s="673"/>
      <c r="N121" s="2168"/>
      <c r="O121" s="2168"/>
      <c r="P121" s="2169"/>
      <c r="Q121" s="2170"/>
      <c r="R121" s="2171"/>
      <c r="S121" s="2171"/>
      <c r="T121" s="2171"/>
      <c r="U121" s="2171"/>
      <c r="V121" s="2171"/>
      <c r="W121" s="2171"/>
      <c r="X121" s="2171"/>
      <c r="Y121" s="2171"/>
      <c r="Z121" s="2171"/>
      <c r="AA121" s="2171"/>
      <c r="AB121" s="2171"/>
      <c r="AC121" s="2171"/>
    </row>
    <row r="122" spans="1:29" ht="15" thickTop="1">
      <c r="A122" s="737"/>
      <c r="B122" s="675" t="s">
        <v>755</v>
      </c>
      <c r="C122" s="3199" t="s">
        <v>3254</v>
      </c>
      <c r="D122" s="3199" t="s">
        <v>3266</v>
      </c>
      <c r="E122" s="3199" t="s">
        <v>3267</v>
      </c>
      <c r="F122" s="720"/>
      <c r="G122" s="720"/>
      <c r="H122" s="720"/>
      <c r="I122" s="720"/>
      <c r="J122" s="720"/>
      <c r="K122" s="721"/>
      <c r="L122" s="722"/>
      <c r="M122" s="723"/>
      <c r="N122" s="2165"/>
      <c r="O122" s="2165"/>
      <c r="P122" s="2166"/>
      <c r="Q122" s="2159"/>
      <c r="R122" s="2146"/>
      <c r="S122" s="2146"/>
      <c r="T122" s="2146"/>
      <c r="U122" s="2146"/>
      <c r="V122" s="2146"/>
      <c r="W122" s="2146"/>
      <c r="X122" s="2146"/>
      <c r="Y122" s="2146"/>
      <c r="Z122" s="2146"/>
      <c r="AA122" s="2146"/>
      <c r="AB122" s="2146"/>
      <c r="AC122" s="2146"/>
    </row>
    <row r="123" spans="1:29" ht="15.75" thickBot="1">
      <c r="A123" s="671"/>
      <c r="B123" s="680"/>
      <c r="C123" s="681">
        <v>100</v>
      </c>
      <c r="D123" s="681">
        <f t="shared" ref="D123:M123" si="29">C123-$K42</f>
        <v>95</v>
      </c>
      <c r="E123" s="681">
        <f t="shared" si="29"/>
        <v>90</v>
      </c>
      <c r="F123" s="681">
        <f t="shared" si="29"/>
        <v>85</v>
      </c>
      <c r="G123" s="681">
        <f t="shared" si="29"/>
        <v>80</v>
      </c>
      <c r="H123" s="681">
        <f t="shared" si="29"/>
        <v>75</v>
      </c>
      <c r="I123" s="681">
        <f t="shared" si="29"/>
        <v>70</v>
      </c>
      <c r="J123" s="681">
        <f t="shared" si="29"/>
        <v>65</v>
      </c>
      <c r="K123" s="681">
        <f t="shared" si="29"/>
        <v>60</v>
      </c>
      <c r="L123" s="681">
        <f t="shared" si="29"/>
        <v>55</v>
      </c>
      <c r="M123" s="681">
        <f t="shared" si="29"/>
        <v>50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7"/>
      <c r="B124" s="675" t="s">
        <v>756</v>
      </c>
      <c r="C124" s="710" t="s">
        <v>580</v>
      </c>
      <c r="D124" s="710" t="s">
        <v>581</v>
      </c>
      <c r="E124" s="710" t="s">
        <v>582</v>
      </c>
      <c r="F124" s="710" t="s">
        <v>583</v>
      </c>
      <c r="G124" s="710" t="s">
        <v>584</v>
      </c>
      <c r="H124" s="676"/>
      <c r="I124" s="676"/>
      <c r="J124" s="676"/>
      <c r="K124" s="677"/>
      <c r="L124" s="678"/>
      <c r="M124" s="679"/>
      <c r="N124" s="2165"/>
      <c r="O124" s="2165"/>
      <c r="P124" s="2169"/>
      <c r="Q124" s="2159"/>
      <c r="R124" s="2146"/>
      <c r="S124" s="2146"/>
      <c r="T124" s="2146"/>
      <c r="U124" s="2146"/>
      <c r="V124" s="2146"/>
      <c r="W124" s="2146"/>
      <c r="X124" s="2146"/>
      <c r="Y124" s="2146"/>
      <c r="Z124" s="2146"/>
      <c r="AA124" s="2146"/>
      <c r="AB124" s="2146"/>
      <c r="AC124" s="2146"/>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7"/>
      <c r="O125" s="2167"/>
      <c r="P125" s="2166"/>
      <c r="Q125" s="2159"/>
      <c r="R125" s="2146"/>
      <c r="S125" s="2146"/>
      <c r="T125" s="2146"/>
      <c r="U125" s="2146"/>
      <c r="V125" s="2146"/>
      <c r="W125" s="2146"/>
      <c r="X125" s="2146"/>
      <c r="Y125" s="2146"/>
      <c r="Z125" s="2146"/>
      <c r="AA125" s="2146"/>
      <c r="AB125" s="2146"/>
      <c r="AC125" s="2146"/>
    </row>
    <row r="126" spans="1:29" s="1339" customFormat="1" ht="15" hidden="1" thickTop="1">
      <c r="A126" s="730"/>
      <c r="B126" s="675">
        <f>B44</f>
        <v>0</v>
      </c>
      <c r="C126" s="690"/>
      <c r="D126" s="690"/>
      <c r="E126" s="690"/>
      <c r="F126" s="690"/>
      <c r="G126" s="690"/>
      <c r="H126" s="691"/>
      <c r="I126" s="691"/>
      <c r="J126" s="691"/>
      <c r="K126" s="691"/>
      <c r="L126" s="692"/>
      <c r="M126" s="693"/>
      <c r="N126" s="2168"/>
      <c r="O126" s="2168"/>
      <c r="P126" s="2169"/>
      <c r="Q126" s="2170"/>
      <c r="R126" s="2171"/>
      <c r="S126" s="2171"/>
      <c r="T126" s="2171"/>
      <c r="U126" s="2171"/>
      <c r="V126" s="2171"/>
      <c r="W126" s="2171"/>
      <c r="X126" s="2171"/>
      <c r="Y126" s="2171"/>
      <c r="Z126" s="2171"/>
      <c r="AA126" s="2171"/>
      <c r="AB126" s="2171"/>
      <c r="AC126" s="2171"/>
    </row>
    <row r="127" spans="1:29" s="1339" customFormat="1" ht="16.5" hidden="1" thickTop="1" thickBot="1">
      <c r="A127" s="689"/>
      <c r="B127" s="680"/>
      <c r="C127" s="694"/>
      <c r="D127" s="673"/>
      <c r="E127" s="673"/>
      <c r="F127" s="673"/>
      <c r="G127" s="694"/>
      <c r="H127" s="695"/>
      <c r="I127" s="695"/>
      <c r="J127" s="695"/>
      <c r="K127" s="695"/>
      <c r="L127" s="695"/>
      <c r="M127" s="696"/>
      <c r="N127" s="2168"/>
      <c r="O127" s="2168"/>
      <c r="P127" s="2169"/>
      <c r="Q127" s="2170"/>
      <c r="R127" s="2171"/>
      <c r="S127" s="2171"/>
      <c r="T127" s="2171"/>
      <c r="U127" s="2171"/>
      <c r="V127" s="2171"/>
      <c r="W127" s="2171"/>
      <c r="X127" s="2171"/>
      <c r="Y127" s="2171"/>
      <c r="Z127" s="2171"/>
      <c r="AA127" s="2171"/>
      <c r="AB127" s="2171"/>
      <c r="AC127" s="2171"/>
    </row>
    <row r="128" spans="1:29" ht="15" hidden="1" thickTop="1">
      <c r="A128" s="737"/>
      <c r="B128" s="675">
        <f>B45</f>
        <v>0</v>
      </c>
      <c r="C128" s="690"/>
      <c r="D128" s="690"/>
      <c r="E128" s="690"/>
      <c r="F128" s="690"/>
      <c r="G128" s="720"/>
      <c r="H128" s="720"/>
      <c r="I128" s="720"/>
      <c r="J128" s="720"/>
      <c r="K128" s="721"/>
      <c r="L128" s="722"/>
      <c r="M128" s="723"/>
      <c r="N128" s="2165"/>
      <c r="O128" s="2165"/>
      <c r="P128" s="2166"/>
      <c r="Q128" s="2159"/>
      <c r="R128" s="2146"/>
      <c r="S128" s="2146"/>
      <c r="T128" s="2146"/>
      <c r="U128" s="2146"/>
      <c r="V128" s="2146"/>
      <c r="W128" s="2146"/>
      <c r="X128" s="2146"/>
      <c r="Y128" s="2146"/>
      <c r="Z128" s="2146"/>
      <c r="AA128" s="2146"/>
      <c r="AB128" s="2146"/>
      <c r="AC128" s="2146"/>
    </row>
    <row r="129" spans="1:29" ht="16.5" hidden="1" thickTop="1" thickBot="1">
      <c r="A129" s="671"/>
      <c r="B129" s="680"/>
      <c r="C129" s="694"/>
      <c r="D129" s="694"/>
      <c r="E129" s="694"/>
      <c r="F129" s="694"/>
      <c r="G129" s="673"/>
      <c r="H129" s="673"/>
      <c r="I129" s="673"/>
      <c r="J129" s="673"/>
      <c r="K129" s="673"/>
      <c r="L129" s="673"/>
      <c r="M129" s="674"/>
      <c r="N129" s="2167"/>
      <c r="O129" s="2167"/>
      <c r="P129" s="2166"/>
      <c r="Q129" s="2159"/>
      <c r="R129" s="2146"/>
      <c r="S129" s="2146"/>
      <c r="T129" s="2146"/>
      <c r="U129" s="2146"/>
      <c r="V129" s="2146"/>
      <c r="W129" s="2146"/>
      <c r="X129" s="2146"/>
      <c r="Y129" s="2146"/>
      <c r="Z129" s="2146"/>
      <c r="AA129" s="2146"/>
      <c r="AB129" s="2146"/>
      <c r="AC129" s="2146"/>
    </row>
    <row r="130" spans="1:29" ht="15" hidden="1" thickTop="1">
      <c r="A130" s="737"/>
      <c r="B130" s="683">
        <f>B46</f>
        <v>0</v>
      </c>
      <c r="C130" s="690"/>
      <c r="D130" s="690"/>
      <c r="E130" s="690"/>
      <c r="F130" s="690"/>
      <c r="G130" s="724"/>
      <c r="H130" s="724"/>
      <c r="I130" s="724"/>
      <c r="J130" s="724"/>
      <c r="K130" s="663"/>
      <c r="L130" s="664"/>
      <c r="M130" s="727"/>
      <c r="N130" s="2165"/>
      <c r="O130" s="2165"/>
      <c r="P130" s="2166"/>
      <c r="Q130" s="2159"/>
      <c r="R130" s="2146"/>
      <c r="S130" s="2146"/>
      <c r="T130" s="2146"/>
      <c r="U130" s="2146"/>
      <c r="V130" s="2146"/>
      <c r="W130" s="2146"/>
      <c r="X130" s="2146"/>
      <c r="Y130" s="2146"/>
      <c r="Z130" s="2146"/>
      <c r="AA130" s="2146"/>
      <c r="AB130" s="2146"/>
      <c r="AC130" s="2146"/>
    </row>
    <row r="131" spans="1:29" ht="16.5" hidden="1" thickTop="1" thickBot="1">
      <c r="A131" s="894"/>
      <c r="B131" s="701"/>
      <c r="C131" s="702"/>
      <c r="D131" s="702"/>
      <c r="E131" s="702"/>
      <c r="F131" s="702"/>
      <c r="G131" s="728"/>
      <c r="H131" s="728"/>
      <c r="I131" s="728"/>
      <c r="J131" s="728"/>
      <c r="K131" s="728"/>
      <c r="L131" s="728"/>
      <c r="M131" s="729"/>
      <c r="N131" s="2167"/>
      <c r="O131" s="2167"/>
      <c r="P131" s="2166"/>
      <c r="Q131" s="2159"/>
      <c r="R131" s="2146"/>
      <c r="S131" s="2146"/>
      <c r="T131" s="2146"/>
      <c r="U131" s="2146"/>
      <c r="V131" s="2146"/>
      <c r="W131" s="2146"/>
      <c r="X131" s="2146"/>
      <c r="Y131" s="2146"/>
      <c r="Z131" s="2146"/>
      <c r="AA131" s="2146"/>
      <c r="AB131" s="2146"/>
      <c r="AC131" s="2146"/>
    </row>
    <row r="132" spans="1:29" ht="15" thickTop="1">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2265</v>
      </c>
      <c r="H138" s="1929" t="s">
        <v>2266</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8">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8">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8">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J48" sqref="J4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719</v>
      </c>
      <c r="B1" s="2648" t="s">
        <v>720</v>
      </c>
      <c r="C1" s="2649" t="s">
        <v>721</v>
      </c>
      <c r="D1" s="2650" t="s">
        <v>3268</v>
      </c>
      <c r="E1" s="2651"/>
      <c r="F1" s="2834" t="s">
        <v>3239</v>
      </c>
      <c r="G1" s="1601" t="s">
        <v>722</v>
      </c>
      <c r="H1" s="509"/>
      <c r="I1" s="509"/>
      <c r="J1" s="509"/>
      <c r="K1" s="510"/>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6" t="s">
        <v>467</v>
      </c>
      <c r="B2" s="2647">
        <f>ROUND(B3*D3/10000,0)</f>
        <v>108306</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12" t="s">
        <v>520</v>
      </c>
      <c r="B3" s="853">
        <f>C49</f>
        <v>11838</v>
      </c>
      <c r="C3" s="854" t="s">
        <v>723</v>
      </c>
      <c r="D3" s="853">
        <f>SUMIF('数据-汇总表'!$C19:$C33,D1,'数据-汇总表'!$E19:$E33)</f>
        <v>91490.4</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5" t="s">
        <v>522</v>
      </c>
      <c r="B4" s="516"/>
      <c r="C4" s="3523" t="s">
        <v>523</v>
      </c>
      <c r="D4" s="3524"/>
      <c r="E4" s="3548" t="s">
        <v>524</v>
      </c>
      <c r="F4" s="3549"/>
      <c r="G4" s="3523" t="s">
        <v>525</v>
      </c>
      <c r="H4" s="3524"/>
      <c r="I4" s="3523" t="s">
        <v>526</v>
      </c>
      <c r="J4" s="3524"/>
      <c r="K4" s="855" t="s">
        <v>527</v>
      </c>
      <c r="L4" s="2134"/>
      <c r="M4" s="2135"/>
      <c r="N4" s="2135"/>
      <c r="O4" s="2135"/>
      <c r="P4" s="3525" t="s">
        <v>528</v>
      </c>
      <c r="Q4" s="3526"/>
      <c r="R4" s="3511" t="s">
        <v>524</v>
      </c>
      <c r="S4" s="3512"/>
      <c r="T4" s="3511" t="s">
        <v>525</v>
      </c>
      <c r="U4" s="3512"/>
      <c r="V4" s="3531" t="s">
        <v>526</v>
      </c>
      <c r="W4" s="3531"/>
      <c r="X4" s="3179"/>
      <c r="Y4" s="3511" t="s">
        <v>528</v>
      </c>
      <c r="Z4" s="3512"/>
      <c r="AA4" s="3506" t="s">
        <v>524</v>
      </c>
      <c r="AB4" s="3506" t="s">
        <v>525</v>
      </c>
      <c r="AC4" s="3506" t="s">
        <v>526</v>
      </c>
    </row>
    <row r="5" spans="1:29" ht="15">
      <c r="A5" s="518"/>
      <c r="B5" s="519"/>
      <c r="C5" s="3534" t="s">
        <v>2924</v>
      </c>
      <c r="D5" s="3535"/>
      <c r="E5" s="3617" t="str">
        <f>'不动产比较法-小高层'!E5:F5</f>
        <v>洱海传奇</v>
      </c>
      <c r="F5" s="3551"/>
      <c r="G5" s="3618" t="s">
        <v>3241</v>
      </c>
      <c r="H5" s="3535"/>
      <c r="I5" s="3618" t="s">
        <v>3240</v>
      </c>
      <c r="J5" s="3535"/>
      <c r="K5" s="856"/>
      <c r="L5" s="2134"/>
      <c r="M5" s="2135"/>
      <c r="N5" s="2135"/>
      <c r="O5" s="2135"/>
      <c r="P5" s="3527"/>
      <c r="Q5" s="3528"/>
      <c r="R5" s="3513"/>
      <c r="S5" s="3514"/>
      <c r="T5" s="3513"/>
      <c r="U5" s="3514"/>
      <c r="V5" s="3531"/>
      <c r="W5" s="3531"/>
      <c r="X5" s="3179"/>
      <c r="Y5" s="3513"/>
      <c r="Z5" s="3514"/>
      <c r="AA5" s="3507"/>
      <c r="AB5" s="3507"/>
      <c r="AC5" s="3507"/>
    </row>
    <row r="6" spans="1:29" ht="27" customHeight="1" thickBot="1">
      <c r="A6" s="520"/>
      <c r="B6" s="521"/>
      <c r="C6" s="3532" t="s">
        <v>2928</v>
      </c>
      <c r="D6" s="3533"/>
      <c r="E6" s="3619" t="str">
        <f>'不动产比较法-小高层'!E6:F6</f>
        <v>云南大理满江·机场路·石房子</v>
      </c>
      <c r="F6" s="3553"/>
      <c r="G6" s="3538" t="s">
        <v>3263</v>
      </c>
      <c r="H6" s="3533"/>
      <c r="I6" s="3538" t="s">
        <v>3264</v>
      </c>
      <c r="J6" s="3533"/>
      <c r="K6" s="856" t="s">
        <v>529</v>
      </c>
      <c r="L6" s="2134"/>
      <c r="M6" s="2135"/>
      <c r="N6" s="2135"/>
      <c r="O6" s="2135"/>
      <c r="P6" s="3529"/>
      <c r="Q6" s="3530"/>
      <c r="R6" s="3513"/>
      <c r="S6" s="3514"/>
      <c r="T6" s="3515"/>
      <c r="U6" s="3516"/>
      <c r="V6" s="3531"/>
      <c r="W6" s="3531"/>
      <c r="X6" s="3179"/>
      <c r="Y6" s="3515"/>
      <c r="Z6" s="3516"/>
      <c r="AA6" s="3508"/>
      <c r="AB6" s="3508"/>
      <c r="AC6" s="3508"/>
    </row>
    <row r="7" spans="1:29" s="1220" customFormat="1" ht="15.75" thickBot="1">
      <c r="A7" s="2939"/>
      <c r="B7" s="2946" t="s">
        <v>530</v>
      </c>
      <c r="C7" s="522">
        <f>'数据-取费表'!B2</f>
        <v>43052</v>
      </c>
      <c r="D7" s="523">
        <v>100</v>
      </c>
      <c r="E7" s="524">
        <v>43040</v>
      </c>
      <c r="F7" s="525">
        <f>SUMIF(58:58,YEAR(E7)&amp;"-"&amp;MONTH(E7),59:59)</f>
        <v>100</v>
      </c>
      <c r="G7" s="526">
        <f>E7</f>
        <v>43040</v>
      </c>
      <c r="H7" s="523">
        <f>SUMIF(58:58,YEAR(G7)&amp;"-"&amp;MONTH(G7),59:59)</f>
        <v>100</v>
      </c>
      <c r="I7" s="526">
        <f>G7</f>
        <v>43040</v>
      </c>
      <c r="J7" s="523">
        <f>SUMIF(58:58,YEAR(I7)&amp;"-"&amp;MONTH(I7),59:59)</f>
        <v>100</v>
      </c>
      <c r="K7" s="857"/>
      <c r="L7" s="2136"/>
      <c r="M7" s="2137"/>
      <c r="N7" s="2137"/>
      <c r="O7" s="2137"/>
      <c r="P7" s="3509" t="s">
        <v>531</v>
      </c>
      <c r="Q7" s="3518"/>
      <c r="R7" s="1568" t="s">
        <v>13</v>
      </c>
      <c r="S7" s="1569">
        <f t="shared" ref="S7:S15" si="0">F7</f>
        <v>100</v>
      </c>
      <c r="T7" s="1568" t="s">
        <v>13</v>
      </c>
      <c r="U7" s="1569">
        <f t="shared" ref="U7:U15" si="1">H7</f>
        <v>100</v>
      </c>
      <c r="V7" s="1568" t="s">
        <v>13</v>
      </c>
      <c r="W7" s="1569">
        <f t="shared" ref="W7:W15" si="2">J7</f>
        <v>100</v>
      </c>
      <c r="X7" s="1570"/>
      <c r="Y7" s="3509" t="s">
        <v>531</v>
      </c>
      <c r="Z7" s="3510"/>
      <c r="AA7" s="1571">
        <f>D7/F7</f>
        <v>1</v>
      </c>
      <c r="AB7" s="1571">
        <f>D7/H7</f>
        <v>1</v>
      </c>
      <c r="AC7" s="1571">
        <f>D7/J7</f>
        <v>1</v>
      </c>
    </row>
    <row r="8" spans="1:29" s="1220" customFormat="1" ht="15.75" thickBot="1">
      <c r="A8" s="2940"/>
      <c r="B8" s="2947" t="s">
        <v>532</v>
      </c>
      <c r="C8" s="528" t="s">
        <v>577</v>
      </c>
      <c r="D8" s="523">
        <v>100</v>
      </c>
      <c r="E8" s="858" t="s">
        <v>3023</v>
      </c>
      <c r="F8" s="525">
        <f>SUMIF(61:61,E8,62:62)-SUMIF(61:61,C8,62:62)+100</f>
        <v>100</v>
      </c>
      <c r="G8" s="858" t="s">
        <v>3023</v>
      </c>
      <c r="H8" s="523">
        <f>SUMIF(61:61,G8,62:62)-SUMIF(61:61,C8,62:62)+100</f>
        <v>100</v>
      </c>
      <c r="I8" s="858" t="s">
        <v>3023</v>
      </c>
      <c r="J8" s="523">
        <f>SUMIF(61:61,I8,62:62)-SUMIF(61:61,C8,62:62)+100</f>
        <v>100</v>
      </c>
      <c r="K8" s="857"/>
      <c r="L8" s="2136"/>
      <c r="M8" s="2137"/>
      <c r="N8" s="2137"/>
      <c r="O8" s="2137"/>
      <c r="P8" s="3509" t="s">
        <v>534</v>
      </c>
      <c r="Q8" s="3510"/>
      <c r="R8" s="1568" t="s">
        <v>13</v>
      </c>
      <c r="S8" s="1569">
        <f t="shared" si="0"/>
        <v>100</v>
      </c>
      <c r="T8" s="1568" t="s">
        <v>13</v>
      </c>
      <c r="U8" s="1569">
        <f t="shared" si="1"/>
        <v>100</v>
      </c>
      <c r="V8" s="1568" t="s">
        <v>13</v>
      </c>
      <c r="W8" s="1569">
        <f t="shared" si="2"/>
        <v>100</v>
      </c>
      <c r="X8" s="1570"/>
      <c r="Y8" s="3509" t="s">
        <v>534</v>
      </c>
      <c r="Z8" s="3510"/>
      <c r="AA8" s="1571">
        <f t="shared" ref="AA8:AA46" si="3">D8/F8</f>
        <v>1</v>
      </c>
      <c r="AB8" s="1571">
        <f t="shared" ref="AB8:AB46" si="4">D8/H8</f>
        <v>1</v>
      </c>
      <c r="AC8" s="1571">
        <f t="shared" ref="AC8:AC46" si="5">D8/J8</f>
        <v>1</v>
      </c>
    </row>
    <row r="9" spans="1:29" s="1220" customFormat="1" ht="15">
      <c r="A9" s="2941"/>
      <c r="B9" s="2948" t="s">
        <v>2759</v>
      </c>
      <c r="C9" s="3202" t="s">
        <v>3242</v>
      </c>
      <c r="D9" s="254">
        <v>100</v>
      </c>
      <c r="E9" s="860" t="s">
        <v>923</v>
      </c>
      <c r="F9" s="861">
        <f>SUMIF(63:63,E9,64:64)-SUMIF(63:63,C9,64:64)+100</f>
        <v>100</v>
      </c>
      <c r="G9" s="860" t="s">
        <v>923</v>
      </c>
      <c r="H9" s="254">
        <f>SUMIF(63:63,G9,64:64)-SUMIF(63:63,C9,64:64)+100</f>
        <v>100</v>
      </c>
      <c r="I9" s="860" t="s">
        <v>923</v>
      </c>
      <c r="J9" s="254">
        <f>SUMIF(63:63,I9,64:64)-SUMIF(63:63,C9,64:64)+100</f>
        <v>100</v>
      </c>
      <c r="K9" s="857"/>
      <c r="L9" s="2136"/>
      <c r="M9" s="2137"/>
      <c r="N9" s="2137"/>
      <c r="O9" s="2138"/>
      <c r="P9" s="3517" t="s">
        <v>536</v>
      </c>
      <c r="Q9" s="3176" t="str">
        <f t="shared" ref="Q9:Q15" si="6">B9</f>
        <v>用途</v>
      </c>
      <c r="R9" s="1568" t="s">
        <v>8</v>
      </c>
      <c r="S9" s="1569">
        <f t="shared" si="0"/>
        <v>100</v>
      </c>
      <c r="T9" s="1568" t="s">
        <v>8</v>
      </c>
      <c r="U9" s="1569">
        <f t="shared" si="1"/>
        <v>100</v>
      </c>
      <c r="V9" s="1568" t="s">
        <v>8</v>
      </c>
      <c r="W9" s="1569">
        <f t="shared" si="2"/>
        <v>100</v>
      </c>
      <c r="X9" s="1570"/>
      <c r="Y9" s="3474" t="s">
        <v>537</v>
      </c>
      <c r="Z9" s="3175" t="str">
        <f t="shared" ref="Z9:Z15" si="7">Q9</f>
        <v>用途</v>
      </c>
      <c r="AA9" s="1571">
        <f t="shared" si="3"/>
        <v>1</v>
      </c>
      <c r="AB9" s="1571">
        <f t="shared" si="4"/>
        <v>1</v>
      </c>
      <c r="AC9" s="1571">
        <f t="shared" si="5"/>
        <v>1</v>
      </c>
    </row>
    <row r="10" spans="1:29" s="1338" customFormat="1" ht="27">
      <c r="A10" s="2942"/>
      <c r="B10" s="2947" t="s">
        <v>2760</v>
      </c>
      <c r="C10" s="863" t="s">
        <v>3243</v>
      </c>
      <c r="D10" s="255">
        <v>100</v>
      </c>
      <c r="E10" s="864" t="s">
        <v>3243</v>
      </c>
      <c r="F10" s="865">
        <f>SUMIF(65:65,E10,66:66)-SUMIF(65:65,C10,66:66)+100</f>
        <v>100</v>
      </c>
      <c r="G10" s="864" t="s">
        <v>3243</v>
      </c>
      <c r="H10" s="255">
        <f>SUMIF(65:65,G10,66:66)-SUMIF(65:65,C10,66:66)+100</f>
        <v>100</v>
      </c>
      <c r="I10" s="864" t="s">
        <v>3243</v>
      </c>
      <c r="J10" s="255">
        <f>SUMIF(65:65,I10,66:66)-SUMIF(65:65,C10,66:66)+100</f>
        <v>100</v>
      </c>
      <c r="K10" s="866">
        <v>1</v>
      </c>
      <c r="L10" s="2139"/>
      <c r="M10" s="2179"/>
      <c r="N10" s="2179"/>
      <c r="O10" s="2140"/>
      <c r="P10" s="3517"/>
      <c r="Q10" s="3176" t="str">
        <f t="shared" si="6"/>
        <v>土地使用年限（年）</v>
      </c>
      <c r="R10" s="1568" t="s">
        <v>8</v>
      </c>
      <c r="S10" s="1569">
        <f t="shared" si="0"/>
        <v>100</v>
      </c>
      <c r="T10" s="1568" t="s">
        <v>8</v>
      </c>
      <c r="U10" s="1569">
        <f t="shared" si="1"/>
        <v>100</v>
      </c>
      <c r="V10" s="1568" t="s">
        <v>8</v>
      </c>
      <c r="W10" s="1569">
        <f t="shared" si="2"/>
        <v>100</v>
      </c>
      <c r="X10" s="1570"/>
      <c r="Y10" s="3474"/>
      <c r="Z10" s="3175" t="str">
        <f t="shared" si="7"/>
        <v>土地使用年限（年）</v>
      </c>
      <c r="AA10" s="1571">
        <f t="shared" si="3"/>
        <v>1</v>
      </c>
      <c r="AB10" s="1571">
        <f t="shared" si="4"/>
        <v>1</v>
      </c>
      <c r="AC10" s="1571">
        <f t="shared" si="5"/>
        <v>1</v>
      </c>
    </row>
    <row r="11" spans="1:29" ht="15.75" thickBot="1">
      <c r="A11" s="2943"/>
      <c r="B11" s="2947" t="s">
        <v>2761</v>
      </c>
      <c r="C11" s="536">
        <f>'数据-汇总表'!I6</f>
        <v>1.5</v>
      </c>
      <c r="D11" s="255">
        <v>100</v>
      </c>
      <c r="E11" s="537">
        <f>I11</f>
        <v>0.65</v>
      </c>
      <c r="F11" s="865">
        <f>LOOKUP(E11,68:68,69:69)-LOOKUP(C11,68:68,69:69)+100</f>
        <v>101</v>
      </c>
      <c r="G11" s="536">
        <v>0.35</v>
      </c>
      <c r="H11" s="255">
        <f>LOOKUP(G11,68:68,69:69)-LOOKUP(C11,68:68,69:69)+100</f>
        <v>101</v>
      </c>
      <c r="I11" s="536">
        <v>0.65</v>
      </c>
      <c r="J11" s="255">
        <f>LOOKUP(I11,68:68,69:69)-LOOKUP(C11,68:68,69:69)+100</f>
        <v>101</v>
      </c>
      <c r="K11" s="866">
        <v>1</v>
      </c>
      <c r="L11" s="2141"/>
      <c r="M11" s="2135"/>
      <c r="N11" s="2135"/>
      <c r="O11" s="2142"/>
      <c r="P11" s="3517"/>
      <c r="Q11" s="3176" t="str">
        <f t="shared" si="6"/>
        <v>容积率</v>
      </c>
      <c r="R11" s="1568" t="s">
        <v>11</v>
      </c>
      <c r="S11" s="1569">
        <f t="shared" si="0"/>
        <v>101</v>
      </c>
      <c r="T11" s="1568" t="s">
        <v>11</v>
      </c>
      <c r="U11" s="1569">
        <f t="shared" si="1"/>
        <v>101</v>
      </c>
      <c r="V11" s="1568" t="s">
        <v>11</v>
      </c>
      <c r="W11" s="1569">
        <f t="shared" si="2"/>
        <v>101</v>
      </c>
      <c r="X11" s="1570"/>
      <c r="Y11" s="3474"/>
      <c r="Z11" s="3175" t="str">
        <f t="shared" si="7"/>
        <v>容积率</v>
      </c>
      <c r="AA11" s="1571">
        <f t="shared" si="3"/>
        <v>0.99009900990099009</v>
      </c>
      <c r="AB11" s="1571">
        <f t="shared" si="4"/>
        <v>0.99009900990099009</v>
      </c>
      <c r="AC11" s="1571">
        <f t="shared" si="5"/>
        <v>0.99009900990099009</v>
      </c>
    </row>
    <row r="12" spans="1:29" s="1220" customFormat="1" ht="15.75" hidden="1" thickBot="1">
      <c r="A12" s="2944"/>
      <c r="B12" s="2950"/>
      <c r="C12" s="531"/>
      <c r="D12" s="541">
        <v>100</v>
      </c>
      <c r="E12" s="531"/>
      <c r="F12" s="865">
        <f>SUMIF(70:70,E12,71:71)-SUMIF(70:70,C12,71:71)+100</f>
        <v>100</v>
      </c>
      <c r="G12" s="531"/>
      <c r="H12" s="255">
        <f>SUMIF(70:70,G12,71:71)-SUMIF(70:70,C12,71:71)+100</f>
        <v>100</v>
      </c>
      <c r="I12" s="531"/>
      <c r="J12" s="255">
        <f>SUMIF(70:70,I12,71:71)-SUMIF(70:70,C12,71:71)+100</f>
        <v>100</v>
      </c>
      <c r="K12" s="867"/>
      <c r="L12" s="2136"/>
      <c r="M12" s="2137"/>
      <c r="N12" s="2137"/>
      <c r="O12" s="2138"/>
      <c r="P12" s="3517"/>
      <c r="Q12" s="3176">
        <f t="shared" si="6"/>
        <v>0</v>
      </c>
      <c r="R12" s="1568" t="s">
        <v>11</v>
      </c>
      <c r="S12" s="1569">
        <f t="shared" si="0"/>
        <v>100</v>
      </c>
      <c r="T12" s="1568" t="s">
        <v>11</v>
      </c>
      <c r="U12" s="1569">
        <f t="shared" si="1"/>
        <v>100</v>
      </c>
      <c r="V12" s="1568" t="s">
        <v>11</v>
      </c>
      <c r="W12" s="1569">
        <f t="shared" si="2"/>
        <v>100</v>
      </c>
      <c r="X12" s="1570"/>
      <c r="Y12" s="3474"/>
      <c r="Z12" s="3175">
        <f t="shared" si="7"/>
        <v>0</v>
      </c>
      <c r="AA12" s="1571">
        <f>D12/F12</f>
        <v>1</v>
      </c>
      <c r="AB12" s="1571">
        <f>D12/H12</f>
        <v>1</v>
      </c>
      <c r="AC12" s="1571">
        <f>D12/J12</f>
        <v>1</v>
      </c>
    </row>
    <row r="13" spans="1:29" ht="15.75" hidden="1" thickBot="1">
      <c r="A13" s="2944"/>
      <c r="B13" s="2950"/>
      <c r="C13" s="542"/>
      <c r="D13" s="543">
        <v>100</v>
      </c>
      <c r="E13" s="542"/>
      <c r="F13" s="865">
        <f>SUMIF(72:72,E13,73:73)-SUMIF(72:72,C13,73:73)+100</f>
        <v>100</v>
      </c>
      <c r="G13" s="542"/>
      <c r="H13" s="543">
        <f>SUMIF(72:72,G13,73:73)-SUMIF(72:72,C13,73:73)+100</f>
        <v>100</v>
      </c>
      <c r="I13" s="542"/>
      <c r="J13" s="543">
        <f>SUMIF(72:72,I13,73:73)-SUMIF(72:72,C13,73:73)+100</f>
        <v>100</v>
      </c>
      <c r="K13" s="867"/>
      <c r="L13" s="2143"/>
      <c r="M13" s="2135"/>
      <c r="N13" s="2135"/>
      <c r="O13" s="2142"/>
      <c r="P13" s="3517"/>
      <c r="Q13" s="3176">
        <f t="shared" si="6"/>
        <v>0</v>
      </c>
      <c r="R13" s="1568" t="s">
        <v>11</v>
      </c>
      <c r="S13" s="1569">
        <f t="shared" si="0"/>
        <v>100</v>
      </c>
      <c r="T13" s="1568" t="s">
        <v>11</v>
      </c>
      <c r="U13" s="1569">
        <f t="shared" si="1"/>
        <v>100</v>
      </c>
      <c r="V13" s="1568" t="s">
        <v>11</v>
      </c>
      <c r="W13" s="1569">
        <f t="shared" si="2"/>
        <v>100</v>
      </c>
      <c r="X13" s="1570"/>
      <c r="Y13" s="3474"/>
      <c r="Z13" s="3175">
        <f t="shared" si="7"/>
        <v>0</v>
      </c>
      <c r="AA13" s="1571">
        <f t="shared" si="3"/>
        <v>1</v>
      </c>
      <c r="AB13" s="1571">
        <f t="shared" si="4"/>
        <v>1</v>
      </c>
      <c r="AC13" s="1571">
        <f t="shared" si="5"/>
        <v>1</v>
      </c>
    </row>
    <row r="14" spans="1:29" ht="15.75" hidden="1" thickBot="1">
      <c r="A14" s="2945"/>
      <c r="B14" s="2951"/>
      <c r="C14" s="548"/>
      <c r="D14" s="549">
        <v>100</v>
      </c>
      <c r="E14" s="548"/>
      <c r="F14" s="868">
        <f>SUMIF(74:74,E14,75:75)-SUMIF(74:74,C14,75:75)+100</f>
        <v>100</v>
      </c>
      <c r="G14" s="548"/>
      <c r="H14" s="549">
        <f>SUMIF(74:74,G14,75:75)-SUMIF(74:74,C14,75:75)+100</f>
        <v>100</v>
      </c>
      <c r="I14" s="548"/>
      <c r="J14" s="549">
        <f>SUMIF(74:74,I14,75:75)-SUMIF(74:74,C14,75:75)+100</f>
        <v>100</v>
      </c>
      <c r="K14" s="867"/>
      <c r="L14" s="2143"/>
      <c r="M14" s="2135"/>
      <c r="N14" s="2135"/>
      <c r="O14" s="2142"/>
      <c r="P14" s="3517"/>
      <c r="Q14" s="3176">
        <f t="shared" si="6"/>
        <v>0</v>
      </c>
      <c r="R14" s="1568" t="s">
        <v>11</v>
      </c>
      <c r="S14" s="1569">
        <f t="shared" si="0"/>
        <v>100</v>
      </c>
      <c r="T14" s="1568" t="s">
        <v>11</v>
      </c>
      <c r="U14" s="1569">
        <f t="shared" si="1"/>
        <v>100</v>
      </c>
      <c r="V14" s="1568" t="s">
        <v>11</v>
      </c>
      <c r="W14" s="1569">
        <f t="shared" si="2"/>
        <v>100</v>
      </c>
      <c r="X14" s="1570"/>
      <c r="Y14" s="3474"/>
      <c r="Z14" s="3175">
        <f t="shared" si="7"/>
        <v>0</v>
      </c>
      <c r="AA14" s="1571">
        <f t="shared" si="3"/>
        <v>1</v>
      </c>
      <c r="AB14" s="1571">
        <f t="shared" si="4"/>
        <v>1</v>
      </c>
      <c r="AC14" s="1571">
        <f t="shared" si="5"/>
        <v>1</v>
      </c>
    </row>
    <row r="15" spans="1:29" ht="57">
      <c r="A15" s="2937" t="s">
        <v>2757</v>
      </c>
      <c r="B15" s="166" t="s">
        <v>295</v>
      </c>
      <c r="C15" s="869" t="str">
        <f>估价对象房地状况!C3</f>
        <v>周边居住用地比例、居住小区规模和社区发展完善程度</v>
      </c>
      <c r="D15" s="552">
        <v>100</v>
      </c>
      <c r="E15" s="553"/>
      <c r="F15" s="554">
        <f>SUMIF(76:76,E16,77:77)-SUMIF(76:76,C16,77:77)+100</f>
        <v>105</v>
      </c>
      <c r="G15" s="555"/>
      <c r="H15" s="552">
        <f>SUMIF(76:76,G16,77:77)-SUMIF(76:76,C16,77:77)+100</f>
        <v>105</v>
      </c>
      <c r="I15" s="553"/>
      <c r="J15" s="552">
        <f>SUMIF(76:76,I16,77:77)-SUMIF(76:76,C16,77:77)+100</f>
        <v>105</v>
      </c>
      <c r="K15" s="870">
        <f>'不动产比较法-小高层'!K15</f>
        <v>5</v>
      </c>
      <c r="L15" s="2143"/>
      <c r="M15" s="2135"/>
      <c r="N15" s="2135"/>
      <c r="O15" s="2142"/>
      <c r="P15" s="3519" t="s">
        <v>541</v>
      </c>
      <c r="Q15" s="3177" t="str">
        <f t="shared" si="6"/>
        <v>居住社区成熟度</v>
      </c>
      <c r="R15" s="1573" t="s">
        <v>11</v>
      </c>
      <c r="S15" s="1574">
        <f t="shared" si="0"/>
        <v>105</v>
      </c>
      <c r="T15" s="1573" t="s">
        <v>11</v>
      </c>
      <c r="U15" s="1574">
        <f t="shared" si="1"/>
        <v>105</v>
      </c>
      <c r="V15" s="1573" t="s">
        <v>11</v>
      </c>
      <c r="W15" s="1574">
        <f t="shared" si="2"/>
        <v>105</v>
      </c>
      <c r="X15" s="3179"/>
      <c r="Y15" s="3519" t="s">
        <v>541</v>
      </c>
      <c r="Z15" s="3178" t="str">
        <f t="shared" si="7"/>
        <v>居住社区成熟度</v>
      </c>
      <c r="AA15" s="3180">
        <f t="shared" si="3"/>
        <v>0.95238095238095233</v>
      </c>
      <c r="AB15" s="3180">
        <f t="shared" si="4"/>
        <v>0.95238095238095233</v>
      </c>
      <c r="AC15" s="3180">
        <f t="shared" si="5"/>
        <v>0.95238095238095233</v>
      </c>
    </row>
    <row r="16" spans="1:29" ht="15">
      <c r="A16" s="535"/>
      <c r="B16" s="871"/>
      <c r="C16" s="578" t="s">
        <v>3261</v>
      </c>
      <c r="D16" s="558"/>
      <c r="E16" s="578" t="s">
        <v>3238</v>
      </c>
      <c r="F16" s="560"/>
      <c r="G16" s="578" t="s">
        <v>3238</v>
      </c>
      <c r="H16" s="562"/>
      <c r="I16" s="578" t="s">
        <v>3238</v>
      </c>
      <c r="J16" s="558"/>
      <c r="K16" s="872"/>
      <c r="L16" s="2143"/>
      <c r="M16" s="2135"/>
      <c r="N16" s="2135"/>
      <c r="O16" s="2142"/>
      <c r="P16" s="3520"/>
      <c r="Q16" s="3177"/>
      <c r="R16" s="1573"/>
      <c r="S16" s="1574"/>
      <c r="T16" s="1573"/>
      <c r="U16" s="1574"/>
      <c r="V16" s="1573"/>
      <c r="W16" s="1574"/>
      <c r="X16" s="3179"/>
      <c r="Y16" s="3520"/>
      <c r="Z16" s="3178"/>
      <c r="AA16" s="3180">
        <v>1</v>
      </c>
      <c r="AB16" s="3180">
        <v>1</v>
      </c>
      <c r="AC16" s="3180">
        <v>1</v>
      </c>
    </row>
    <row r="17" spans="1:29" ht="71.25">
      <c r="A17" s="535"/>
      <c r="B17" s="873" t="s">
        <v>296</v>
      </c>
      <c r="C17" s="874" t="str">
        <f>估价对象房地状况!C6</f>
        <v>周边道路状况、公共交通通达情况、停车便捷程度（大理荒草坝机场</v>
      </c>
      <c r="D17" s="562">
        <v>100</v>
      </c>
      <c r="E17" s="564"/>
      <c r="F17" s="565">
        <f>SUMIF(78:78,E18,79:79)-SUMIF(78:78,C18,79:79)+100</f>
        <v>100</v>
      </c>
      <c r="G17" s="566"/>
      <c r="H17" s="567">
        <f>SUMIF(78:78,G18,79:79)-SUMIF(78:78,C18,79:79)+100</f>
        <v>100</v>
      </c>
      <c r="I17" s="564"/>
      <c r="J17" s="567">
        <f>SUMIF(78:78,I18,79:79)-SUMIF(78:78,C18,79:79)+100</f>
        <v>100</v>
      </c>
      <c r="K17" s="870">
        <f>'不动产比较法-小高层'!K17</f>
        <v>5</v>
      </c>
      <c r="L17" s="2143"/>
      <c r="M17" s="2135"/>
      <c r="N17" s="2135"/>
      <c r="O17" s="2142"/>
      <c r="P17" s="3520"/>
      <c r="Q17" s="3177" t="str">
        <f>B17</f>
        <v>交通便捷度</v>
      </c>
      <c r="R17" s="1573" t="s">
        <v>11</v>
      </c>
      <c r="S17" s="1574">
        <f>F17</f>
        <v>100</v>
      </c>
      <c r="T17" s="1573" t="s">
        <v>11</v>
      </c>
      <c r="U17" s="1574">
        <f>H17</f>
        <v>100</v>
      </c>
      <c r="V17" s="1573" t="s">
        <v>11</v>
      </c>
      <c r="W17" s="1574">
        <f>J17</f>
        <v>100</v>
      </c>
      <c r="X17" s="3179"/>
      <c r="Y17" s="3520"/>
      <c r="Z17" s="3178" t="str">
        <f>Q17</f>
        <v>交通便捷度</v>
      </c>
      <c r="AA17" s="3180">
        <f t="shared" si="3"/>
        <v>1</v>
      </c>
      <c r="AB17" s="3180">
        <f t="shared" si="4"/>
        <v>1</v>
      </c>
      <c r="AC17" s="3180">
        <f t="shared" si="5"/>
        <v>1</v>
      </c>
    </row>
    <row r="18" spans="1:29" ht="15">
      <c r="A18" s="535"/>
      <c r="B18" s="597"/>
      <c r="C18" s="875" t="s">
        <v>3238</v>
      </c>
      <c r="D18" s="562"/>
      <c r="E18" s="875" t="s">
        <v>3238</v>
      </c>
      <c r="F18" s="565"/>
      <c r="G18" s="875" t="s">
        <v>3238</v>
      </c>
      <c r="H18" s="558"/>
      <c r="I18" s="875" t="s">
        <v>3238</v>
      </c>
      <c r="J18" s="558"/>
      <c r="K18" s="872"/>
      <c r="L18" s="2143"/>
      <c r="M18" s="2135"/>
      <c r="N18" s="2135"/>
      <c r="O18" s="2142"/>
      <c r="P18" s="3520"/>
      <c r="Q18" s="3177"/>
      <c r="R18" s="1573"/>
      <c r="S18" s="1574"/>
      <c r="T18" s="1573"/>
      <c r="U18" s="1574"/>
      <c r="V18" s="1573"/>
      <c r="W18" s="1574"/>
      <c r="X18" s="3179"/>
      <c r="Y18" s="3520"/>
      <c r="Z18" s="3178"/>
      <c r="AA18" s="3180">
        <v>1</v>
      </c>
      <c r="AB18" s="3180">
        <v>1</v>
      </c>
      <c r="AC18" s="3180">
        <v>1</v>
      </c>
    </row>
    <row r="19" spans="1:29" ht="42.75">
      <c r="A19" s="535"/>
      <c r="B19" s="2625" t="s">
        <v>2548</v>
      </c>
      <c r="C19" s="874" t="str">
        <f>估价对象房地状况!C7</f>
        <v>大理技师学院 与较成熟区域距离5-6公里</v>
      </c>
      <c r="D19" s="567">
        <v>100</v>
      </c>
      <c r="E19" s="572"/>
      <c r="F19" s="573">
        <f>SUMIF(80:80,E20,81:81)-SUMIF(80:80,C20,81:81)+100</f>
        <v>105</v>
      </c>
      <c r="G19" s="574"/>
      <c r="H19" s="562">
        <f>SUMIF(80:80,G20,81:81)-SUMIF(80:80,C20,81:81)+100</f>
        <v>105</v>
      </c>
      <c r="I19" s="572"/>
      <c r="J19" s="562">
        <f>SUMIF(80:80,I20,81:81)-SUMIF(80:80,C20,81:81)+100</f>
        <v>105</v>
      </c>
      <c r="K19" s="870">
        <f>'不动产比较法-小高层'!K19</f>
        <v>5</v>
      </c>
      <c r="L19" s="2143"/>
      <c r="M19" s="2135"/>
      <c r="N19" s="2135"/>
      <c r="O19" s="2142"/>
      <c r="P19" s="3520"/>
      <c r="Q19" s="3177" t="str">
        <f>B19</f>
        <v>公共配套设施</v>
      </c>
      <c r="R19" s="1573" t="s">
        <v>11</v>
      </c>
      <c r="S19" s="1574">
        <f>F19</f>
        <v>105</v>
      </c>
      <c r="T19" s="1573" t="s">
        <v>11</v>
      </c>
      <c r="U19" s="1574">
        <f>H19</f>
        <v>105</v>
      </c>
      <c r="V19" s="1573" t="s">
        <v>11</v>
      </c>
      <c r="W19" s="1574">
        <f>J19</f>
        <v>105</v>
      </c>
      <c r="X19" s="3179"/>
      <c r="Y19" s="3520"/>
      <c r="Z19" s="3178" t="str">
        <f>Q19</f>
        <v>公共配套设施</v>
      </c>
      <c r="AA19" s="3180">
        <f t="shared" si="3"/>
        <v>0.95238095238095233</v>
      </c>
      <c r="AB19" s="3180">
        <f t="shared" si="4"/>
        <v>0.95238095238095233</v>
      </c>
      <c r="AC19" s="3180">
        <f t="shared" si="5"/>
        <v>0.95238095238095233</v>
      </c>
    </row>
    <row r="20" spans="1:29" ht="15">
      <c r="A20" s="535"/>
      <c r="B20" s="597"/>
      <c r="C20" s="578" t="s">
        <v>3261</v>
      </c>
      <c r="D20" s="558"/>
      <c r="E20" s="559" t="s">
        <v>3238</v>
      </c>
      <c r="F20" s="560"/>
      <c r="G20" s="559" t="s">
        <v>3238</v>
      </c>
      <c r="H20" s="558"/>
      <c r="I20" s="559" t="s">
        <v>3238</v>
      </c>
      <c r="J20" s="558"/>
      <c r="K20" s="872"/>
      <c r="L20" s="2143"/>
      <c r="M20" s="2135"/>
      <c r="N20" s="2135"/>
      <c r="O20" s="2142"/>
      <c r="P20" s="3520"/>
      <c r="Q20" s="3177"/>
      <c r="R20" s="1573"/>
      <c r="S20" s="1574"/>
      <c r="T20" s="1573"/>
      <c r="U20" s="1574"/>
      <c r="V20" s="1573"/>
      <c r="W20" s="1574"/>
      <c r="X20" s="3179"/>
      <c r="Y20" s="3520"/>
      <c r="Z20" s="3178"/>
      <c r="AA20" s="3180">
        <v>1</v>
      </c>
      <c r="AB20" s="3180">
        <v>1</v>
      </c>
      <c r="AC20" s="3180">
        <v>1</v>
      </c>
    </row>
    <row r="21" spans="1:29" ht="15">
      <c r="A21" s="535"/>
      <c r="B21" s="2618" t="s">
        <v>2549</v>
      </c>
      <c r="C21" s="874">
        <f>估价对象房地状况!C8</f>
        <v>0</v>
      </c>
      <c r="D21" s="567">
        <v>100</v>
      </c>
      <c r="E21" s="574"/>
      <c r="F21" s="573">
        <f>SUMIF(82:82,E22,83:83)-SUMIF(82:82,C22,83:83)+100</f>
        <v>100</v>
      </c>
      <c r="G21" s="574"/>
      <c r="H21" s="567">
        <f>SUMIF(82:82,G22,83:83)-SUMIF(82:82,C22,83:83)+100</f>
        <v>100</v>
      </c>
      <c r="I21" s="572"/>
      <c r="J21" s="567">
        <f>SUMIF(82:82,I22,83:83)-SUMIF(82:82,C22,83:83)+100</f>
        <v>100</v>
      </c>
      <c r="K21" s="870">
        <f>'不动产比较法-小高层'!K21</f>
        <v>1</v>
      </c>
      <c r="L21" s="2143"/>
      <c r="M21" s="2135"/>
      <c r="N21" s="2135"/>
      <c r="O21" s="2142"/>
      <c r="P21" s="3520"/>
      <c r="Q21" s="3177" t="str">
        <f>B21</f>
        <v>基础设施水平</v>
      </c>
      <c r="R21" s="1573" t="s">
        <v>11</v>
      </c>
      <c r="S21" s="1574">
        <f>F21</f>
        <v>100</v>
      </c>
      <c r="T21" s="1573" t="s">
        <v>11</v>
      </c>
      <c r="U21" s="1574">
        <f>H21</f>
        <v>100</v>
      </c>
      <c r="V21" s="1573" t="s">
        <v>11</v>
      </c>
      <c r="W21" s="1574">
        <f>J21</f>
        <v>100</v>
      </c>
      <c r="X21" s="3179"/>
      <c r="Y21" s="3520"/>
      <c r="Z21" s="3178" t="str">
        <f>Q21</f>
        <v>基础设施水平</v>
      </c>
      <c r="AA21" s="3180">
        <f t="shared" ref="AA21" si="8">D21/F21</f>
        <v>1</v>
      </c>
      <c r="AB21" s="3180">
        <f t="shared" ref="AB21" si="9">D21/H21</f>
        <v>1</v>
      </c>
      <c r="AC21" s="3180">
        <f t="shared" ref="AC21" si="10">D21/J21</f>
        <v>1</v>
      </c>
    </row>
    <row r="22" spans="1:29" ht="15">
      <c r="A22" s="535"/>
      <c r="B22" s="923"/>
      <c r="C22" s="875" t="s">
        <v>3237</v>
      </c>
      <c r="D22" s="558"/>
      <c r="E22" s="875" t="s">
        <v>3237</v>
      </c>
      <c r="F22" s="560"/>
      <c r="G22" s="875" t="s">
        <v>3237</v>
      </c>
      <c r="H22" s="558"/>
      <c r="I22" s="875" t="s">
        <v>3237</v>
      </c>
      <c r="J22" s="558"/>
      <c r="K22" s="2624"/>
      <c r="L22" s="2143"/>
      <c r="M22" s="2135"/>
      <c r="N22" s="2135"/>
      <c r="O22" s="2142"/>
      <c r="P22" s="3520"/>
      <c r="Q22" s="3177"/>
      <c r="R22" s="1573"/>
      <c r="S22" s="1574"/>
      <c r="T22" s="1573"/>
      <c r="U22" s="1574"/>
      <c r="V22" s="1573"/>
      <c r="W22" s="1574"/>
      <c r="X22" s="3179"/>
      <c r="Y22" s="3520"/>
      <c r="Z22" s="3178"/>
      <c r="AA22" s="3180">
        <v>1</v>
      </c>
      <c r="AB22" s="3180">
        <v>1</v>
      </c>
      <c r="AC22" s="3180">
        <v>1</v>
      </c>
    </row>
    <row r="23" spans="1:29" ht="15">
      <c r="A23" s="535"/>
      <c r="B23" s="873" t="s">
        <v>297</v>
      </c>
      <c r="C23" s="874" t="str">
        <f>估价对象房地状况!C9</f>
        <v>洱海</v>
      </c>
      <c r="D23" s="562">
        <v>100</v>
      </c>
      <c r="E23" s="564"/>
      <c r="F23" s="565">
        <f>SUMIF(84:84,E24,85:85)-SUMIF(84:84,C24,85:85)+100</f>
        <v>100</v>
      </c>
      <c r="G23" s="566"/>
      <c r="H23" s="562">
        <f>SUMIF(84:84,G24,85:85)-SUMIF(84:84,C24,85:85)+100</f>
        <v>100</v>
      </c>
      <c r="I23" s="564"/>
      <c r="J23" s="562">
        <f>SUMIF(84:84,I24,85:85)-SUMIF(84:84,C24,85:85)+100</f>
        <v>100</v>
      </c>
      <c r="K23" s="870">
        <f>'不动产比较法-小高层'!K23</f>
        <v>10</v>
      </c>
      <c r="L23" s="2143"/>
      <c r="M23" s="2135"/>
      <c r="N23" s="2135"/>
      <c r="O23" s="2142"/>
      <c r="P23" s="3520"/>
      <c r="Q23" s="3177" t="str">
        <f>B23</f>
        <v>自然及人文环境</v>
      </c>
      <c r="R23" s="1573" t="s">
        <v>11</v>
      </c>
      <c r="S23" s="1574">
        <f>F23</f>
        <v>100</v>
      </c>
      <c r="T23" s="1573" t="s">
        <v>11</v>
      </c>
      <c r="U23" s="1574">
        <f>H23</f>
        <v>100</v>
      </c>
      <c r="V23" s="1573" t="s">
        <v>11</v>
      </c>
      <c r="W23" s="1574">
        <f>J23</f>
        <v>100</v>
      </c>
      <c r="X23" s="3179"/>
      <c r="Y23" s="3520"/>
      <c r="Z23" s="3178" t="str">
        <f>Q23</f>
        <v>自然及人文环境</v>
      </c>
      <c r="AA23" s="3180">
        <f t="shared" si="3"/>
        <v>1</v>
      </c>
      <c r="AB23" s="3180">
        <f t="shared" si="4"/>
        <v>1</v>
      </c>
      <c r="AC23" s="3180">
        <f t="shared" si="5"/>
        <v>1</v>
      </c>
    </row>
    <row r="24" spans="1:29" ht="15.75" thickBot="1">
      <c r="A24" s="535"/>
      <c r="B24" s="597"/>
      <c r="C24" s="578" t="s">
        <v>3229</v>
      </c>
      <c r="D24" s="558"/>
      <c r="E24" s="578" t="s">
        <v>3229</v>
      </c>
      <c r="F24" s="560"/>
      <c r="G24" s="578" t="s">
        <v>3229</v>
      </c>
      <c r="H24" s="558"/>
      <c r="I24" s="578" t="s">
        <v>3229</v>
      </c>
      <c r="J24" s="558"/>
      <c r="K24" s="872"/>
      <c r="L24" s="2143"/>
      <c r="M24" s="2135"/>
      <c r="N24" s="2135"/>
      <c r="O24" s="2142"/>
      <c r="P24" s="3520"/>
      <c r="Q24" s="3177"/>
      <c r="R24" s="1573"/>
      <c r="S24" s="1574"/>
      <c r="T24" s="1573"/>
      <c r="U24" s="1574"/>
      <c r="V24" s="1573"/>
      <c r="W24" s="1574"/>
      <c r="X24" s="3179"/>
      <c r="Y24" s="3520"/>
      <c r="Z24" s="3178"/>
      <c r="AA24" s="3180">
        <v>1</v>
      </c>
      <c r="AB24" s="3180">
        <v>1</v>
      </c>
      <c r="AC24" s="3180">
        <v>1</v>
      </c>
    </row>
    <row r="25" spans="1:29" ht="15.75" hidden="1" thickBot="1">
      <c r="A25" s="535"/>
      <c r="B25" s="1896" t="s">
        <v>2259</v>
      </c>
      <c r="C25" s="576"/>
      <c r="D25" s="543">
        <v>100</v>
      </c>
      <c r="E25" s="876"/>
      <c r="F25" s="577">
        <f>SUMIF(86:86,E25,87:87)-SUMIF(86:86,C25,87:87)+100</f>
        <v>100</v>
      </c>
      <c r="G25" s="601"/>
      <c r="H25" s="543">
        <f>SUMIF(86:86,G25,87:87)-SUMIF(86:86,C25,87:87)+100</f>
        <v>100</v>
      </c>
      <c r="I25" s="876"/>
      <c r="J25" s="543">
        <f>SUMIF(86:86,I25,87:87)-SUMIF(86:86,C25,87:87)+100</f>
        <v>100</v>
      </c>
      <c r="K25" s="866"/>
      <c r="L25" s="2143"/>
      <c r="M25" s="2135"/>
      <c r="N25" s="2135"/>
      <c r="O25" s="2142"/>
      <c r="P25" s="3520"/>
      <c r="Q25" s="3177" t="str">
        <f t="shared" ref="Q25:Q46" si="11">B25</f>
        <v>楼层-1</v>
      </c>
      <c r="R25" s="1573" t="s">
        <v>11</v>
      </c>
      <c r="S25" s="1574">
        <f>F25</f>
        <v>100</v>
      </c>
      <c r="T25" s="1573" t="s">
        <v>11</v>
      </c>
      <c r="U25" s="1574">
        <f>H25</f>
        <v>100</v>
      </c>
      <c r="V25" s="1573" t="s">
        <v>11</v>
      </c>
      <c r="W25" s="1574">
        <f>J25</f>
        <v>100</v>
      </c>
      <c r="X25" s="3179"/>
      <c r="Y25" s="3520"/>
      <c r="Z25" s="3178" t="str">
        <f>Q25</f>
        <v>楼层-1</v>
      </c>
      <c r="AA25" s="3180">
        <f t="shared" si="3"/>
        <v>1</v>
      </c>
      <c r="AB25" s="3180">
        <f t="shared" si="4"/>
        <v>1</v>
      </c>
      <c r="AC25" s="3180">
        <f t="shared" si="5"/>
        <v>1</v>
      </c>
    </row>
    <row r="26" spans="1:29" ht="15.75" hidden="1" thickBot="1">
      <c r="A26" s="535"/>
      <c r="B26" s="530" t="s">
        <v>724</v>
      </c>
      <c r="C26" s="576"/>
      <c r="D26" s="543">
        <v>100</v>
      </c>
      <c r="E26" s="876"/>
      <c r="F26" s="577">
        <f>SUMIF(88:88,E26,89:89)-SUMIF(88:88,C26,89:89)+100</f>
        <v>100</v>
      </c>
      <c r="G26" s="601"/>
      <c r="H26" s="543">
        <f>SUMIF(88:88,G26,89:89)-SUMIF(88:88,C26,89:89)+100</f>
        <v>100</v>
      </c>
      <c r="I26" s="876"/>
      <c r="J26" s="543">
        <f>SUMIF(88:88,I26,89:89)-SUMIF(88:88,C26,89:89)+100</f>
        <v>100</v>
      </c>
      <c r="K26" s="866"/>
      <c r="L26" s="2143"/>
      <c r="M26" s="2135"/>
      <c r="N26" s="2135"/>
      <c r="O26" s="2142"/>
      <c r="P26" s="3520"/>
      <c r="Q26" s="3177" t="str">
        <f t="shared" si="11"/>
        <v>朝向</v>
      </c>
      <c r="R26" s="1573" t="s">
        <v>11</v>
      </c>
      <c r="S26" s="1574">
        <f>F26</f>
        <v>100</v>
      </c>
      <c r="T26" s="1573" t="s">
        <v>11</v>
      </c>
      <c r="U26" s="1574">
        <f>H26</f>
        <v>100</v>
      </c>
      <c r="V26" s="1573" t="s">
        <v>11</v>
      </c>
      <c r="W26" s="1574">
        <f>J26</f>
        <v>100</v>
      </c>
      <c r="X26" s="3179"/>
      <c r="Y26" s="3520"/>
      <c r="Z26" s="3178" t="str">
        <f>Q26</f>
        <v>朝向</v>
      </c>
      <c r="AA26" s="3180">
        <f t="shared" si="3"/>
        <v>1</v>
      </c>
      <c r="AB26" s="3180">
        <f t="shared" si="4"/>
        <v>1</v>
      </c>
      <c r="AC26" s="3180">
        <f t="shared" si="5"/>
        <v>1</v>
      </c>
    </row>
    <row r="27" spans="1:29" s="1220" customFormat="1" ht="15.75" hidden="1" thickBot="1">
      <c r="A27" s="539"/>
      <c r="B27" s="540"/>
      <c r="C27" s="531"/>
      <c r="D27" s="877">
        <v>100</v>
      </c>
      <c r="E27" s="533"/>
      <c r="F27" s="878">
        <f>SUMIF(90:90,E27,91:91)-SUMIF(90:90,C27,91:91)+100</f>
        <v>100</v>
      </c>
      <c r="G27" s="532"/>
      <c r="H27" s="877">
        <f>SUMIF(90:90,G27,91:91)-SUMIF(90:90,C27,91:91)+100</f>
        <v>100</v>
      </c>
      <c r="I27" s="533"/>
      <c r="J27" s="877">
        <f>SUMIF(90:90,I27,91:91)-SUMIF(90:90,C27,91:91)+100</f>
        <v>100</v>
      </c>
      <c r="K27" s="867"/>
      <c r="L27" s="2136"/>
      <c r="M27" s="2137"/>
      <c r="N27" s="2137"/>
      <c r="O27" s="2138"/>
      <c r="P27" s="3520"/>
      <c r="Q27" s="3176">
        <f t="shared" si="11"/>
        <v>0</v>
      </c>
      <c r="R27" s="1568" t="s">
        <v>11</v>
      </c>
      <c r="S27" s="1569">
        <f>F27</f>
        <v>100</v>
      </c>
      <c r="T27" s="1568" t="s">
        <v>11</v>
      </c>
      <c r="U27" s="1569">
        <f>H27</f>
        <v>100</v>
      </c>
      <c r="V27" s="1568" t="s">
        <v>11</v>
      </c>
      <c r="W27" s="1569">
        <f>J27</f>
        <v>100</v>
      </c>
      <c r="X27" s="1570"/>
      <c r="Y27" s="3520"/>
      <c r="Z27" s="3175">
        <f>Q27</f>
        <v>0</v>
      </c>
      <c r="AA27" s="3180">
        <f>D27/F27</f>
        <v>1</v>
      </c>
      <c r="AB27" s="3180">
        <f>D27/H27</f>
        <v>1</v>
      </c>
      <c r="AC27" s="3180">
        <f>D27/J27</f>
        <v>1</v>
      </c>
    </row>
    <row r="28" spans="1:29" ht="15.75" hidden="1" thickBot="1">
      <c r="A28" s="535"/>
      <c r="B28" s="879"/>
      <c r="C28" s="542"/>
      <c r="D28" s="543">
        <v>100</v>
      </c>
      <c r="E28" s="542"/>
      <c r="F28" s="577">
        <f>SUMIF(92:92,E28,93:93)-SUMIF(92:92,C28,93:93)+100</f>
        <v>100</v>
      </c>
      <c r="G28" s="542"/>
      <c r="H28" s="543">
        <f>SUMIF(92:92,G28,93:93)-SUMIF(92:92,C28,93:93)+100</f>
        <v>100</v>
      </c>
      <c r="I28" s="542"/>
      <c r="J28" s="543">
        <f>SUMIF(92:92,I28,93:93)-SUMIF(92:92,C28,93:93)+100</f>
        <v>100</v>
      </c>
      <c r="K28" s="867"/>
      <c r="L28" s="2143"/>
      <c r="M28" s="2135"/>
      <c r="N28" s="2135"/>
      <c r="O28" s="2142"/>
      <c r="P28" s="3520"/>
      <c r="Q28" s="3177">
        <f t="shared" si="11"/>
        <v>0</v>
      </c>
      <c r="R28" s="1573" t="s">
        <v>11</v>
      </c>
      <c r="S28" s="1574">
        <f t="shared" ref="S28:S46" si="12">F28</f>
        <v>100</v>
      </c>
      <c r="T28" s="1573" t="s">
        <v>11</v>
      </c>
      <c r="U28" s="1574">
        <f t="shared" ref="U28:U46" si="13">H28</f>
        <v>100</v>
      </c>
      <c r="V28" s="1573" t="s">
        <v>11</v>
      </c>
      <c r="W28" s="1574">
        <f t="shared" ref="W28:W46" si="14">J28</f>
        <v>100</v>
      </c>
      <c r="X28" s="3179"/>
      <c r="Y28" s="3520"/>
      <c r="Z28" s="3178">
        <f t="shared" ref="Z28:Z46" si="15">Q28</f>
        <v>0</v>
      </c>
      <c r="AA28" s="3180">
        <f t="shared" si="3"/>
        <v>1</v>
      </c>
      <c r="AB28" s="3180">
        <f t="shared" si="4"/>
        <v>1</v>
      </c>
      <c r="AC28" s="3180">
        <f t="shared" si="5"/>
        <v>1</v>
      </c>
    </row>
    <row r="29" spans="1:29" ht="15.75" hidden="1" thickBot="1">
      <c r="A29" s="535"/>
      <c r="B29" s="879"/>
      <c r="C29" s="542"/>
      <c r="D29" s="543">
        <v>100</v>
      </c>
      <c r="E29" s="542"/>
      <c r="F29" s="577">
        <f>SUMIF(94:94,E29,95:95)-SUMIF(94:94,C29,95:95)+100</f>
        <v>100</v>
      </c>
      <c r="G29" s="542"/>
      <c r="H29" s="543">
        <f>SUMIF(94:94,G29,95:95)-SUMIF(94:94,C29,95:95)+100</f>
        <v>100</v>
      </c>
      <c r="I29" s="542"/>
      <c r="J29" s="543">
        <f>SUMIF(94:94,I29,95:95)-SUMIF(94:94,C29,95:95)+100</f>
        <v>100</v>
      </c>
      <c r="K29" s="867"/>
      <c r="L29" s="2143"/>
      <c r="M29" s="2135"/>
      <c r="N29" s="2135"/>
      <c r="O29" s="2142"/>
      <c r="P29" s="3520"/>
      <c r="Q29" s="3177">
        <f t="shared" si="11"/>
        <v>0</v>
      </c>
      <c r="R29" s="1573" t="s">
        <v>11</v>
      </c>
      <c r="S29" s="1574">
        <f t="shared" si="12"/>
        <v>100</v>
      </c>
      <c r="T29" s="1573" t="s">
        <v>11</v>
      </c>
      <c r="U29" s="1574">
        <f t="shared" si="13"/>
        <v>100</v>
      </c>
      <c r="V29" s="1573" t="s">
        <v>11</v>
      </c>
      <c r="W29" s="1574">
        <f t="shared" si="14"/>
        <v>100</v>
      </c>
      <c r="X29" s="3179"/>
      <c r="Y29" s="3520"/>
      <c r="Z29" s="3178">
        <f t="shared" si="15"/>
        <v>0</v>
      </c>
      <c r="AA29" s="3180">
        <f t="shared" si="3"/>
        <v>1</v>
      </c>
      <c r="AB29" s="3180">
        <f t="shared" si="4"/>
        <v>1</v>
      </c>
      <c r="AC29" s="3180">
        <f t="shared" si="5"/>
        <v>1</v>
      </c>
    </row>
    <row r="30" spans="1:29" ht="15.75" hidden="1" thickBot="1">
      <c r="A30" s="535"/>
      <c r="B30" s="879"/>
      <c r="C30" s="542"/>
      <c r="D30" s="543">
        <v>100</v>
      </c>
      <c r="E30" s="542"/>
      <c r="F30" s="577">
        <f>SUMIF(96:96,E30,97:97)-SUMIF(96:96,C30,97:97)+100</f>
        <v>100</v>
      </c>
      <c r="G30" s="542"/>
      <c r="H30" s="543">
        <f>SUMIF(96:96,G30,97:97)-SUMIF(96:96,C30,97:97)+100</f>
        <v>100</v>
      </c>
      <c r="I30" s="542"/>
      <c r="J30" s="543">
        <f>SUMIF(96:96,I30,97:97)-SUMIF(96:96,C30,97:97)+100</f>
        <v>100</v>
      </c>
      <c r="K30" s="867"/>
      <c r="L30" s="2143"/>
      <c r="M30" s="2135"/>
      <c r="N30" s="2135"/>
      <c r="O30" s="2142"/>
      <c r="P30" s="3520"/>
      <c r="Q30" s="3177">
        <f t="shared" si="11"/>
        <v>0</v>
      </c>
      <c r="R30" s="1573" t="s">
        <v>11</v>
      </c>
      <c r="S30" s="1574">
        <f t="shared" si="12"/>
        <v>100</v>
      </c>
      <c r="T30" s="1573" t="s">
        <v>11</v>
      </c>
      <c r="U30" s="1574">
        <f t="shared" si="13"/>
        <v>100</v>
      </c>
      <c r="V30" s="1573" t="s">
        <v>11</v>
      </c>
      <c r="W30" s="1574">
        <f t="shared" si="14"/>
        <v>100</v>
      </c>
      <c r="X30" s="3179"/>
      <c r="Y30" s="3520"/>
      <c r="Z30" s="3178">
        <f t="shared" si="15"/>
        <v>0</v>
      </c>
      <c r="AA30" s="3180">
        <f t="shared" si="3"/>
        <v>1</v>
      </c>
      <c r="AB30" s="3180">
        <f t="shared" si="4"/>
        <v>1</v>
      </c>
      <c r="AC30" s="3180">
        <f t="shared" si="5"/>
        <v>1</v>
      </c>
    </row>
    <row r="31" spans="1:29" ht="15.75" hidden="1" thickBot="1">
      <c r="A31" s="546"/>
      <c r="B31" s="879"/>
      <c r="C31" s="548"/>
      <c r="D31" s="549">
        <v>100</v>
      </c>
      <c r="E31" s="548"/>
      <c r="F31" s="868">
        <f>SUMIF(98:98,E31,99:99)-SUMIF(98:98,C31,99:99)+100</f>
        <v>100</v>
      </c>
      <c r="G31" s="548"/>
      <c r="H31" s="549">
        <f>SUMIF(98:98,G31,99:99)-SUMIF(98:98,C31,99:99)+100</f>
        <v>100</v>
      </c>
      <c r="I31" s="548"/>
      <c r="J31" s="549">
        <f>SUMIF(98:98,I31,99:99)-SUMIF(98:98,C31,99:99)+100</f>
        <v>100</v>
      </c>
      <c r="K31" s="867"/>
      <c r="L31" s="2143"/>
      <c r="M31" s="2135"/>
      <c r="N31" s="2135"/>
      <c r="O31" s="2142"/>
      <c r="P31" s="3520"/>
      <c r="Q31" s="3177">
        <f t="shared" si="11"/>
        <v>0</v>
      </c>
      <c r="R31" s="1573" t="s">
        <v>11</v>
      </c>
      <c r="S31" s="1574">
        <f t="shared" si="12"/>
        <v>100</v>
      </c>
      <c r="T31" s="1573" t="s">
        <v>11</v>
      </c>
      <c r="U31" s="1574">
        <f t="shared" si="13"/>
        <v>100</v>
      </c>
      <c r="V31" s="1573" t="s">
        <v>11</v>
      </c>
      <c r="W31" s="1574">
        <f t="shared" si="14"/>
        <v>100</v>
      </c>
      <c r="X31" s="3179"/>
      <c r="Y31" s="3520"/>
      <c r="Z31" s="3178">
        <f t="shared" si="15"/>
        <v>0</v>
      </c>
      <c r="AA31" s="3180">
        <f t="shared" si="3"/>
        <v>1</v>
      </c>
      <c r="AB31" s="3180">
        <f t="shared" si="4"/>
        <v>1</v>
      </c>
      <c r="AC31" s="3180">
        <f t="shared" si="5"/>
        <v>1</v>
      </c>
    </row>
    <row r="32" spans="1:29" ht="15">
      <c r="A32" s="2934" t="s">
        <v>2758</v>
      </c>
      <c r="B32" s="172" t="s">
        <v>725</v>
      </c>
      <c r="C32" s="880" t="s">
        <v>3268</v>
      </c>
      <c r="D32" s="599">
        <v>100</v>
      </c>
      <c r="E32" s="880" t="s">
        <v>3270</v>
      </c>
      <c r="F32" s="577">
        <f>SUMIF(100:100,E32,101:101)-SUMIF(100:100,C32,101:101)+100</f>
        <v>90</v>
      </c>
      <c r="G32" s="880" t="s">
        <v>3270</v>
      </c>
      <c r="H32" s="599">
        <f>SUMIF(100:100,G32,101:101)-SUMIF(100:100,C32,101:101)+100</f>
        <v>90</v>
      </c>
      <c r="I32" s="880" t="s">
        <v>3268</v>
      </c>
      <c r="J32" s="543">
        <f>SUMIF(100:100,I32,101:101)-SUMIF(100:100,C32,101:101)+100</f>
        <v>100</v>
      </c>
      <c r="K32" s="866">
        <v>10</v>
      </c>
      <c r="L32" s="2143"/>
      <c r="M32" s="2135"/>
      <c r="N32" s="2135"/>
      <c r="O32" s="2142"/>
      <c r="P32" s="3521" t="s">
        <v>551</v>
      </c>
      <c r="Q32" s="3177" t="str">
        <f t="shared" si="11"/>
        <v>建筑类型</v>
      </c>
      <c r="R32" s="1573" t="s">
        <v>11</v>
      </c>
      <c r="S32" s="1574">
        <f t="shared" si="12"/>
        <v>90</v>
      </c>
      <c r="T32" s="1573" t="s">
        <v>11</v>
      </c>
      <c r="U32" s="1574">
        <f t="shared" si="13"/>
        <v>90</v>
      </c>
      <c r="V32" s="1573" t="s">
        <v>11</v>
      </c>
      <c r="W32" s="1574">
        <f t="shared" si="14"/>
        <v>100</v>
      </c>
      <c r="X32" s="3179"/>
      <c r="Y32" s="3522" t="s">
        <v>551</v>
      </c>
      <c r="Z32" s="3178" t="str">
        <f t="shared" si="15"/>
        <v>建筑类型</v>
      </c>
      <c r="AA32" s="3180">
        <f t="shared" si="3"/>
        <v>1.1111111111111112</v>
      </c>
      <c r="AB32" s="3180">
        <f t="shared" si="4"/>
        <v>1.1111111111111112</v>
      </c>
      <c r="AC32" s="3180">
        <f t="shared" si="5"/>
        <v>1</v>
      </c>
    </row>
    <row r="33" spans="1:29" s="1339" customFormat="1" ht="15">
      <c r="A33" s="605"/>
      <c r="B33" s="530" t="s">
        <v>726</v>
      </c>
      <c r="C33" s="881">
        <f>'数据-汇总表'!E3</f>
        <v>114363</v>
      </c>
      <c r="D33" s="255">
        <v>100</v>
      </c>
      <c r="E33" s="537">
        <v>257000</v>
      </c>
      <c r="F33" s="865">
        <f>LOOKUP(E33,103:103,104:104)-LOOKUP(C33,103:103,104:104)+100</f>
        <v>100</v>
      </c>
      <c r="G33" s="536">
        <v>100000</v>
      </c>
      <c r="H33" s="255">
        <f>LOOKUP(G33,103:103,104:104)-LOOKUP(C33,103:103,104:104)+100</f>
        <v>100</v>
      </c>
      <c r="I33" s="537">
        <v>130000</v>
      </c>
      <c r="J33" s="255">
        <f>LOOKUP(I33,103:103,104:104)-LOOKUP(C33,103:103,104:104)+100</f>
        <v>100</v>
      </c>
      <c r="K33" s="867"/>
      <c r="L33" s="2141"/>
      <c r="M33" s="2172"/>
      <c r="N33" s="2172"/>
      <c r="O33" s="2144"/>
      <c r="P33" s="3522"/>
      <c r="Q33" s="1605" t="str">
        <f t="shared" si="11"/>
        <v>项目建筑规模</v>
      </c>
      <c r="R33" s="1577" t="s">
        <v>11</v>
      </c>
      <c r="S33" s="1578">
        <f t="shared" si="12"/>
        <v>100</v>
      </c>
      <c r="T33" s="1577" t="s">
        <v>11</v>
      </c>
      <c r="U33" s="1578">
        <f t="shared" si="13"/>
        <v>100</v>
      </c>
      <c r="V33" s="1577" t="s">
        <v>11</v>
      </c>
      <c r="W33" s="1578">
        <f t="shared" si="14"/>
        <v>100</v>
      </c>
      <c r="X33" s="1579"/>
      <c r="Y33" s="3522"/>
      <c r="Z33" s="1580" t="str">
        <f t="shared" si="15"/>
        <v>项目建筑规模</v>
      </c>
      <c r="AA33" s="3180">
        <f t="shared" si="3"/>
        <v>1</v>
      </c>
      <c r="AB33" s="3180">
        <f t="shared" si="4"/>
        <v>1</v>
      </c>
      <c r="AC33" s="3180">
        <f t="shared" si="5"/>
        <v>1</v>
      </c>
    </row>
    <row r="34" spans="1:29" ht="15">
      <c r="A34" s="596"/>
      <c r="B34" s="530" t="s">
        <v>727</v>
      </c>
      <c r="C34" s="882" t="s">
        <v>3247</v>
      </c>
      <c r="D34" s="543">
        <v>100</v>
      </c>
      <c r="E34" s="882" t="s">
        <v>3247</v>
      </c>
      <c r="F34" s="577">
        <f>SUMIF(105:105,E34,106:106)-SUMIF(105:105,C34,106:106)+100</f>
        <v>100</v>
      </c>
      <c r="G34" s="882" t="s">
        <v>3247</v>
      </c>
      <c r="H34" s="543">
        <f>SUMIF(105:105,G34,106:106)-SUMIF(105:105,C34,106:106)+100</f>
        <v>100</v>
      </c>
      <c r="I34" s="882" t="s">
        <v>3247</v>
      </c>
      <c r="J34" s="543">
        <f>SUMIF(105:105,I34,106:106)-SUMIF(105:105,C34,106:106)+100</f>
        <v>100</v>
      </c>
      <c r="K34" s="866"/>
      <c r="L34" s="2143"/>
      <c r="M34" s="2135"/>
      <c r="N34" s="2135"/>
      <c r="O34" s="2142"/>
      <c r="P34" s="3522"/>
      <c r="Q34" s="3177" t="str">
        <f t="shared" si="11"/>
        <v>建筑结构</v>
      </c>
      <c r="R34" s="1573" t="s">
        <v>11</v>
      </c>
      <c r="S34" s="1574">
        <f t="shared" si="12"/>
        <v>100</v>
      </c>
      <c r="T34" s="1573" t="s">
        <v>11</v>
      </c>
      <c r="U34" s="1574">
        <f t="shared" si="13"/>
        <v>100</v>
      </c>
      <c r="V34" s="1573" t="s">
        <v>11</v>
      </c>
      <c r="W34" s="1574">
        <f t="shared" si="14"/>
        <v>100</v>
      </c>
      <c r="X34" s="3179"/>
      <c r="Y34" s="3522"/>
      <c r="Z34" s="3178" t="str">
        <f t="shared" si="15"/>
        <v>建筑结构</v>
      </c>
      <c r="AA34" s="3180">
        <f t="shared" si="3"/>
        <v>1</v>
      </c>
      <c r="AB34" s="3180">
        <f t="shared" si="4"/>
        <v>1</v>
      </c>
      <c r="AC34" s="3180">
        <f t="shared" si="5"/>
        <v>1</v>
      </c>
    </row>
    <row r="35" spans="1:29" ht="15">
      <c r="A35" s="596"/>
      <c r="B35" s="530" t="s">
        <v>728</v>
      </c>
      <c r="C35" s="601" t="s">
        <v>3251</v>
      </c>
      <c r="D35" s="543">
        <v>100</v>
      </c>
      <c r="E35" s="601" t="s">
        <v>3251</v>
      </c>
      <c r="F35" s="577">
        <f>SUMIF(107:107,E35,108:108)-SUMIF(107:107,C35,108:108)+100</f>
        <v>100</v>
      </c>
      <c r="G35" s="601" t="s">
        <v>3251</v>
      </c>
      <c r="H35" s="543">
        <f>SUMIF(107:107,G35,108:108)-SUMIF(107:107,C35,108:108)+100</f>
        <v>100</v>
      </c>
      <c r="I35" s="601" t="s">
        <v>3251</v>
      </c>
      <c r="J35" s="543">
        <f>SUMIF(107:107,I35,108:108)-SUMIF(107:107,C35,108:108)+100</f>
        <v>100</v>
      </c>
      <c r="K35" s="866"/>
      <c r="L35" s="2143"/>
      <c r="M35" s="2135"/>
      <c r="N35" s="2135"/>
      <c r="O35" s="2142"/>
      <c r="P35" s="3522"/>
      <c r="Q35" s="3177" t="str">
        <f t="shared" si="11"/>
        <v>建筑品质</v>
      </c>
      <c r="R35" s="1573" t="s">
        <v>11</v>
      </c>
      <c r="S35" s="1574">
        <f t="shared" si="12"/>
        <v>100</v>
      </c>
      <c r="T35" s="1573" t="s">
        <v>11</v>
      </c>
      <c r="U35" s="1574">
        <f t="shared" si="13"/>
        <v>100</v>
      </c>
      <c r="V35" s="1573" t="s">
        <v>11</v>
      </c>
      <c r="W35" s="1574">
        <f t="shared" si="14"/>
        <v>100</v>
      </c>
      <c r="X35" s="3179"/>
      <c r="Y35" s="3522"/>
      <c r="Z35" s="3178" t="str">
        <f t="shared" si="15"/>
        <v>建筑品质</v>
      </c>
      <c r="AA35" s="3180">
        <f t="shared" si="3"/>
        <v>1</v>
      </c>
      <c r="AB35" s="3180">
        <f t="shared" si="4"/>
        <v>1</v>
      </c>
      <c r="AC35" s="3180">
        <f t="shared" si="5"/>
        <v>1</v>
      </c>
    </row>
    <row r="36" spans="1:29" ht="15">
      <c r="A36" s="596"/>
      <c r="B36" s="530" t="s">
        <v>729</v>
      </c>
      <c r="C36" s="601" t="s">
        <v>3253</v>
      </c>
      <c r="D36" s="543">
        <v>100</v>
      </c>
      <c r="E36" s="601" t="s">
        <v>3253</v>
      </c>
      <c r="F36" s="577">
        <f>SUMIF(109:109,E36,110:110)-SUMIF(109:109,C36,110:110)+100</f>
        <v>100</v>
      </c>
      <c r="G36" s="601" t="s">
        <v>3253</v>
      </c>
      <c r="H36" s="543">
        <f>SUMIF(109:109,G36,110:110)-SUMIF(109:109,C36,110:110)+100</f>
        <v>100</v>
      </c>
      <c r="I36" s="601" t="s">
        <v>3253</v>
      </c>
      <c r="J36" s="543">
        <f>SUMIF(109:109,I36,110:110)-SUMIF(109:109,C36,110:110)+100</f>
        <v>100</v>
      </c>
      <c r="K36" s="866"/>
      <c r="L36" s="2143"/>
      <c r="M36" s="2135"/>
      <c r="N36" s="2135"/>
      <c r="O36" s="2142"/>
      <c r="P36" s="3522"/>
      <c r="Q36" s="3177" t="str">
        <f t="shared" si="11"/>
        <v>公共部分装修</v>
      </c>
      <c r="R36" s="1573" t="s">
        <v>11</v>
      </c>
      <c r="S36" s="1574">
        <f t="shared" si="12"/>
        <v>100</v>
      </c>
      <c r="T36" s="1573" t="s">
        <v>11</v>
      </c>
      <c r="U36" s="1574">
        <f t="shared" si="13"/>
        <v>100</v>
      </c>
      <c r="V36" s="1573" t="s">
        <v>11</v>
      </c>
      <c r="W36" s="1574">
        <f t="shared" si="14"/>
        <v>100</v>
      </c>
      <c r="X36" s="3179"/>
      <c r="Y36" s="3522"/>
      <c r="Z36" s="3178" t="str">
        <f t="shared" si="15"/>
        <v>公共部分装修</v>
      </c>
      <c r="AA36" s="3180">
        <f t="shared" si="3"/>
        <v>1</v>
      </c>
      <c r="AB36" s="3180">
        <f t="shared" si="4"/>
        <v>1</v>
      </c>
      <c r="AC36" s="3180">
        <f t="shared" si="5"/>
        <v>1</v>
      </c>
    </row>
    <row r="37" spans="1:29" s="1220" customFormat="1" ht="15">
      <c r="A37" s="602"/>
      <c r="B37" s="530" t="s">
        <v>730</v>
      </c>
      <c r="C37" s="884">
        <v>1</v>
      </c>
      <c r="D37" s="255">
        <v>100</v>
      </c>
      <c r="E37" s="884">
        <v>1</v>
      </c>
      <c r="F37" s="865">
        <f>LOOKUP(E37,112:112,113:113)-LOOKUP(C37,112:112,113:113)+100</f>
        <v>100</v>
      </c>
      <c r="G37" s="884">
        <v>1</v>
      </c>
      <c r="H37" s="255">
        <f>LOOKUP(G37,112:112,113:113)-LOOKUP(C37,112:112,113:113)+100</f>
        <v>100</v>
      </c>
      <c r="I37" s="884">
        <v>1</v>
      </c>
      <c r="J37" s="255">
        <f>LOOKUP(I37,112:112,113:113)-LOOKUP(C37,112:112,113:113)+100</f>
        <v>100</v>
      </c>
      <c r="K37" s="866"/>
      <c r="L37" s="2136"/>
      <c r="M37" s="2137"/>
      <c r="N37" s="2137"/>
      <c r="O37" s="2138"/>
      <c r="P37" s="3522"/>
      <c r="Q37" s="3176" t="str">
        <f t="shared" si="11"/>
        <v>成新度</v>
      </c>
      <c r="R37" s="1568" t="s">
        <v>11</v>
      </c>
      <c r="S37" s="1569">
        <f t="shared" si="12"/>
        <v>100</v>
      </c>
      <c r="T37" s="1568" t="s">
        <v>11</v>
      </c>
      <c r="U37" s="1569">
        <f t="shared" si="13"/>
        <v>100</v>
      </c>
      <c r="V37" s="1568" t="s">
        <v>11</v>
      </c>
      <c r="W37" s="1569">
        <f t="shared" si="14"/>
        <v>100</v>
      </c>
      <c r="X37" s="1570"/>
      <c r="Y37" s="3522"/>
      <c r="Z37" s="3175" t="str">
        <f t="shared" si="15"/>
        <v>成新度</v>
      </c>
      <c r="AA37" s="1571">
        <f t="shared" si="3"/>
        <v>1</v>
      </c>
      <c r="AB37" s="1571">
        <f t="shared" si="4"/>
        <v>1</v>
      </c>
      <c r="AC37" s="1571">
        <f t="shared" si="5"/>
        <v>1</v>
      </c>
    </row>
    <row r="38" spans="1:29" ht="15">
      <c r="A38" s="596"/>
      <c r="B38" s="530" t="s">
        <v>731</v>
      </c>
      <c r="C38" s="601" t="s">
        <v>3255</v>
      </c>
      <c r="D38" s="543">
        <v>100</v>
      </c>
      <c r="E38" s="601" t="s">
        <v>3255</v>
      </c>
      <c r="F38" s="577">
        <f>SUMIF(114:114,E38,115:115)-SUMIF(114:114,C38,115:115)+100</f>
        <v>100</v>
      </c>
      <c r="G38" s="601" t="s">
        <v>3255</v>
      </c>
      <c r="H38" s="543">
        <f>SUMIF(114:114,G38,115:115)-SUMIF(114:114,C38,115:115)+100</f>
        <v>100</v>
      </c>
      <c r="I38" s="601" t="s">
        <v>3255</v>
      </c>
      <c r="J38" s="543">
        <f>SUMIF(114:114,I38,115:115)-SUMIF(114:114,C38,115:115)+100</f>
        <v>100</v>
      </c>
      <c r="K38" s="866"/>
      <c r="L38" s="2143"/>
      <c r="M38" s="2135"/>
      <c r="N38" s="2135"/>
      <c r="O38" s="2142"/>
      <c r="P38" s="3522" t="s">
        <v>551</v>
      </c>
      <c r="Q38" s="3177" t="str">
        <f t="shared" si="11"/>
        <v>物业管理</v>
      </c>
      <c r="R38" s="1573" t="s">
        <v>11</v>
      </c>
      <c r="S38" s="1574">
        <f t="shared" si="12"/>
        <v>100</v>
      </c>
      <c r="T38" s="1573" t="s">
        <v>11</v>
      </c>
      <c r="U38" s="1574">
        <f t="shared" si="13"/>
        <v>100</v>
      </c>
      <c r="V38" s="1573" t="s">
        <v>11</v>
      </c>
      <c r="W38" s="1574">
        <f t="shared" si="14"/>
        <v>100</v>
      </c>
      <c r="X38" s="3179"/>
      <c r="Y38" s="3522" t="s">
        <v>551</v>
      </c>
      <c r="Z38" s="3178" t="str">
        <f t="shared" si="15"/>
        <v>物业管理</v>
      </c>
      <c r="AA38" s="3180">
        <f t="shared" si="3"/>
        <v>1</v>
      </c>
      <c r="AB38" s="3180">
        <f t="shared" si="4"/>
        <v>1</v>
      </c>
      <c r="AC38" s="3180">
        <f t="shared" si="5"/>
        <v>1</v>
      </c>
    </row>
    <row r="39" spans="1:29" ht="15">
      <c r="A39" s="596"/>
      <c r="B39" s="1896" t="s">
        <v>2566</v>
      </c>
      <c r="C39" s="601" t="s">
        <v>3257</v>
      </c>
      <c r="D39" s="543">
        <v>100</v>
      </c>
      <c r="E39" s="601" t="s">
        <v>3257</v>
      </c>
      <c r="F39" s="577">
        <f>SUMIF(116:116,E39,117:117)-SUMIF(116:116,C39,117:117)+100</f>
        <v>100</v>
      </c>
      <c r="G39" s="601" t="s">
        <v>3257</v>
      </c>
      <c r="H39" s="543">
        <f>SUMIF(116:116,G39,117:117)-SUMIF(116:116,C39,117:117)+100</f>
        <v>100</v>
      </c>
      <c r="I39" s="601" t="s">
        <v>3257</v>
      </c>
      <c r="J39" s="543">
        <f>SUMIF(116:116,I39,117:117)-SUMIF(116:116,C39,117:117)+100</f>
        <v>100</v>
      </c>
      <c r="K39" s="866"/>
      <c r="L39" s="2143"/>
      <c r="M39" s="2135"/>
      <c r="N39" s="2135"/>
      <c r="O39" s="2142"/>
      <c r="P39" s="3522"/>
      <c r="Q39" s="3177" t="str">
        <f t="shared" si="11"/>
        <v>市政基础设施</v>
      </c>
      <c r="R39" s="1573" t="s">
        <v>11</v>
      </c>
      <c r="S39" s="1574">
        <f t="shared" si="12"/>
        <v>100</v>
      </c>
      <c r="T39" s="1573" t="s">
        <v>11</v>
      </c>
      <c r="U39" s="1574">
        <f t="shared" si="13"/>
        <v>100</v>
      </c>
      <c r="V39" s="1573" t="s">
        <v>11</v>
      </c>
      <c r="W39" s="1574">
        <f t="shared" si="14"/>
        <v>100</v>
      </c>
      <c r="X39" s="3179"/>
      <c r="Y39" s="3522"/>
      <c r="Z39" s="3178" t="str">
        <f t="shared" si="15"/>
        <v>市政基础设施</v>
      </c>
      <c r="AA39" s="3180">
        <f t="shared" si="3"/>
        <v>1</v>
      </c>
      <c r="AB39" s="3180">
        <f t="shared" si="4"/>
        <v>1</v>
      </c>
      <c r="AC39" s="3180">
        <f t="shared" si="5"/>
        <v>1</v>
      </c>
    </row>
    <row r="40" spans="1:29" ht="15">
      <c r="A40" s="596"/>
      <c r="B40" s="530" t="s">
        <v>732</v>
      </c>
      <c r="C40" s="601"/>
      <c r="D40" s="543">
        <v>100</v>
      </c>
      <c r="E40" s="876"/>
      <c r="F40" s="577">
        <f>SUMIF(118:118,E40,119:119)-SUMIF(118:118,C40,119:119)+100</f>
        <v>100</v>
      </c>
      <c r="G40" s="601"/>
      <c r="H40" s="543">
        <f>SUMIF(118:118,G40,119:119)-SUMIF(118:118,C40,119:119)+100</f>
        <v>100</v>
      </c>
      <c r="I40" s="876"/>
      <c r="J40" s="543">
        <f>SUMIF(118:118,I40,119:119)-SUMIF(118:118,C40,119:119)+100</f>
        <v>100</v>
      </c>
      <c r="K40" s="866"/>
      <c r="L40" s="2143"/>
      <c r="M40" s="2135"/>
      <c r="N40" s="2135"/>
      <c r="O40" s="2142"/>
      <c r="P40" s="3522"/>
      <c r="Q40" s="3177" t="str">
        <f t="shared" si="11"/>
        <v>房型</v>
      </c>
      <c r="R40" s="1573" t="s">
        <v>11</v>
      </c>
      <c r="S40" s="1574">
        <f t="shared" si="12"/>
        <v>100</v>
      </c>
      <c r="T40" s="1573" t="s">
        <v>11</v>
      </c>
      <c r="U40" s="1574">
        <f t="shared" si="13"/>
        <v>100</v>
      </c>
      <c r="V40" s="1573" t="s">
        <v>11</v>
      </c>
      <c r="W40" s="1574">
        <f t="shared" si="14"/>
        <v>100</v>
      </c>
      <c r="X40" s="3179"/>
      <c r="Y40" s="3522"/>
      <c r="Z40" s="3178" t="str">
        <f t="shared" si="15"/>
        <v>房型</v>
      </c>
      <c r="AA40" s="3180">
        <f t="shared" si="3"/>
        <v>1</v>
      </c>
      <c r="AB40" s="3180">
        <f t="shared" si="4"/>
        <v>1</v>
      </c>
      <c r="AC40" s="3180">
        <f t="shared" si="5"/>
        <v>1</v>
      </c>
    </row>
    <row r="41" spans="1:29" s="1339" customFormat="1" ht="28.5">
      <c r="A41" s="605"/>
      <c r="B41" s="530" t="s">
        <v>733</v>
      </c>
      <c r="C41" s="881"/>
      <c r="D41" s="255">
        <v>100</v>
      </c>
      <c r="E41" s="537"/>
      <c r="F41" s="865">
        <f>SUMIF(120:120,E41,121:121)-SUMIF(120:120,C41,121:121)+100</f>
        <v>100</v>
      </c>
      <c r="G41" s="536"/>
      <c r="H41" s="255">
        <f>SUMIF(120:120,G41,121:121)-SUMIF(120:120,C41,121:121)+100</f>
        <v>100</v>
      </c>
      <c r="I41" s="588"/>
      <c r="J41" s="543">
        <f>SUMIF(120:120,I41,121:121)-SUMIF(120:120,C41,121:121)+100</f>
        <v>100</v>
      </c>
      <c r="K41" s="867"/>
      <c r="L41" s="2141"/>
      <c r="M41" s="2172"/>
      <c r="N41" s="2172"/>
      <c r="O41" s="2144"/>
      <c r="P41" s="3522"/>
      <c r="Q41" s="1605" t="str">
        <f t="shared" si="11"/>
        <v>单套/主力户型建筑面积</v>
      </c>
      <c r="R41" s="1577" t="s">
        <v>11</v>
      </c>
      <c r="S41" s="1578">
        <f t="shared" si="12"/>
        <v>100</v>
      </c>
      <c r="T41" s="1577" t="s">
        <v>11</v>
      </c>
      <c r="U41" s="1578">
        <f t="shared" si="13"/>
        <v>100</v>
      </c>
      <c r="V41" s="1577" t="s">
        <v>11</v>
      </c>
      <c r="W41" s="1578">
        <f t="shared" si="14"/>
        <v>100</v>
      </c>
      <c r="X41" s="1579"/>
      <c r="Y41" s="3522"/>
      <c r="Z41" s="1580" t="str">
        <f t="shared" si="15"/>
        <v>单套/主力户型建筑面积</v>
      </c>
      <c r="AA41" s="3180">
        <f t="shared" si="3"/>
        <v>1</v>
      </c>
      <c r="AB41" s="3180">
        <f t="shared" si="4"/>
        <v>1</v>
      </c>
      <c r="AC41" s="3180">
        <f t="shared" si="5"/>
        <v>1</v>
      </c>
    </row>
    <row r="42" spans="1:29" ht="15">
      <c r="A42" s="596"/>
      <c r="B42" s="530" t="s">
        <v>734</v>
      </c>
      <c r="C42" s="601" t="s">
        <v>3259</v>
      </c>
      <c r="D42" s="543">
        <v>100</v>
      </c>
      <c r="E42" s="601" t="s">
        <v>3265</v>
      </c>
      <c r="F42" s="577">
        <f>SUMIF(122:122,E42,123:123)-SUMIF(122:122,C42,123:123)+100</f>
        <v>105</v>
      </c>
      <c r="G42" s="601" t="s">
        <v>3265</v>
      </c>
      <c r="H42" s="543">
        <f>SUMIF(122:122,G42,123:123)-SUMIF(122:122,C42,123:123)+100</f>
        <v>105</v>
      </c>
      <c r="I42" s="601" t="s">
        <v>3265</v>
      </c>
      <c r="J42" s="543">
        <f>SUMIF(122:122,I42,123:123)-SUMIF(122:122,C42,123:123)+100</f>
        <v>105</v>
      </c>
      <c r="K42" s="866">
        <v>5</v>
      </c>
      <c r="L42" s="2143"/>
      <c r="M42" s="2135"/>
      <c r="N42" s="2135"/>
      <c r="O42" s="2142"/>
      <c r="P42" s="3522"/>
      <c r="Q42" s="3177" t="str">
        <f t="shared" si="11"/>
        <v>内部装修</v>
      </c>
      <c r="R42" s="1573" t="s">
        <v>11</v>
      </c>
      <c r="S42" s="1574">
        <f t="shared" si="12"/>
        <v>105</v>
      </c>
      <c r="T42" s="1573" t="s">
        <v>11</v>
      </c>
      <c r="U42" s="1574">
        <f t="shared" si="13"/>
        <v>105</v>
      </c>
      <c r="V42" s="1573" t="s">
        <v>11</v>
      </c>
      <c r="W42" s="1574">
        <f t="shared" si="14"/>
        <v>105</v>
      </c>
      <c r="X42" s="3179"/>
      <c r="Y42" s="3522"/>
      <c r="Z42" s="3178" t="str">
        <f t="shared" si="15"/>
        <v>内部装修</v>
      </c>
      <c r="AA42" s="3180">
        <f t="shared" si="3"/>
        <v>0.95238095238095233</v>
      </c>
      <c r="AB42" s="3180">
        <f t="shared" si="4"/>
        <v>0.95238095238095233</v>
      </c>
      <c r="AC42" s="3180">
        <f t="shared" si="5"/>
        <v>0.95238095238095233</v>
      </c>
    </row>
    <row r="43" spans="1:29" ht="27.75" thickBot="1">
      <c r="A43" s="596"/>
      <c r="B43" s="530" t="s">
        <v>735</v>
      </c>
      <c r="C43" s="601" t="s">
        <v>3229</v>
      </c>
      <c r="D43" s="543">
        <v>100</v>
      </c>
      <c r="E43" s="601" t="s">
        <v>3229</v>
      </c>
      <c r="F43" s="577">
        <f>SUMIF(124:124,E43,125:125)-SUMIF(124:124,C43,125:125)+100</f>
        <v>100</v>
      </c>
      <c r="G43" s="601" t="s">
        <v>3229</v>
      </c>
      <c r="H43" s="543">
        <f>SUMIF(124:124,G43,125:125)-SUMIF(124:124,C43,125:125)+100</f>
        <v>100</v>
      </c>
      <c r="I43" s="601" t="s">
        <v>3229</v>
      </c>
      <c r="J43" s="543">
        <f>SUMIF(124:124,I43,125:125)-SUMIF(124:124,C43,125:125)+100</f>
        <v>100</v>
      </c>
      <c r="K43" s="866"/>
      <c r="L43" s="2143"/>
      <c r="M43" s="2135"/>
      <c r="N43" s="2135"/>
      <c r="O43" s="2142"/>
      <c r="P43" s="3522"/>
      <c r="Q43" s="3177" t="str">
        <f t="shared" si="11"/>
        <v>内部装修维护情况</v>
      </c>
      <c r="R43" s="1573" t="s">
        <v>11</v>
      </c>
      <c r="S43" s="1574">
        <f t="shared" si="12"/>
        <v>100</v>
      </c>
      <c r="T43" s="1573" t="s">
        <v>11</v>
      </c>
      <c r="U43" s="1574">
        <f t="shared" si="13"/>
        <v>100</v>
      </c>
      <c r="V43" s="1573" t="s">
        <v>11</v>
      </c>
      <c r="W43" s="1574">
        <f t="shared" si="14"/>
        <v>100</v>
      </c>
      <c r="X43" s="3179"/>
      <c r="Y43" s="3522"/>
      <c r="Z43" s="3178" t="str">
        <f t="shared" si="15"/>
        <v>内部装修维护情况</v>
      </c>
      <c r="AA43" s="3180">
        <f t="shared" si="3"/>
        <v>1</v>
      </c>
      <c r="AB43" s="3180">
        <f t="shared" si="4"/>
        <v>1</v>
      </c>
      <c r="AC43" s="3180">
        <f t="shared" si="5"/>
        <v>1</v>
      </c>
    </row>
    <row r="44" spans="1:29" s="1220" customFormat="1" ht="18.75" hidden="1" customHeight="1">
      <c r="A44" s="602"/>
      <c r="B44" s="879"/>
      <c r="C44" s="881"/>
      <c r="D44" s="255">
        <v>100</v>
      </c>
      <c r="E44" s="881"/>
      <c r="F44" s="865">
        <f>SUMIF(126:126,E44,127:127)-SUMIF(126:126,C44,127:127)+100</f>
        <v>100</v>
      </c>
      <c r="G44" s="881"/>
      <c r="H44" s="255">
        <f>SUMIF(126:126,G44,127:127)-SUMIF(126:126,C44,127:127)+100</f>
        <v>100</v>
      </c>
      <c r="I44" s="881"/>
      <c r="J44" s="255">
        <f>SUMIF(126:126,I44,127:127)-SUMIF(126:126,C44,127:127)+100</f>
        <v>100</v>
      </c>
      <c r="K44" s="867"/>
      <c r="L44" s="2136"/>
      <c r="M44" s="2137"/>
      <c r="N44" s="2137"/>
      <c r="O44" s="2138"/>
      <c r="P44" s="3522"/>
      <c r="Q44" s="3176">
        <f t="shared" si="11"/>
        <v>0</v>
      </c>
      <c r="R44" s="1568" t="s">
        <v>11</v>
      </c>
      <c r="S44" s="1569">
        <f t="shared" si="12"/>
        <v>100</v>
      </c>
      <c r="T44" s="1568" t="s">
        <v>11</v>
      </c>
      <c r="U44" s="1569">
        <f t="shared" si="13"/>
        <v>100</v>
      </c>
      <c r="V44" s="1568" t="s">
        <v>11</v>
      </c>
      <c r="W44" s="1569">
        <f t="shared" si="14"/>
        <v>100</v>
      </c>
      <c r="X44" s="1570"/>
      <c r="Y44" s="3522"/>
      <c r="Z44" s="3175">
        <f t="shared" si="15"/>
        <v>0</v>
      </c>
      <c r="AA44" s="1571">
        <f t="shared" si="3"/>
        <v>1</v>
      </c>
      <c r="AB44" s="1571">
        <f t="shared" si="4"/>
        <v>1</v>
      </c>
      <c r="AC44" s="1571">
        <f t="shared" si="5"/>
        <v>1</v>
      </c>
    </row>
    <row r="45" spans="1:29" ht="15.75" hidden="1" thickBot="1">
      <c r="A45" s="596"/>
      <c r="B45" s="879"/>
      <c r="C45" s="542"/>
      <c r="D45" s="543">
        <v>100</v>
      </c>
      <c r="E45" s="542"/>
      <c r="F45" s="577">
        <f>SUMIF(128:128,E45,129:129)-SUMIF(128:128,C45,129:129)+100</f>
        <v>100</v>
      </c>
      <c r="G45" s="542"/>
      <c r="H45" s="543">
        <f>SUMIF(128:128,G45,129:129)-SUMIF(128:128,C45,129:129)+100</f>
        <v>100</v>
      </c>
      <c r="I45" s="542"/>
      <c r="J45" s="543">
        <f>SUMIF(128:128,I45,129:129)-SUMIF(128:128,C45,129:129)+100</f>
        <v>100</v>
      </c>
      <c r="K45" s="867"/>
      <c r="L45" s="2143"/>
      <c r="M45" s="2135"/>
      <c r="N45" s="2135"/>
      <c r="O45" s="2142"/>
      <c r="P45" s="3522"/>
      <c r="Q45" s="3177">
        <f t="shared" si="11"/>
        <v>0</v>
      </c>
      <c r="R45" s="1573" t="s">
        <v>11</v>
      </c>
      <c r="S45" s="1574">
        <f t="shared" si="12"/>
        <v>100</v>
      </c>
      <c r="T45" s="1573" t="s">
        <v>11</v>
      </c>
      <c r="U45" s="1574">
        <f t="shared" si="13"/>
        <v>100</v>
      </c>
      <c r="V45" s="1573" t="s">
        <v>11</v>
      </c>
      <c r="W45" s="1574">
        <f t="shared" si="14"/>
        <v>100</v>
      </c>
      <c r="X45" s="3179"/>
      <c r="Y45" s="3522"/>
      <c r="Z45" s="3178">
        <f t="shared" si="15"/>
        <v>0</v>
      </c>
      <c r="AA45" s="3180">
        <f t="shared" si="3"/>
        <v>1</v>
      </c>
      <c r="AB45" s="3180">
        <f t="shared" si="4"/>
        <v>1</v>
      </c>
      <c r="AC45" s="3180">
        <f t="shared" si="5"/>
        <v>1</v>
      </c>
    </row>
    <row r="46" spans="1:29" ht="15.75" hidden="1" thickBot="1">
      <c r="A46" s="887"/>
      <c r="B46" s="547"/>
      <c r="C46" s="548"/>
      <c r="D46" s="549">
        <v>100</v>
      </c>
      <c r="E46" s="548"/>
      <c r="F46" s="868">
        <f>SUMIF(130:130,E46,131:131)-SUMIF(130:130,C46,131:131)+100</f>
        <v>100</v>
      </c>
      <c r="G46" s="548"/>
      <c r="H46" s="549">
        <f>SUMIF(130:130,G46,131:131)-SUMIF(130:130,C46,131:131)+100</f>
        <v>100</v>
      </c>
      <c r="I46" s="548"/>
      <c r="J46" s="549">
        <f>SUMIF(130:130,I46,131:131)-SUMIF(130:130,C46,131:131)+100</f>
        <v>100</v>
      </c>
      <c r="K46" s="867"/>
      <c r="L46" s="2143"/>
      <c r="M46" s="2135"/>
      <c r="N46" s="2135"/>
      <c r="O46" s="2142"/>
      <c r="P46" s="3620"/>
      <c r="Q46" s="3177">
        <f t="shared" si="11"/>
        <v>0</v>
      </c>
      <c r="R46" s="1573" t="s">
        <v>10</v>
      </c>
      <c r="S46" s="1574">
        <f t="shared" si="12"/>
        <v>100</v>
      </c>
      <c r="T46" s="1573" t="s">
        <v>10</v>
      </c>
      <c r="U46" s="1574">
        <f t="shared" si="13"/>
        <v>100</v>
      </c>
      <c r="V46" s="1573" t="s">
        <v>10</v>
      </c>
      <c r="W46" s="1574">
        <f t="shared" si="14"/>
        <v>100</v>
      </c>
      <c r="X46" s="3179"/>
      <c r="Y46" s="3620"/>
      <c r="Z46" s="3178">
        <f t="shared" si="15"/>
        <v>0</v>
      </c>
      <c r="AA46" s="3180">
        <f t="shared" si="3"/>
        <v>1</v>
      </c>
      <c r="AB46" s="3180">
        <f t="shared" si="4"/>
        <v>1</v>
      </c>
      <c r="AC46" s="3180">
        <f t="shared" si="5"/>
        <v>1</v>
      </c>
    </row>
    <row r="47" spans="1:29" ht="15">
      <c r="A47" s="609" t="s">
        <v>736</v>
      </c>
      <c r="B47" s="888"/>
      <c r="C47" s="2652" t="s">
        <v>9</v>
      </c>
      <c r="D47" s="2653"/>
      <c r="E47" s="2654">
        <f>ROUND(150*10000/110*0.95,0)</f>
        <v>12955</v>
      </c>
      <c r="F47" s="2655"/>
      <c r="G47" s="2654">
        <f>ROUND(14000*0.95,0)</f>
        <v>13300</v>
      </c>
      <c r="H47" s="2657"/>
      <c r="I47" s="2654">
        <f>ROUND(13000*0.95,0)</f>
        <v>12350</v>
      </c>
      <c r="J47" s="2657"/>
      <c r="K47" s="1606"/>
      <c r="L47" s="2145"/>
      <c r="M47" s="2146"/>
      <c r="N47" s="2135"/>
      <c r="O47" s="2146"/>
      <c r="P47" s="3517" t="str">
        <f>A47</f>
        <v>成交单价（元/平方米）</v>
      </c>
      <c r="Q47" s="3517"/>
      <c r="R47" s="3621">
        <f>E47</f>
        <v>12955</v>
      </c>
      <c r="S47" s="3621"/>
      <c r="T47" s="3621">
        <f>G47</f>
        <v>13300</v>
      </c>
      <c r="U47" s="3621"/>
      <c r="V47" s="3621">
        <f>I47</f>
        <v>12350</v>
      </c>
      <c r="W47" s="3621"/>
      <c r="X47" s="1559"/>
      <c r="Y47" s="1581"/>
      <c r="Z47" s="1559"/>
      <c r="AA47" s="1559"/>
      <c r="AB47" s="1559"/>
      <c r="AC47" s="1559"/>
    </row>
    <row r="48" spans="1:29" ht="15.75" thickBot="1">
      <c r="A48" s="617" t="s">
        <v>2696</v>
      </c>
      <c r="B48" s="889"/>
      <c r="C48" s="2658">
        <f>R49</f>
        <v>11838</v>
      </c>
      <c r="D48" s="2659"/>
      <c r="E48" s="2660">
        <f>R48</f>
        <v>12311</v>
      </c>
      <c r="F48" s="2660"/>
      <c r="G48" s="2658">
        <f>T48</f>
        <v>12639</v>
      </c>
      <c r="H48" s="2659"/>
      <c r="I48" s="2660">
        <f>V48</f>
        <v>10563</v>
      </c>
      <c r="J48" s="2659"/>
      <c r="K48" s="1607"/>
      <c r="L48" s="2145"/>
      <c r="M48" s="2146"/>
      <c r="N48" s="2146"/>
      <c r="O48" s="2146"/>
      <c r="P48" s="3517" t="str">
        <f>A48</f>
        <v>比较价格（元/平方米）</v>
      </c>
      <c r="Q48" s="3517"/>
      <c r="R48" s="3621">
        <f>IF(F1="售价",ROUND(PRODUCT(R47,AA7:AA46),0),ROUND(PRODUCT(R47,AA7:AA46),1))</f>
        <v>12311</v>
      </c>
      <c r="S48" s="3621"/>
      <c r="T48" s="3621">
        <f>IF(F1="售价",ROUND(PRODUCT(T47,AB7:AB46),0),ROUND(PRODUCT(T47,AB7:AB46),1))</f>
        <v>12639</v>
      </c>
      <c r="U48" s="3621"/>
      <c r="V48" s="3621">
        <f>IF(F1="售价",ROUND(PRODUCT(V47,AC7:AC46),0),ROUND(PRODUCT(V47,AC7:AC46),1))</f>
        <v>10563</v>
      </c>
      <c r="W48" s="3621"/>
      <c r="X48" s="1559"/>
      <c r="Y48" s="1559"/>
      <c r="Z48" s="1559"/>
      <c r="AA48" s="1559"/>
      <c r="AB48" s="1559"/>
      <c r="AC48" s="1559"/>
    </row>
    <row r="49" spans="1:29" ht="15.75" thickBot="1">
      <c r="A49" s="623" t="s">
        <v>2930</v>
      </c>
      <c r="B49" s="624"/>
      <c r="C49" s="2661">
        <f>R49</f>
        <v>11838</v>
      </c>
      <c r="D49" s="2661"/>
      <c r="E49" s="2661"/>
      <c r="F49" s="2661"/>
      <c r="G49" s="2661"/>
      <c r="H49" s="2661"/>
      <c r="I49" s="2661"/>
      <c r="J49" s="2661"/>
      <c r="K49" s="1608"/>
      <c r="L49" s="2145"/>
      <c r="M49" s="2146"/>
      <c r="N49" s="2146"/>
      <c r="O49" s="2146"/>
      <c r="P49" s="3539" t="str">
        <f>A49</f>
        <v>估价对象XX用房的比较价格（楼面单价，元/平方米）</v>
      </c>
      <c r="Q49" s="3540"/>
      <c r="R49" s="3622">
        <f>IF(F1="售价",ROUND(AVERAGE(R48:V48),0),ROUND(AVERAGE(R48:V48),1))</f>
        <v>11838</v>
      </c>
      <c r="S49" s="3622"/>
      <c r="T49" s="3622"/>
      <c r="U49" s="3622"/>
      <c r="V49" s="3622"/>
      <c r="W49" s="362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6" t="s">
        <v>558</v>
      </c>
      <c r="D52" s="627"/>
      <c r="E52" s="628">
        <f>IF(E47&lt;E48,E48/E47-1,E47/E48-1)</f>
        <v>5.2310941434489555E-2</v>
      </c>
      <c r="F52" s="629" t="str">
        <f>IF(OR(E52&gt;=0.3,E52&lt;=-0.3),"超过30%","")</f>
        <v/>
      </c>
      <c r="G52" s="628">
        <f>IF(G47&lt;G48,G48/G47-1,G47/G48-1)</f>
        <v>5.2298441332383927E-2</v>
      </c>
      <c r="H52" s="629" t="str">
        <f>IF(OR(G52&gt;=0.3,G52&lt;=-0.3),"超过30%","")</f>
        <v/>
      </c>
      <c r="I52" s="628">
        <f>IF(I47&lt;I48,I48/I47-1,I47/I48-1)</f>
        <v>0.16917542364858473</v>
      </c>
      <c r="J52" s="629"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6" t="s">
        <v>559</v>
      </c>
      <c r="D53" s="630"/>
      <c r="E53" s="628">
        <f>IF(E48&lt;G48,G48/E48-1,E48/G48-1)</f>
        <v>2.66428397368208E-2</v>
      </c>
      <c r="F53" s="629" t="str">
        <f>IF(OR(E53&gt;=0.2,E53&lt;=-0.2),"超过20%","")</f>
        <v/>
      </c>
      <c r="G53" s="628">
        <f>IF(G48&lt;I48,I48/G48-1,G48/I48-1)</f>
        <v>0.19653507526270952</v>
      </c>
      <c r="H53" s="629" t="str">
        <f>IF(OR(G53&gt;=0.2,G53&lt;=-0.2),"超过20%","")</f>
        <v/>
      </c>
      <c r="I53" s="628">
        <f>IF(I48&lt;E48,E48/I48-1,I48/E48-1)</f>
        <v>0.16548329073179957</v>
      </c>
      <c r="J53" s="629"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6" t="s">
        <v>560</v>
      </c>
      <c r="D54" s="630"/>
      <c r="E54" s="628">
        <f>IF(E47&lt;G47,G47/E47-1,E47/G47-1)</f>
        <v>2.6630644538788051E-2</v>
      </c>
      <c r="F54" s="629" t="str">
        <f>IF(OR(E54&gt;=0.3,E54&lt;=-0.3),"超过30%","")</f>
        <v/>
      </c>
      <c r="G54" s="628">
        <f>IF(G47&lt;I47,I47/G47-1,G47/I47-1)</f>
        <v>7.6923076923076872E-2</v>
      </c>
      <c r="H54" s="629" t="str">
        <f>IF(OR(G54&gt;=0.3,G54&lt;=-0.3),"超过30%","")</f>
        <v/>
      </c>
      <c r="I54" s="628">
        <f>IF(I47&lt;E47,E47/I47-1,I47/E47-1)</f>
        <v>4.8987854251012042E-2</v>
      </c>
      <c r="J54" s="629"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7" t="s">
        <v>530</v>
      </c>
      <c r="B58" s="648"/>
      <c r="C58" s="2831" t="str">
        <f>YEAR(C7)&amp;"-"&amp;MONTH(C7)</f>
        <v>2017-11</v>
      </c>
      <c r="D58" s="2831">
        <f>EDATE(C58,-1)</f>
        <v>43009</v>
      </c>
      <c r="E58" s="2831">
        <f t="shared" ref="E58:O58" si="16">EDATE(D58,-1)</f>
        <v>42979</v>
      </c>
      <c r="F58" s="2831">
        <f t="shared" si="16"/>
        <v>42948</v>
      </c>
      <c r="G58" s="2831">
        <f t="shared" si="16"/>
        <v>42917</v>
      </c>
      <c r="H58" s="2831">
        <f t="shared" si="16"/>
        <v>42887</v>
      </c>
      <c r="I58" s="2831">
        <f t="shared" si="16"/>
        <v>42856</v>
      </c>
      <c r="J58" s="2831">
        <f t="shared" si="16"/>
        <v>42826</v>
      </c>
      <c r="K58" s="2831">
        <f t="shared" si="16"/>
        <v>42795</v>
      </c>
      <c r="L58" s="2831">
        <f t="shared" si="16"/>
        <v>42767</v>
      </c>
      <c r="M58" s="2831">
        <f t="shared" si="16"/>
        <v>42736</v>
      </c>
      <c r="N58" s="2831">
        <f t="shared" si="16"/>
        <v>42705</v>
      </c>
      <c r="O58" s="2831">
        <f t="shared" si="16"/>
        <v>42675</v>
      </c>
      <c r="P58" s="2161"/>
      <c r="Q58" s="2162"/>
      <c r="R58" s="2162"/>
      <c r="S58" s="2162"/>
      <c r="T58" s="2162"/>
      <c r="U58" s="2162"/>
      <c r="V58" s="2162"/>
      <c r="W58" s="2162"/>
      <c r="X58" s="2162"/>
      <c r="Y58" s="2162"/>
      <c r="Z58" s="2162"/>
      <c r="AA58" s="2162"/>
      <c r="AB58" s="2162"/>
      <c r="AC58" s="2162"/>
    </row>
    <row r="59" spans="1:29" s="1220" customFormat="1" ht="15">
      <c r="A59" s="649"/>
      <c r="B59" s="650"/>
      <c r="C59" s="651">
        <v>100</v>
      </c>
      <c r="D59" s="652"/>
      <c r="E59" s="652"/>
      <c r="F59" s="652"/>
      <c r="G59" s="652"/>
      <c r="H59" s="652"/>
      <c r="I59" s="652"/>
      <c r="J59" s="652"/>
      <c r="K59" s="652"/>
      <c r="L59" s="652"/>
      <c r="M59" s="652"/>
      <c r="N59" s="652"/>
      <c r="O59" s="652"/>
      <c r="P59" s="2159"/>
      <c r="Q59" s="1994"/>
      <c r="R59" s="1994"/>
      <c r="S59" s="1994"/>
      <c r="T59" s="1994"/>
      <c r="U59" s="1994"/>
      <c r="V59" s="1994"/>
      <c r="W59" s="1994"/>
      <c r="X59" s="1994"/>
      <c r="Y59" s="1994"/>
      <c r="Z59" s="1994"/>
      <c r="AA59" s="1994"/>
      <c r="AB59" s="1994"/>
      <c r="AC59" s="1994"/>
    </row>
    <row r="60" spans="1:29" s="1220" customFormat="1" ht="15.75" thickBot="1">
      <c r="A60" s="655" t="s">
        <v>576</v>
      </c>
      <c r="B60" s="656"/>
      <c r="C60" s="657"/>
      <c r="D60" s="658"/>
      <c r="E60" s="658"/>
      <c r="F60" s="658"/>
      <c r="G60" s="658"/>
      <c r="H60" s="658"/>
      <c r="I60" s="658"/>
      <c r="J60" s="658"/>
      <c r="K60" s="658"/>
      <c r="L60" s="658"/>
      <c r="M60" s="659"/>
      <c r="N60" s="658"/>
      <c r="O60" s="660"/>
      <c r="P60" s="2159"/>
      <c r="Q60" s="2159"/>
      <c r="R60" s="1994"/>
      <c r="S60" s="1994"/>
      <c r="T60" s="1994"/>
      <c r="U60" s="1994"/>
      <c r="V60" s="1994"/>
      <c r="W60" s="1994"/>
      <c r="X60" s="1994"/>
      <c r="Y60" s="1994"/>
      <c r="Z60" s="1994"/>
      <c r="AA60" s="1994"/>
      <c r="AB60" s="1994"/>
      <c r="AC60" s="1994"/>
    </row>
    <row r="61" spans="1:29" s="1220" customFormat="1" ht="15">
      <c r="A61" s="661" t="s">
        <v>532</v>
      </c>
      <c r="B61" s="650"/>
      <c r="C61" s="662" t="s">
        <v>577</v>
      </c>
      <c r="D61" s="663"/>
      <c r="E61" s="663"/>
      <c r="F61" s="663"/>
      <c r="G61" s="663"/>
      <c r="H61" s="663"/>
      <c r="I61" s="663"/>
      <c r="J61" s="663"/>
      <c r="K61" s="663"/>
      <c r="L61" s="664"/>
      <c r="M61" s="665"/>
      <c r="N61" s="2163"/>
      <c r="O61" s="2163"/>
      <c r="P61" s="2164"/>
      <c r="Q61" s="2159"/>
      <c r="R61" s="1994"/>
      <c r="S61" s="1994"/>
      <c r="T61" s="1994"/>
      <c r="U61" s="1994"/>
      <c r="V61" s="1994"/>
      <c r="W61" s="1994"/>
      <c r="X61" s="1994"/>
      <c r="Y61" s="1994"/>
      <c r="Z61" s="1994"/>
      <c r="AA61" s="1994"/>
      <c r="AB61" s="1994"/>
      <c r="AC61" s="1994"/>
    </row>
    <row r="62" spans="1:29" s="1220" customFormat="1" ht="15.75" thickBot="1">
      <c r="A62" s="661"/>
      <c r="B62" s="650"/>
      <c r="C62" s="890">
        <v>100</v>
      </c>
      <c r="D62" s="652"/>
      <c r="E62" s="652"/>
      <c r="F62" s="652"/>
      <c r="G62" s="652"/>
      <c r="H62" s="652"/>
      <c r="I62" s="652"/>
      <c r="J62" s="652"/>
      <c r="K62" s="652"/>
      <c r="L62" s="652"/>
      <c r="M62" s="654"/>
      <c r="N62" s="2163"/>
      <c r="O62" s="2163"/>
      <c r="P62" s="2159"/>
      <c r="Q62" s="2159"/>
      <c r="R62" s="1994"/>
      <c r="S62" s="1994"/>
      <c r="T62" s="1994"/>
      <c r="U62" s="1994"/>
      <c r="V62" s="1994"/>
      <c r="W62" s="1994"/>
      <c r="X62" s="1994"/>
      <c r="Y62" s="1994"/>
      <c r="Z62" s="1994"/>
      <c r="AA62" s="1994"/>
      <c r="AB62" s="1994"/>
      <c r="AC62" s="1994"/>
    </row>
    <row r="63" spans="1:29">
      <c r="A63" s="666" t="s">
        <v>578</v>
      </c>
      <c r="B63" s="667" t="s">
        <v>535</v>
      </c>
      <c r="C63" s="706" t="str">
        <f>C9</f>
        <v>住宅</v>
      </c>
      <c r="D63" s="600"/>
      <c r="E63" s="600"/>
      <c r="F63" s="600"/>
      <c r="G63" s="600"/>
      <c r="H63" s="600"/>
      <c r="I63" s="600"/>
      <c r="J63" s="600"/>
      <c r="K63" s="668"/>
      <c r="L63" s="669"/>
      <c r="M63" s="670"/>
      <c r="N63" s="2165"/>
      <c r="O63" s="2165"/>
      <c r="P63" s="2166"/>
      <c r="Q63" s="2159"/>
      <c r="R63" s="2146"/>
      <c r="S63" s="2146"/>
      <c r="T63" s="2146"/>
      <c r="U63" s="2146"/>
      <c r="V63" s="2146"/>
      <c r="W63" s="2146"/>
      <c r="X63" s="2146"/>
      <c r="Y63" s="2146"/>
      <c r="Z63" s="2146"/>
      <c r="AA63" s="2146"/>
      <c r="AB63" s="2146"/>
      <c r="AC63" s="2146"/>
    </row>
    <row r="64" spans="1:29" ht="15.75" thickBot="1">
      <c r="A64" s="671"/>
      <c r="B64" s="672"/>
      <c r="C64" s="673">
        <v>100</v>
      </c>
      <c r="D64" s="673"/>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71"/>
      <c r="B65" s="675" t="s">
        <v>538</v>
      </c>
      <c r="C65" s="676" t="s">
        <v>737</v>
      </c>
      <c r="D65" s="676" t="s">
        <v>738</v>
      </c>
      <c r="E65" s="676" t="s">
        <v>739</v>
      </c>
      <c r="F65" s="676" t="s">
        <v>740</v>
      </c>
      <c r="G65" s="676" t="s">
        <v>741</v>
      </c>
      <c r="H65" s="676" t="s">
        <v>742</v>
      </c>
      <c r="I65" s="676" t="s">
        <v>743</v>
      </c>
      <c r="J65" s="676"/>
      <c r="K65" s="677"/>
      <c r="L65" s="678"/>
      <c r="M65" s="679"/>
      <c r="N65" s="2165"/>
      <c r="O65" s="2165"/>
      <c r="P65" s="2166"/>
      <c r="Q65" s="2159"/>
      <c r="R65" s="2146"/>
      <c r="S65" s="2146"/>
      <c r="T65" s="2146"/>
      <c r="U65" s="2146"/>
      <c r="V65" s="2146"/>
      <c r="W65" s="2146"/>
      <c r="X65" s="2146"/>
      <c r="Y65" s="2146"/>
      <c r="Z65" s="2146"/>
      <c r="AA65" s="2146"/>
      <c r="AB65" s="2146"/>
      <c r="AC65" s="2146"/>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67"/>
      <c r="O66" s="2167"/>
      <c r="P66" s="2166"/>
      <c r="Q66" s="2159"/>
      <c r="R66" s="2146"/>
      <c r="S66" s="2146"/>
      <c r="T66" s="2146"/>
      <c r="U66" s="2146"/>
      <c r="V66" s="2146"/>
      <c r="W66" s="2146"/>
      <c r="X66" s="2146"/>
      <c r="Y66" s="2146"/>
      <c r="Z66" s="2146"/>
      <c r="AA66" s="2146"/>
      <c r="AB66" s="2146"/>
      <c r="AC66" s="2146"/>
    </row>
    <row r="67" spans="1:29" ht="15.75" thickTop="1">
      <c r="A67" s="671"/>
      <c r="B67" s="683" t="s">
        <v>539</v>
      </c>
      <c r="C67" s="684" t="str">
        <f>C68&amp;"（含）"&amp;"-"&amp;D68</f>
        <v>0（含）-1</v>
      </c>
      <c r="D67" s="684" t="str">
        <f t="shared" ref="D67:L67" si="18">D68&amp;"（含）"&amp;"-"&amp;E68</f>
        <v>1（含）-2</v>
      </c>
      <c r="E67" s="684" t="str">
        <f t="shared" si="18"/>
        <v>2（含）-</v>
      </c>
      <c r="F67" s="684" t="str">
        <f t="shared" si="18"/>
        <v>（含）-</v>
      </c>
      <c r="G67" s="684" t="str">
        <f t="shared" si="18"/>
        <v>（含）-</v>
      </c>
      <c r="H67" s="684" t="str">
        <f t="shared" si="18"/>
        <v>（含）-</v>
      </c>
      <c r="I67" s="684" t="str">
        <f t="shared" si="18"/>
        <v>（含）-</v>
      </c>
      <c r="J67" s="684" t="str">
        <f t="shared" si="18"/>
        <v>（含）-</v>
      </c>
      <c r="K67" s="684" t="str">
        <f t="shared" si="18"/>
        <v>（含）-</v>
      </c>
      <c r="L67" s="684" t="str">
        <f t="shared" si="18"/>
        <v>（含）-</v>
      </c>
      <c r="M67" s="558"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1"/>
      <c r="B68" s="685"/>
      <c r="C68" s="544">
        <v>0</v>
      </c>
      <c r="D68" s="544">
        <v>1</v>
      </c>
      <c r="E68" s="544">
        <v>2</v>
      </c>
      <c r="F68" s="544"/>
      <c r="G68" s="544"/>
      <c r="H68" s="544"/>
      <c r="I68" s="544"/>
      <c r="J68" s="544"/>
      <c r="K68" s="686"/>
      <c r="L68" s="687"/>
      <c r="M68" s="688"/>
      <c r="N68" s="2165"/>
      <c r="O68" s="2165"/>
      <c r="P68" s="2166"/>
      <c r="Q68" s="2159"/>
      <c r="R68" s="2146"/>
      <c r="S68" s="2146"/>
      <c r="T68" s="2146"/>
      <c r="U68" s="2146"/>
      <c r="V68" s="2146"/>
      <c r="W68" s="2146"/>
      <c r="X68" s="2146"/>
      <c r="Y68" s="2146"/>
      <c r="Z68" s="2146"/>
      <c r="AA68" s="2146"/>
      <c r="AB68" s="2146"/>
      <c r="AC68" s="2146"/>
    </row>
    <row r="69" spans="1:29" ht="15.75" thickBot="1">
      <c r="A69" s="671"/>
      <c r="B69" s="672"/>
      <c r="C69" s="681">
        <v>100</v>
      </c>
      <c r="D69" s="681">
        <f t="shared" ref="D69:M69" si="19">C69-$K11</f>
        <v>99</v>
      </c>
      <c r="E69" s="681">
        <f t="shared" si="19"/>
        <v>98</v>
      </c>
      <c r="F69" s="681">
        <f t="shared" si="19"/>
        <v>97</v>
      </c>
      <c r="G69" s="681">
        <f t="shared" si="19"/>
        <v>96</v>
      </c>
      <c r="H69" s="681">
        <f t="shared" si="19"/>
        <v>95</v>
      </c>
      <c r="I69" s="681">
        <f t="shared" si="19"/>
        <v>94</v>
      </c>
      <c r="J69" s="681">
        <f t="shared" si="19"/>
        <v>93</v>
      </c>
      <c r="K69" s="681">
        <f t="shared" si="19"/>
        <v>92</v>
      </c>
      <c r="L69" s="681">
        <f t="shared" si="19"/>
        <v>91</v>
      </c>
      <c r="M69" s="682">
        <f t="shared" si="19"/>
        <v>90</v>
      </c>
      <c r="N69" s="2167"/>
      <c r="O69" s="2167"/>
      <c r="P69" s="2166"/>
      <c r="Q69" s="2159"/>
      <c r="R69" s="2146"/>
      <c r="S69" s="2146"/>
      <c r="T69" s="2146"/>
      <c r="U69" s="2146"/>
      <c r="V69" s="2146"/>
      <c r="W69" s="2146"/>
      <c r="X69" s="2146"/>
      <c r="Y69" s="2146"/>
      <c r="Z69" s="2146"/>
      <c r="AA69" s="2146"/>
      <c r="AB69" s="2146"/>
      <c r="AC69" s="2146"/>
    </row>
    <row r="70" spans="1:29" s="1339" customFormat="1" ht="16.5" hidden="1" thickTop="1" thickBot="1">
      <c r="A70" s="689"/>
      <c r="B70" s="675">
        <f>B12</f>
        <v>0</v>
      </c>
      <c r="C70" s="690"/>
      <c r="D70" s="690"/>
      <c r="E70" s="690"/>
      <c r="F70" s="690"/>
      <c r="G70" s="690"/>
      <c r="H70" s="691"/>
      <c r="I70" s="691"/>
      <c r="J70" s="691"/>
      <c r="K70" s="691"/>
      <c r="L70" s="692"/>
      <c r="M70" s="693"/>
      <c r="N70" s="2168"/>
      <c r="O70" s="2168"/>
      <c r="P70" s="2169"/>
      <c r="Q70" s="2170"/>
      <c r="R70" s="2171"/>
      <c r="S70" s="2171"/>
      <c r="T70" s="2171"/>
      <c r="U70" s="2171"/>
      <c r="V70" s="2171"/>
      <c r="W70" s="2171"/>
      <c r="X70" s="2171"/>
      <c r="Y70" s="2171"/>
      <c r="Z70" s="2171"/>
      <c r="AA70" s="2171"/>
      <c r="AB70" s="2171"/>
      <c r="AC70" s="2171"/>
    </row>
    <row r="71" spans="1:29" s="1339" customFormat="1" ht="16.5" hidden="1" thickTop="1" thickBot="1">
      <c r="A71" s="689"/>
      <c r="B71" s="680"/>
      <c r="C71" s="694"/>
      <c r="D71" s="673"/>
      <c r="E71" s="673"/>
      <c r="F71" s="673"/>
      <c r="G71" s="673"/>
      <c r="H71" s="673"/>
      <c r="I71" s="673"/>
      <c r="J71" s="673"/>
      <c r="K71" s="673"/>
      <c r="L71" s="673"/>
      <c r="M71" s="674"/>
      <c r="N71" s="2167"/>
      <c r="O71" s="2167"/>
      <c r="P71" s="2169"/>
      <c r="Q71" s="2170"/>
      <c r="R71" s="2171"/>
      <c r="S71" s="2171"/>
      <c r="T71" s="2171"/>
      <c r="U71" s="2171"/>
      <c r="V71" s="2171"/>
      <c r="W71" s="2171"/>
      <c r="X71" s="2171"/>
      <c r="Y71" s="2171"/>
      <c r="Z71" s="2171"/>
      <c r="AA71" s="2171"/>
      <c r="AB71" s="2171"/>
      <c r="AC71" s="2171"/>
    </row>
    <row r="72" spans="1:29" s="1339" customFormat="1" ht="16.5" hidden="1" thickTop="1" thickBot="1">
      <c r="A72" s="689"/>
      <c r="B72" s="675">
        <f>B13</f>
        <v>0</v>
      </c>
      <c r="C72" s="690"/>
      <c r="D72" s="690"/>
      <c r="E72" s="690"/>
      <c r="F72" s="690"/>
      <c r="G72" s="690"/>
      <c r="H72" s="691"/>
      <c r="I72" s="691"/>
      <c r="J72" s="691"/>
      <c r="K72" s="691"/>
      <c r="L72" s="692"/>
      <c r="M72" s="693"/>
      <c r="N72" s="2168"/>
      <c r="O72" s="2168"/>
      <c r="P72" s="2172"/>
      <c r="Q72" s="2173"/>
      <c r="R72" s="2171"/>
      <c r="S72" s="2171"/>
      <c r="T72" s="2171"/>
      <c r="U72" s="2171"/>
      <c r="V72" s="2171"/>
      <c r="W72" s="2171"/>
      <c r="X72" s="2171"/>
      <c r="Y72" s="2171"/>
      <c r="Z72" s="2171"/>
      <c r="AA72" s="2171"/>
      <c r="AB72" s="2171"/>
      <c r="AC72" s="2171"/>
    </row>
    <row r="73" spans="1:29" s="1339" customFormat="1" ht="16.5" hidden="1" thickTop="1" thickBot="1">
      <c r="A73" s="689"/>
      <c r="B73" s="680"/>
      <c r="C73" s="694"/>
      <c r="D73" s="694"/>
      <c r="E73" s="694"/>
      <c r="F73" s="694"/>
      <c r="G73" s="694"/>
      <c r="H73" s="695"/>
      <c r="I73" s="695"/>
      <c r="J73" s="695"/>
      <c r="K73" s="695"/>
      <c r="L73" s="695"/>
      <c r="M73" s="696"/>
      <c r="N73" s="2168"/>
      <c r="O73" s="2168"/>
      <c r="P73" s="2169"/>
      <c r="Q73" s="2170"/>
      <c r="R73" s="2171"/>
      <c r="S73" s="2171"/>
      <c r="T73" s="2171"/>
      <c r="U73" s="2171"/>
      <c r="V73" s="2171"/>
      <c r="W73" s="2171"/>
      <c r="X73" s="2171"/>
      <c r="Y73" s="2171"/>
      <c r="Z73" s="2171"/>
      <c r="AA73" s="2171"/>
      <c r="AB73" s="2171"/>
      <c r="AC73" s="2171"/>
    </row>
    <row r="74" spans="1:29" s="1339" customFormat="1" ht="16.5" hidden="1" thickTop="1" thickBot="1">
      <c r="A74" s="689"/>
      <c r="B74" s="683">
        <f>B14</f>
        <v>0</v>
      </c>
      <c r="C74" s="690"/>
      <c r="D74" s="690"/>
      <c r="E74" s="690"/>
      <c r="F74" s="690"/>
      <c r="G74" s="663"/>
      <c r="H74" s="697"/>
      <c r="I74" s="697"/>
      <c r="J74" s="697"/>
      <c r="K74" s="697"/>
      <c r="L74" s="698"/>
      <c r="M74" s="699"/>
      <c r="N74" s="2168"/>
      <c r="O74" s="2168"/>
      <c r="P74" s="2174"/>
      <c r="Q74" s="2170"/>
      <c r="R74" s="2171"/>
      <c r="S74" s="2171"/>
      <c r="T74" s="2171"/>
      <c r="U74" s="2171"/>
      <c r="V74" s="2171"/>
      <c r="W74" s="2171"/>
      <c r="X74" s="2171"/>
      <c r="Y74" s="2171"/>
      <c r="Z74" s="2171"/>
      <c r="AA74" s="2171"/>
      <c r="AB74" s="2171"/>
      <c r="AC74" s="2171"/>
    </row>
    <row r="75" spans="1:29" s="1339" customFormat="1" ht="16.5" hidden="1" thickTop="1" thickBot="1">
      <c r="A75" s="700"/>
      <c r="B75" s="701"/>
      <c r="C75" s="702"/>
      <c r="D75" s="702"/>
      <c r="E75" s="702"/>
      <c r="F75" s="702"/>
      <c r="G75" s="702"/>
      <c r="H75" s="703"/>
      <c r="I75" s="703"/>
      <c r="J75" s="703"/>
      <c r="K75" s="703"/>
      <c r="L75" s="703"/>
      <c r="M75" s="704"/>
      <c r="N75" s="2168"/>
      <c r="O75" s="2168"/>
      <c r="P75" s="2169"/>
      <c r="Q75" s="2170"/>
      <c r="R75" s="2171"/>
      <c r="S75" s="2171"/>
      <c r="T75" s="2171"/>
      <c r="U75" s="2171"/>
      <c r="V75" s="2171"/>
      <c r="W75" s="2171"/>
      <c r="X75" s="2171"/>
      <c r="Y75" s="2171"/>
      <c r="Z75" s="2171"/>
      <c r="AA75" s="2171"/>
      <c r="AB75" s="2171"/>
      <c r="AC75" s="2171"/>
    </row>
    <row r="76" spans="1:29" ht="15" thickTop="1">
      <c r="A76" s="666" t="s">
        <v>540</v>
      </c>
      <c r="B76" s="667" t="s">
        <v>579</v>
      </c>
      <c r="C76" s="705" t="s">
        <v>580</v>
      </c>
      <c r="D76" s="705" t="s">
        <v>581</v>
      </c>
      <c r="E76" s="705" t="s">
        <v>582</v>
      </c>
      <c r="F76" s="705" t="s">
        <v>583</v>
      </c>
      <c r="G76" s="705" t="s">
        <v>584</v>
      </c>
      <c r="H76" s="706"/>
      <c r="I76" s="706"/>
      <c r="J76" s="706"/>
      <c r="K76" s="707"/>
      <c r="L76" s="708"/>
      <c r="M76" s="709"/>
      <c r="N76" s="2165"/>
      <c r="O76" s="2165"/>
      <c r="P76" s="2175"/>
      <c r="Q76" s="2159"/>
      <c r="R76" s="2146"/>
      <c r="S76" s="2146"/>
      <c r="T76" s="2146"/>
      <c r="U76" s="2146"/>
      <c r="V76" s="2146"/>
      <c r="W76" s="2146"/>
      <c r="X76" s="2146"/>
      <c r="Y76" s="2146"/>
      <c r="Z76" s="2146"/>
      <c r="AA76" s="2146"/>
      <c r="AB76" s="2146"/>
      <c r="AC76" s="2146"/>
    </row>
    <row r="77" spans="1:29" ht="15.75" thickBot="1">
      <c r="A77" s="671"/>
      <c r="B77" s="680"/>
      <c r="C77" s="681">
        <v>100</v>
      </c>
      <c r="D77" s="681">
        <f>C77-$K15</f>
        <v>95</v>
      </c>
      <c r="E77" s="681">
        <f>D77-$K15</f>
        <v>90</v>
      </c>
      <c r="F77" s="681">
        <f>E77-$K15</f>
        <v>85</v>
      </c>
      <c r="G77" s="681">
        <f>F77-$K15</f>
        <v>80</v>
      </c>
      <c r="H77" s="681"/>
      <c r="I77" s="681"/>
      <c r="J77" s="681"/>
      <c r="K77" s="681"/>
      <c r="L77" s="681"/>
      <c r="M77" s="682"/>
      <c r="N77" s="2167"/>
      <c r="O77" s="2167"/>
      <c r="P77" s="2166"/>
      <c r="Q77" s="2159"/>
      <c r="R77" s="2146"/>
      <c r="S77" s="2146"/>
      <c r="T77" s="2146"/>
      <c r="U77" s="2146"/>
      <c r="V77" s="2146"/>
      <c r="W77" s="2146"/>
      <c r="X77" s="2146"/>
      <c r="Y77" s="2146"/>
      <c r="Z77" s="2146"/>
      <c r="AA77" s="2146"/>
      <c r="AB77" s="2146"/>
      <c r="AC77" s="2146"/>
    </row>
    <row r="78" spans="1:29" ht="15.75" thickTop="1">
      <c r="A78" s="671"/>
      <c r="B78" s="675" t="s">
        <v>587</v>
      </c>
      <c r="C78" s="710" t="s">
        <v>580</v>
      </c>
      <c r="D78" s="710" t="s">
        <v>581</v>
      </c>
      <c r="E78" s="710" t="s">
        <v>582</v>
      </c>
      <c r="F78" s="710" t="s">
        <v>583</v>
      </c>
      <c r="G78" s="710" t="s">
        <v>584</v>
      </c>
      <c r="H78" s="676"/>
      <c r="I78" s="676"/>
      <c r="J78" s="676"/>
      <c r="K78" s="677"/>
      <c r="L78" s="678"/>
      <c r="M78" s="679"/>
      <c r="N78" s="2165"/>
      <c r="O78" s="2165"/>
      <c r="P78" s="2166"/>
      <c r="Q78" s="2159"/>
      <c r="R78" s="2146"/>
      <c r="S78" s="2146"/>
      <c r="T78" s="2146"/>
      <c r="U78" s="2146"/>
      <c r="V78" s="2146"/>
      <c r="W78" s="2146"/>
      <c r="X78" s="2146"/>
      <c r="Y78" s="2146"/>
      <c r="Z78" s="2146"/>
      <c r="AA78" s="2146"/>
      <c r="AB78" s="2146"/>
      <c r="AC78" s="2146"/>
    </row>
    <row r="79" spans="1:29" ht="15.75" thickBot="1">
      <c r="A79" s="671"/>
      <c r="B79" s="680"/>
      <c r="C79" s="681">
        <v>100</v>
      </c>
      <c r="D79" s="681">
        <f>C79-$K17</f>
        <v>95</v>
      </c>
      <c r="E79" s="681">
        <f>D79-$K17</f>
        <v>90</v>
      </c>
      <c r="F79" s="681">
        <f>E79-$K17</f>
        <v>85</v>
      </c>
      <c r="G79" s="681">
        <f>F79-$K17</f>
        <v>80</v>
      </c>
      <c r="H79" s="681"/>
      <c r="I79" s="681"/>
      <c r="J79" s="681"/>
      <c r="K79" s="681"/>
      <c r="L79" s="681"/>
      <c r="M79" s="682"/>
      <c r="N79" s="2167"/>
      <c r="O79" s="2167"/>
      <c r="P79" s="2166"/>
      <c r="Q79" s="2159"/>
      <c r="R79" s="2146"/>
      <c r="S79" s="2146"/>
      <c r="T79" s="2146"/>
      <c r="U79" s="2146"/>
      <c r="V79" s="2146"/>
      <c r="W79" s="2146"/>
      <c r="X79" s="2146"/>
      <c r="Y79" s="2146"/>
      <c r="Z79" s="2146"/>
      <c r="AA79" s="2146"/>
      <c r="AB79" s="2146"/>
      <c r="AC79" s="2146"/>
    </row>
    <row r="80" spans="1:29" ht="15.75" thickTop="1">
      <c r="A80" s="671"/>
      <c r="B80" s="1897" t="s">
        <v>2317</v>
      </c>
      <c r="C80" s="710" t="s">
        <v>580</v>
      </c>
      <c r="D80" s="710" t="s">
        <v>581</v>
      </c>
      <c r="E80" s="710" t="s">
        <v>582</v>
      </c>
      <c r="F80" s="710" t="s">
        <v>583</v>
      </c>
      <c r="G80" s="710" t="s">
        <v>584</v>
      </c>
      <c r="H80" s="676"/>
      <c r="I80" s="676"/>
      <c r="J80" s="676"/>
      <c r="K80" s="677"/>
      <c r="L80" s="678"/>
      <c r="M80" s="679"/>
      <c r="N80" s="2165"/>
      <c r="O80" s="2165"/>
      <c r="P80" s="2166"/>
      <c r="Q80" s="2159"/>
      <c r="R80" s="2146"/>
      <c r="S80" s="2146"/>
      <c r="T80" s="2146"/>
      <c r="U80" s="2146"/>
      <c r="V80" s="2146"/>
      <c r="W80" s="2146"/>
      <c r="X80" s="2146"/>
      <c r="Y80" s="2146"/>
      <c r="Z80" s="2146"/>
      <c r="AA80" s="2146"/>
      <c r="AB80" s="2146"/>
      <c r="AC80" s="2146"/>
    </row>
    <row r="81" spans="1:29" ht="15.75" thickBot="1">
      <c r="A81" s="671"/>
      <c r="B81" s="680"/>
      <c r="C81" s="681">
        <v>100</v>
      </c>
      <c r="D81" s="681">
        <f>C81-$K19</f>
        <v>95</v>
      </c>
      <c r="E81" s="681">
        <f>D81-$K19</f>
        <v>90</v>
      </c>
      <c r="F81" s="681">
        <f>E81-$K19</f>
        <v>85</v>
      </c>
      <c r="G81" s="681">
        <f>F81-$K19</f>
        <v>80</v>
      </c>
      <c r="H81" s="681"/>
      <c r="I81" s="681"/>
      <c r="J81" s="681"/>
      <c r="K81" s="681"/>
      <c r="L81" s="681"/>
      <c r="M81" s="682"/>
      <c r="N81" s="2167"/>
      <c r="O81" s="2167"/>
      <c r="P81" s="2166"/>
      <c r="Q81" s="2159"/>
      <c r="R81" s="2146"/>
      <c r="S81" s="2146"/>
      <c r="T81" s="2146"/>
      <c r="U81" s="2146"/>
      <c r="V81" s="2146"/>
      <c r="W81" s="2146"/>
      <c r="X81" s="2146"/>
      <c r="Y81" s="2146"/>
      <c r="Z81" s="2146"/>
      <c r="AA81" s="2146"/>
      <c r="AB81" s="2146"/>
      <c r="AC81" s="2146"/>
    </row>
    <row r="82" spans="1:29" ht="15.75" thickTop="1">
      <c r="A82" s="671"/>
      <c r="B82" s="2622" t="s">
        <v>2549</v>
      </c>
      <c r="C82" s="2623" t="s">
        <v>2561</v>
      </c>
      <c r="D82" s="2623" t="s">
        <v>2562</v>
      </c>
      <c r="E82" s="2623" t="s">
        <v>2563</v>
      </c>
      <c r="F82" s="2623" t="s">
        <v>2564</v>
      </c>
      <c r="G82" s="2623" t="s">
        <v>2565</v>
      </c>
      <c r="H82" s="676"/>
      <c r="I82" s="676"/>
      <c r="J82" s="676"/>
      <c r="K82" s="676"/>
      <c r="L82" s="676"/>
      <c r="M82" s="2626"/>
      <c r="N82" s="2167"/>
      <c r="O82" s="2167"/>
      <c r="P82" s="2166"/>
      <c r="Q82" s="2159"/>
      <c r="R82" s="2146"/>
      <c r="S82" s="2146"/>
      <c r="T82" s="2146"/>
      <c r="U82" s="2146"/>
      <c r="V82" s="2146"/>
      <c r="W82" s="2146"/>
      <c r="X82" s="2146"/>
      <c r="Y82" s="2146"/>
      <c r="Z82" s="2146"/>
      <c r="AA82" s="2146"/>
      <c r="AB82" s="2146"/>
      <c r="AC82" s="2146"/>
    </row>
    <row r="83" spans="1:29" ht="15.75" thickBot="1">
      <c r="A83" s="671"/>
      <c r="B83" s="683"/>
      <c r="C83" s="681">
        <v>100</v>
      </c>
      <c r="D83" s="681">
        <f>C83-$K21</f>
        <v>99</v>
      </c>
      <c r="E83" s="681">
        <f>D83-$K21</f>
        <v>98</v>
      </c>
      <c r="F83" s="681">
        <f>E83-$K21</f>
        <v>97</v>
      </c>
      <c r="G83" s="681">
        <f>F83-$K21</f>
        <v>96</v>
      </c>
      <c r="H83" s="936"/>
      <c r="I83" s="936"/>
      <c r="J83" s="936"/>
      <c r="K83" s="936"/>
      <c r="L83" s="936"/>
      <c r="M83" s="562"/>
      <c r="N83" s="2167"/>
      <c r="O83" s="2167"/>
      <c r="P83" s="2166"/>
      <c r="Q83" s="2159"/>
      <c r="R83" s="2146"/>
      <c r="S83" s="2146"/>
      <c r="T83" s="2146"/>
      <c r="U83" s="2146"/>
      <c r="V83" s="2146"/>
      <c r="W83" s="2146"/>
      <c r="X83" s="2146"/>
      <c r="Y83" s="2146"/>
      <c r="Z83" s="2146"/>
      <c r="AA83" s="2146"/>
      <c r="AB83" s="2146"/>
      <c r="AC83" s="2146"/>
    </row>
    <row r="84" spans="1:29" ht="15.75" thickTop="1">
      <c r="A84" s="671"/>
      <c r="B84" s="675" t="s">
        <v>744</v>
      </c>
      <c r="C84" s="710" t="s">
        <v>580</v>
      </c>
      <c r="D84" s="710" t="s">
        <v>581</v>
      </c>
      <c r="E84" s="710" t="s">
        <v>582</v>
      </c>
      <c r="F84" s="710" t="s">
        <v>583</v>
      </c>
      <c r="G84" s="710" t="s">
        <v>584</v>
      </c>
      <c r="H84" s="676"/>
      <c r="I84" s="676"/>
      <c r="J84" s="676"/>
      <c r="K84" s="677"/>
      <c r="L84" s="678"/>
      <c r="M84" s="679"/>
      <c r="N84" s="2165"/>
      <c r="O84" s="2165"/>
      <c r="P84" s="2166"/>
      <c r="Q84" s="2159"/>
      <c r="R84" s="2146"/>
      <c r="S84" s="2146"/>
      <c r="T84" s="2146"/>
      <c r="U84" s="2146"/>
      <c r="V84" s="2146"/>
      <c r="W84" s="2146"/>
      <c r="X84" s="2146"/>
      <c r="Y84" s="2146"/>
      <c r="Z84" s="2146"/>
      <c r="AA84" s="2146"/>
      <c r="AB84" s="2146"/>
      <c r="AC84" s="2146"/>
    </row>
    <row r="85" spans="1:29" ht="15.75" thickBot="1">
      <c r="A85" s="671"/>
      <c r="B85" s="680"/>
      <c r="C85" s="681">
        <v>100</v>
      </c>
      <c r="D85" s="681">
        <f>C85-$K23</f>
        <v>90</v>
      </c>
      <c r="E85" s="681">
        <f>D85-$K23</f>
        <v>80</v>
      </c>
      <c r="F85" s="681">
        <f>E85-$K23</f>
        <v>70</v>
      </c>
      <c r="G85" s="681">
        <f>F85-$K23</f>
        <v>60</v>
      </c>
      <c r="H85" s="681"/>
      <c r="I85" s="681"/>
      <c r="J85" s="681"/>
      <c r="K85" s="681"/>
      <c r="L85" s="681"/>
      <c r="M85" s="682"/>
      <c r="N85" s="2167"/>
      <c r="O85" s="2167"/>
      <c r="P85" s="2166"/>
      <c r="Q85" s="2159"/>
      <c r="R85" s="2146"/>
      <c r="S85" s="2146"/>
      <c r="T85" s="2146"/>
      <c r="U85" s="2146"/>
      <c r="V85" s="2146"/>
      <c r="W85" s="2146"/>
      <c r="X85" s="2146"/>
      <c r="Y85" s="2146"/>
      <c r="Z85" s="2146"/>
      <c r="AA85" s="2146"/>
      <c r="AB85" s="2146"/>
      <c r="AC85" s="2146"/>
    </row>
    <row r="86" spans="1:29" s="1220" customFormat="1" ht="15.75" thickTop="1">
      <c r="A86" s="711"/>
      <c r="B86" s="1897" t="s">
        <v>2260</v>
      </c>
      <c r="C86" s="690"/>
      <c r="D86" s="690"/>
      <c r="E86" s="690"/>
      <c r="F86" s="690"/>
      <c r="G86" s="690"/>
      <c r="H86" s="690"/>
      <c r="I86" s="690"/>
      <c r="J86" s="690"/>
      <c r="K86" s="690"/>
      <c r="L86" s="891"/>
      <c r="M86" s="892"/>
      <c r="N86" s="2163"/>
      <c r="O86" s="2163"/>
      <c r="P86" s="2166"/>
      <c r="Q86" s="2159"/>
      <c r="R86" s="1994"/>
      <c r="S86" s="1994"/>
      <c r="T86" s="1994"/>
      <c r="U86" s="1994"/>
      <c r="V86" s="1994"/>
      <c r="W86" s="1994"/>
      <c r="X86" s="1994"/>
      <c r="Y86" s="1994"/>
      <c r="Z86" s="1994"/>
      <c r="AA86" s="1994"/>
      <c r="AB86" s="1994"/>
      <c r="AC86" s="1994"/>
    </row>
    <row r="87" spans="1:29" s="1220"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11"/>
      <c r="B88" s="675" t="s">
        <v>746</v>
      </c>
      <c r="C88" s="690"/>
      <c r="D88" s="690"/>
      <c r="E88" s="690"/>
      <c r="F88" s="893"/>
      <c r="G88" s="690"/>
      <c r="H88" s="690"/>
      <c r="I88" s="690"/>
      <c r="J88" s="690"/>
      <c r="K88" s="690"/>
      <c r="L88" s="690"/>
      <c r="M88" s="892"/>
      <c r="N88" s="2163"/>
      <c r="O88" s="2163"/>
      <c r="P88" s="2166"/>
      <c r="Q88" s="2159"/>
      <c r="R88" s="1994"/>
      <c r="S88" s="1994"/>
      <c r="T88" s="1994"/>
      <c r="U88" s="1994"/>
      <c r="V88" s="1994"/>
      <c r="W88" s="1994"/>
      <c r="X88" s="1994"/>
      <c r="Y88" s="1994"/>
      <c r="Z88" s="1994"/>
      <c r="AA88" s="1994"/>
      <c r="AB88" s="1994"/>
      <c r="AC88" s="1994"/>
    </row>
    <row r="89" spans="1:29" s="1220"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7"/>
      <c r="O89" s="2167"/>
      <c r="P89" s="2166"/>
      <c r="Q89" s="2159"/>
      <c r="R89" s="1994"/>
      <c r="S89" s="1994"/>
      <c r="T89" s="1994"/>
      <c r="U89" s="1994"/>
      <c r="V89" s="1994"/>
      <c r="W89" s="1994"/>
      <c r="X89" s="1994"/>
      <c r="Y89" s="1994"/>
      <c r="Z89" s="1994"/>
      <c r="AA89" s="1994"/>
      <c r="AB89" s="1994"/>
      <c r="AC89" s="1994"/>
    </row>
    <row r="90" spans="1:29" s="1339" customFormat="1" ht="16.5" hidden="1" thickTop="1" thickBot="1">
      <c r="A90" s="689"/>
      <c r="B90" s="675">
        <f>B27</f>
        <v>0</v>
      </c>
      <c r="C90" s="690"/>
      <c r="D90" s="690"/>
      <c r="E90" s="690"/>
      <c r="F90" s="690"/>
      <c r="G90" s="690"/>
      <c r="H90" s="691"/>
      <c r="I90" s="691"/>
      <c r="J90" s="691"/>
      <c r="K90" s="691"/>
      <c r="L90" s="692"/>
      <c r="M90" s="693"/>
      <c r="N90" s="2168"/>
      <c r="O90" s="2168"/>
      <c r="P90" s="2169"/>
      <c r="Q90" s="2170"/>
      <c r="R90" s="2171"/>
      <c r="S90" s="2171"/>
      <c r="T90" s="2171"/>
      <c r="U90" s="2171"/>
      <c r="V90" s="2171"/>
      <c r="W90" s="2171"/>
      <c r="X90" s="2171"/>
      <c r="Y90" s="2171"/>
      <c r="Z90" s="2171"/>
      <c r="AA90" s="2171"/>
      <c r="AB90" s="2171"/>
      <c r="AC90" s="2171"/>
    </row>
    <row r="91" spans="1:29" s="1339" customFormat="1" ht="16.5" hidden="1" thickTop="1" thickBot="1">
      <c r="A91" s="689"/>
      <c r="B91" s="680"/>
      <c r="C91" s="694"/>
      <c r="D91" s="694"/>
      <c r="E91" s="694"/>
      <c r="F91" s="694"/>
      <c r="G91" s="694"/>
      <c r="H91" s="695"/>
      <c r="I91" s="695"/>
      <c r="J91" s="695"/>
      <c r="K91" s="695"/>
      <c r="L91" s="695"/>
      <c r="M91" s="696"/>
      <c r="N91" s="2168"/>
      <c r="O91" s="2168"/>
      <c r="P91" s="2169"/>
      <c r="Q91" s="2170"/>
      <c r="R91" s="2171"/>
      <c r="S91" s="2171"/>
      <c r="T91" s="2171"/>
      <c r="U91" s="2171"/>
      <c r="V91" s="2171"/>
      <c r="W91" s="2171"/>
      <c r="X91" s="2171"/>
      <c r="Y91" s="2171"/>
      <c r="Z91" s="2171"/>
      <c r="AA91" s="2171"/>
      <c r="AB91" s="2171"/>
      <c r="AC91" s="2171"/>
    </row>
    <row r="92" spans="1:29" ht="16.5" hidden="1" thickTop="1" thickBot="1">
      <c r="A92" s="671"/>
      <c r="B92" s="675">
        <f>B28</f>
        <v>0</v>
      </c>
      <c r="C92" s="690"/>
      <c r="D92" s="690"/>
      <c r="E92" s="690"/>
      <c r="F92" s="690"/>
      <c r="G92" s="720"/>
      <c r="H92" s="720"/>
      <c r="I92" s="720"/>
      <c r="J92" s="720"/>
      <c r="K92" s="721"/>
      <c r="L92" s="722"/>
      <c r="M92" s="723"/>
      <c r="N92" s="2165"/>
      <c r="O92" s="2165"/>
      <c r="P92" s="2166"/>
      <c r="Q92" s="2159"/>
      <c r="R92" s="2146"/>
      <c r="S92" s="2146"/>
      <c r="T92" s="2146"/>
      <c r="U92" s="2146"/>
      <c r="V92" s="2146"/>
      <c r="W92" s="2146"/>
      <c r="X92" s="2146"/>
      <c r="Y92" s="2146"/>
      <c r="Z92" s="2146"/>
      <c r="AA92" s="2146"/>
      <c r="AB92" s="2146"/>
      <c r="AC92" s="2146"/>
    </row>
    <row r="93" spans="1:29" ht="16.5" hidden="1" thickTop="1" thickBot="1">
      <c r="A93" s="671"/>
      <c r="B93" s="680"/>
      <c r="C93" s="694"/>
      <c r="D93" s="673"/>
      <c r="E93" s="673"/>
      <c r="F93" s="673"/>
      <c r="G93" s="673"/>
      <c r="H93" s="673"/>
      <c r="I93" s="673"/>
      <c r="J93" s="673"/>
      <c r="K93" s="673"/>
      <c r="L93" s="673"/>
      <c r="M93" s="674"/>
      <c r="N93" s="2167"/>
      <c r="O93" s="2167"/>
      <c r="P93" s="2166"/>
      <c r="Q93" s="2159"/>
      <c r="R93" s="2146"/>
      <c r="S93" s="2146"/>
      <c r="T93" s="2146"/>
      <c r="U93" s="2146"/>
      <c r="V93" s="2146"/>
      <c r="W93" s="2146"/>
      <c r="X93" s="2146"/>
      <c r="Y93" s="2146"/>
      <c r="Z93" s="2146"/>
      <c r="AA93" s="2146"/>
      <c r="AB93" s="2146"/>
      <c r="AC93" s="2146"/>
    </row>
    <row r="94" spans="1:29" ht="16.5" hidden="1" thickTop="1" thickBot="1">
      <c r="A94" s="671"/>
      <c r="B94" s="675">
        <f>B29</f>
        <v>0</v>
      </c>
      <c r="C94" s="690"/>
      <c r="D94" s="690"/>
      <c r="E94" s="690"/>
      <c r="F94" s="690"/>
      <c r="G94" s="720"/>
      <c r="H94" s="720"/>
      <c r="I94" s="720"/>
      <c r="J94" s="720"/>
      <c r="K94" s="721"/>
      <c r="L94" s="722"/>
      <c r="M94" s="723"/>
      <c r="N94" s="2165"/>
      <c r="O94" s="2165"/>
      <c r="P94" s="2166"/>
      <c r="Q94" s="2159"/>
      <c r="R94" s="2146"/>
      <c r="S94" s="2146"/>
      <c r="T94" s="2146"/>
      <c r="U94" s="2146"/>
      <c r="V94" s="2146"/>
      <c r="W94" s="2146"/>
      <c r="X94" s="2146"/>
      <c r="Y94" s="2146"/>
      <c r="Z94" s="2146"/>
      <c r="AA94" s="2146"/>
      <c r="AB94" s="2146"/>
      <c r="AC94" s="2146"/>
    </row>
    <row r="95" spans="1:29" ht="16.5" hidden="1" thickTop="1" thickBot="1">
      <c r="A95" s="671"/>
      <c r="B95" s="680"/>
      <c r="C95" s="694"/>
      <c r="D95" s="694"/>
      <c r="E95" s="694"/>
      <c r="F95" s="694"/>
      <c r="G95" s="673"/>
      <c r="H95" s="673"/>
      <c r="I95" s="673"/>
      <c r="J95" s="673"/>
      <c r="K95" s="673"/>
      <c r="L95" s="673"/>
      <c r="M95" s="674"/>
      <c r="N95" s="2167"/>
      <c r="O95" s="2167"/>
      <c r="P95" s="2166"/>
      <c r="Q95" s="2159"/>
      <c r="R95" s="2146"/>
      <c r="S95" s="2146"/>
      <c r="T95" s="2146"/>
      <c r="U95" s="2146"/>
      <c r="V95" s="2146"/>
      <c r="W95" s="2146"/>
      <c r="X95" s="2146"/>
      <c r="Y95" s="2146"/>
      <c r="Z95" s="2146"/>
      <c r="AA95" s="2146"/>
      <c r="AB95" s="2146"/>
      <c r="AC95" s="2146"/>
    </row>
    <row r="96" spans="1:29" ht="16.5" hidden="1" thickTop="1" thickBot="1">
      <c r="A96" s="671"/>
      <c r="B96" s="675">
        <f>B30</f>
        <v>0</v>
      </c>
      <c r="C96" s="690"/>
      <c r="D96" s="690"/>
      <c r="E96" s="690"/>
      <c r="F96" s="690"/>
      <c r="G96" s="720"/>
      <c r="H96" s="720"/>
      <c r="I96" s="720"/>
      <c r="J96" s="720"/>
      <c r="K96" s="721"/>
      <c r="L96" s="722"/>
      <c r="M96" s="723"/>
      <c r="N96" s="2165"/>
      <c r="O96" s="2165"/>
      <c r="P96" s="2166"/>
      <c r="Q96" s="2159"/>
      <c r="R96" s="2146"/>
      <c r="S96" s="2146"/>
      <c r="T96" s="2146"/>
      <c r="U96" s="2146"/>
      <c r="V96" s="2146"/>
      <c r="W96" s="2146"/>
      <c r="X96" s="2146"/>
      <c r="Y96" s="2146"/>
      <c r="Z96" s="2146"/>
      <c r="AA96" s="2146"/>
      <c r="AB96" s="2146"/>
      <c r="AC96" s="2146"/>
    </row>
    <row r="97" spans="1:29" ht="16.5" hidden="1" thickTop="1" thickBot="1">
      <c r="A97" s="671"/>
      <c r="B97" s="680"/>
      <c r="C97" s="702"/>
      <c r="D97" s="702"/>
      <c r="E97" s="702"/>
      <c r="F97" s="702"/>
      <c r="G97" s="673"/>
      <c r="H97" s="673"/>
      <c r="I97" s="673"/>
      <c r="J97" s="673"/>
      <c r="K97" s="673"/>
      <c r="L97" s="673"/>
      <c r="M97" s="674"/>
      <c r="N97" s="2167"/>
      <c r="O97" s="2167"/>
      <c r="P97" s="2166"/>
      <c r="Q97" s="2159"/>
      <c r="R97" s="2146"/>
      <c r="S97" s="2146"/>
      <c r="T97" s="2146"/>
      <c r="U97" s="2146"/>
      <c r="V97" s="2146"/>
      <c r="W97" s="2146"/>
      <c r="X97" s="2146"/>
      <c r="Y97" s="2146"/>
      <c r="Z97" s="2146"/>
      <c r="AA97" s="2146"/>
      <c r="AB97" s="2146"/>
      <c r="AC97" s="2146"/>
    </row>
    <row r="98" spans="1:29" ht="16.5" hidden="1" thickTop="1" thickBot="1">
      <c r="A98" s="671"/>
      <c r="B98" s="683">
        <f>B31</f>
        <v>0</v>
      </c>
      <c r="C98" s="724"/>
      <c r="D98" s="724"/>
      <c r="E98" s="724"/>
      <c r="F98" s="724"/>
      <c r="G98" s="724"/>
      <c r="H98" s="724"/>
      <c r="I98" s="724"/>
      <c r="J98" s="724"/>
      <c r="K98" s="725"/>
      <c r="L98" s="726"/>
      <c r="M98" s="727"/>
      <c r="N98" s="2165"/>
      <c r="O98" s="2165"/>
      <c r="P98" s="2166"/>
      <c r="Q98" s="2159"/>
      <c r="R98" s="2146"/>
      <c r="S98" s="2146"/>
      <c r="T98" s="2146"/>
      <c r="U98" s="2146"/>
      <c r="V98" s="2146"/>
      <c r="W98" s="2146"/>
      <c r="X98" s="2146"/>
      <c r="Y98" s="2146"/>
      <c r="Z98" s="2146"/>
      <c r="AA98" s="2146"/>
      <c r="AB98" s="2146"/>
      <c r="AC98" s="2146"/>
    </row>
    <row r="99" spans="1:29" ht="16.5" hidden="1" thickTop="1" thickBot="1">
      <c r="A99" s="894"/>
      <c r="B99" s="701"/>
      <c r="C99" s="728"/>
      <c r="D99" s="728"/>
      <c r="E99" s="728"/>
      <c r="F99" s="728"/>
      <c r="G99" s="728"/>
      <c r="H99" s="728"/>
      <c r="I99" s="728"/>
      <c r="J99" s="728"/>
      <c r="K99" s="728"/>
      <c r="L99" s="728"/>
      <c r="M99" s="729"/>
      <c r="N99" s="2167"/>
      <c r="O99" s="2167"/>
      <c r="P99" s="2166"/>
      <c r="Q99" s="2159"/>
      <c r="R99" s="2146"/>
      <c r="S99" s="2146"/>
      <c r="T99" s="2146"/>
      <c r="U99" s="2146"/>
      <c r="V99" s="2146"/>
      <c r="W99" s="2146"/>
      <c r="X99" s="2146"/>
      <c r="Y99" s="2146"/>
      <c r="Z99" s="2146"/>
      <c r="AA99" s="2146"/>
      <c r="AB99" s="2146"/>
      <c r="AC99" s="2146"/>
    </row>
    <row r="100" spans="1:29" ht="15" thickTop="1">
      <c r="A100" s="666" t="s">
        <v>552</v>
      </c>
      <c r="B100" s="667" t="s">
        <v>747</v>
      </c>
      <c r="C100" s="3198" t="s">
        <v>3269</v>
      </c>
      <c r="D100" s="3198" t="s">
        <v>3271</v>
      </c>
      <c r="E100" s="3198" t="s">
        <v>3272</v>
      </c>
      <c r="F100" s="600"/>
      <c r="G100" s="600"/>
      <c r="H100" s="600"/>
      <c r="I100" s="600"/>
      <c r="J100" s="600"/>
      <c r="K100" s="668"/>
      <c r="L100" s="669"/>
      <c r="M100" s="670"/>
      <c r="N100" s="2165"/>
      <c r="O100" s="2165"/>
      <c r="P100" s="2166"/>
      <c r="Q100" s="2159"/>
      <c r="R100" s="2146"/>
      <c r="S100" s="2146"/>
      <c r="T100" s="2146"/>
      <c r="U100" s="2146"/>
      <c r="V100" s="2146"/>
      <c r="W100" s="2146"/>
      <c r="X100" s="2146"/>
      <c r="Y100" s="2146"/>
      <c r="Z100" s="2146"/>
      <c r="AA100" s="2146"/>
      <c r="AB100" s="2146"/>
      <c r="AC100" s="2146"/>
    </row>
    <row r="101" spans="1:29" ht="15.75" thickBot="1">
      <c r="A101" s="671"/>
      <c r="B101" s="680"/>
      <c r="C101" s="681">
        <v>100</v>
      </c>
      <c r="D101" s="681">
        <f t="shared" ref="D101:M101" si="22">C101-$K32</f>
        <v>90</v>
      </c>
      <c r="E101" s="681">
        <f t="shared" si="22"/>
        <v>80</v>
      </c>
      <c r="F101" s="681">
        <f t="shared" si="22"/>
        <v>70</v>
      </c>
      <c r="G101" s="681">
        <f t="shared" si="22"/>
        <v>60</v>
      </c>
      <c r="H101" s="681">
        <f t="shared" si="22"/>
        <v>50</v>
      </c>
      <c r="I101" s="681">
        <f t="shared" si="22"/>
        <v>40</v>
      </c>
      <c r="J101" s="681">
        <f t="shared" si="22"/>
        <v>30</v>
      </c>
      <c r="K101" s="681">
        <f t="shared" si="22"/>
        <v>20</v>
      </c>
      <c r="L101" s="681">
        <f t="shared" si="22"/>
        <v>10</v>
      </c>
      <c r="M101" s="681">
        <f t="shared" si="22"/>
        <v>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71"/>
      <c r="B102" s="675" t="s">
        <v>748</v>
      </c>
      <c r="C102" s="710" t="str">
        <f>C103&amp;"(含)"&amp;"-"&amp;D103</f>
        <v>0(含)-500000</v>
      </c>
      <c r="D102" s="710" t="str">
        <f t="shared" ref="D102:L102" si="23">D103&amp;"(含)"&amp;"-"&amp;E103</f>
        <v>500000(含)-1000000</v>
      </c>
      <c r="E102" s="710" t="str">
        <f t="shared" si="23"/>
        <v>1000000(含)-1500000</v>
      </c>
      <c r="F102" s="710" t="str">
        <f t="shared" si="23"/>
        <v>1500000(含)-2000000</v>
      </c>
      <c r="G102" s="710" t="str">
        <f t="shared" si="23"/>
        <v>2000000(含)-</v>
      </c>
      <c r="H102" s="710" t="str">
        <f t="shared" si="23"/>
        <v>(含)-</v>
      </c>
      <c r="I102" s="710" t="str">
        <f t="shared" si="23"/>
        <v>(含)-</v>
      </c>
      <c r="J102" s="710" t="str">
        <f t="shared" si="23"/>
        <v>(含)-</v>
      </c>
      <c r="K102" s="710" t="str">
        <f t="shared" si="23"/>
        <v>(含)-</v>
      </c>
      <c r="L102" s="710" t="str">
        <f t="shared" si="23"/>
        <v>(含)-</v>
      </c>
      <c r="M102" s="710"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30"/>
      <c r="B103" s="731"/>
      <c r="C103" s="732">
        <v>0</v>
      </c>
      <c r="D103" s="732">
        <v>500000</v>
      </c>
      <c r="E103" s="732">
        <v>1000000</v>
      </c>
      <c r="F103" s="732">
        <v>1500000</v>
      </c>
      <c r="G103" s="732">
        <v>2000000</v>
      </c>
      <c r="H103" s="732"/>
      <c r="I103" s="732"/>
      <c r="J103" s="733"/>
      <c r="K103" s="733"/>
      <c r="L103" s="734"/>
      <c r="M103" s="735"/>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9"/>
      <c r="B104" s="680"/>
      <c r="C104" s="694">
        <v>100</v>
      </c>
      <c r="D104" s="673">
        <v>101</v>
      </c>
      <c r="E104" s="673">
        <v>102</v>
      </c>
      <c r="F104" s="673">
        <v>103</v>
      </c>
      <c r="G104" s="673">
        <v>104</v>
      </c>
      <c r="H104" s="673"/>
      <c r="I104" s="673"/>
      <c r="J104" s="673"/>
      <c r="K104" s="673"/>
      <c r="L104" s="673"/>
      <c r="M104" s="673"/>
      <c r="N104" s="2167"/>
      <c r="O104" s="2167"/>
      <c r="P104" s="2169"/>
      <c r="Q104" s="2170"/>
      <c r="R104" s="2171"/>
      <c r="S104" s="2171"/>
      <c r="T104" s="2171"/>
      <c r="U104" s="2171"/>
      <c r="V104" s="2171"/>
      <c r="W104" s="2171"/>
      <c r="X104" s="2171"/>
      <c r="Y104" s="2171"/>
      <c r="Z104" s="2171"/>
      <c r="AA104" s="2171"/>
      <c r="AB104" s="2171"/>
      <c r="AC104" s="2171"/>
    </row>
    <row r="105" spans="1:29" ht="15" thickTop="1">
      <c r="A105" s="737"/>
      <c r="B105" s="675" t="s">
        <v>749</v>
      </c>
      <c r="C105" s="3199" t="s">
        <v>3250</v>
      </c>
      <c r="D105" s="690"/>
      <c r="E105" s="720"/>
      <c r="F105" s="720"/>
      <c r="G105" s="720"/>
      <c r="H105" s="720"/>
      <c r="I105" s="720"/>
      <c r="J105" s="720"/>
      <c r="K105" s="721"/>
      <c r="L105" s="722"/>
      <c r="M105" s="723"/>
      <c r="N105" s="2165"/>
      <c r="O105" s="2165"/>
      <c r="P105" s="2166"/>
      <c r="Q105" s="2159"/>
      <c r="R105" s="2146"/>
      <c r="S105" s="2146"/>
      <c r="T105" s="2146"/>
      <c r="U105" s="2146"/>
      <c r="V105" s="2146"/>
      <c r="W105" s="2146"/>
      <c r="X105" s="2146"/>
      <c r="Y105" s="2146"/>
      <c r="Z105" s="2146"/>
      <c r="AA105" s="2146"/>
      <c r="AB105" s="2146"/>
      <c r="AC105" s="2146"/>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7"/>
      <c r="B107" s="675" t="s">
        <v>750</v>
      </c>
      <c r="C107" s="3200" t="s">
        <v>3252</v>
      </c>
      <c r="D107" s="720"/>
      <c r="E107" s="720"/>
      <c r="F107" s="720"/>
      <c r="G107" s="720"/>
      <c r="H107" s="720"/>
      <c r="I107" s="720"/>
      <c r="J107" s="720"/>
      <c r="K107" s="721"/>
      <c r="L107" s="722"/>
      <c r="M107" s="723"/>
      <c r="N107" s="2165"/>
      <c r="O107" s="2165"/>
      <c r="P107" s="2166"/>
      <c r="Q107" s="2159"/>
      <c r="R107" s="2146"/>
      <c r="S107" s="2146"/>
      <c r="T107" s="2146"/>
      <c r="U107" s="2146"/>
      <c r="V107" s="2146"/>
      <c r="W107" s="2146"/>
      <c r="X107" s="2146"/>
      <c r="Y107" s="2146"/>
      <c r="Z107" s="2146"/>
      <c r="AA107" s="2146"/>
      <c r="AB107" s="2146"/>
      <c r="AC107" s="2146"/>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7"/>
      <c r="B109" s="675" t="s">
        <v>751</v>
      </c>
      <c r="C109" s="3199" t="s">
        <v>3254</v>
      </c>
      <c r="D109" s="690"/>
      <c r="E109" s="690"/>
      <c r="F109" s="720"/>
      <c r="G109" s="720"/>
      <c r="H109" s="720"/>
      <c r="I109" s="720"/>
      <c r="J109" s="720"/>
      <c r="K109" s="721"/>
      <c r="L109" s="722"/>
      <c r="M109" s="723"/>
      <c r="N109" s="2165"/>
      <c r="O109" s="2165"/>
      <c r="P109" s="2166"/>
      <c r="Q109" s="2159"/>
      <c r="R109" s="2146"/>
      <c r="S109" s="2146"/>
      <c r="T109" s="2146"/>
      <c r="U109" s="2146"/>
      <c r="V109" s="2146"/>
      <c r="W109" s="2146"/>
      <c r="X109" s="2146"/>
      <c r="Y109" s="2146"/>
      <c r="Z109" s="2146"/>
      <c r="AA109" s="2146"/>
      <c r="AB109" s="2146"/>
      <c r="AC109" s="2146"/>
    </row>
    <row r="110" spans="1:29" ht="15.75" thickBot="1">
      <c r="A110" s="671"/>
      <c r="B110" s="680"/>
      <c r="C110" s="681">
        <v>100</v>
      </c>
      <c r="D110" s="681">
        <f t="shared" ref="D110:M110" si="26">C110-$K36</f>
        <v>100</v>
      </c>
      <c r="E110" s="681">
        <f t="shared" si="26"/>
        <v>100</v>
      </c>
      <c r="F110" s="681">
        <f t="shared" si="26"/>
        <v>100</v>
      </c>
      <c r="G110" s="681">
        <f t="shared" si="26"/>
        <v>100</v>
      </c>
      <c r="H110" s="681">
        <f t="shared" si="26"/>
        <v>100</v>
      </c>
      <c r="I110" s="681">
        <f t="shared" si="26"/>
        <v>100</v>
      </c>
      <c r="J110" s="681">
        <f t="shared" si="26"/>
        <v>100</v>
      </c>
      <c r="K110" s="681">
        <f t="shared" si="26"/>
        <v>100</v>
      </c>
      <c r="L110" s="681">
        <f t="shared" si="26"/>
        <v>100</v>
      </c>
      <c r="M110" s="681">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30"/>
      <c r="B111" s="675" t="s">
        <v>752</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30"/>
      <c r="B112" s="683"/>
      <c r="C112" s="895">
        <v>0.5</v>
      </c>
      <c r="D112" s="895">
        <v>0.6</v>
      </c>
      <c r="E112" s="895">
        <v>0.7</v>
      </c>
      <c r="F112" s="895">
        <v>0.8</v>
      </c>
      <c r="G112" s="895">
        <v>0.9</v>
      </c>
      <c r="H112" s="895">
        <v>1.0001</v>
      </c>
      <c r="I112" s="895"/>
      <c r="J112" s="896"/>
      <c r="K112" s="896"/>
      <c r="L112" s="897"/>
      <c r="M112" s="898"/>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68"/>
      <c r="O113" s="2168"/>
      <c r="P113" s="2169"/>
      <c r="Q113" s="2170"/>
      <c r="R113" s="2171"/>
      <c r="S113" s="2171"/>
      <c r="T113" s="2171"/>
      <c r="U113" s="2171"/>
      <c r="V113" s="2171"/>
      <c r="W113" s="2171"/>
      <c r="X113" s="2171"/>
      <c r="Y113" s="2171"/>
      <c r="Z113" s="2171"/>
      <c r="AA113" s="2171"/>
      <c r="AB113" s="2171"/>
      <c r="AC113" s="2171"/>
    </row>
    <row r="114" spans="1:29" ht="15" thickTop="1">
      <c r="A114" s="737"/>
      <c r="B114" s="675" t="s">
        <v>753</v>
      </c>
      <c r="C114" s="3199" t="s">
        <v>3256</v>
      </c>
      <c r="D114" s="690"/>
      <c r="E114" s="720"/>
      <c r="F114" s="720"/>
      <c r="G114" s="720"/>
      <c r="H114" s="720"/>
      <c r="I114" s="720"/>
      <c r="J114" s="720"/>
      <c r="K114" s="721"/>
      <c r="L114" s="722"/>
      <c r="M114" s="723"/>
      <c r="N114" s="2165"/>
      <c r="O114" s="2165"/>
      <c r="P114" s="2166"/>
      <c r="Q114" s="2159"/>
      <c r="R114" s="2146"/>
      <c r="S114" s="2146"/>
      <c r="T114" s="2146"/>
      <c r="U114" s="2146"/>
      <c r="V114" s="2146"/>
      <c r="W114" s="2146"/>
      <c r="X114" s="2146"/>
      <c r="Y114" s="2146"/>
      <c r="Z114" s="2146"/>
      <c r="AA114" s="2146"/>
      <c r="AB114" s="2146"/>
      <c r="AC114" s="2146"/>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7"/>
      <c r="B116" s="1897" t="s">
        <v>2558</v>
      </c>
      <c r="C116" s="3199" t="s">
        <v>3258</v>
      </c>
      <c r="D116" s="690"/>
      <c r="E116" s="690"/>
      <c r="F116" s="690"/>
      <c r="G116" s="690"/>
      <c r="H116" s="720"/>
      <c r="I116" s="720"/>
      <c r="J116" s="720"/>
      <c r="K116" s="721"/>
      <c r="L116" s="722"/>
      <c r="M116" s="723"/>
      <c r="N116" s="2165"/>
      <c r="O116" s="2165"/>
      <c r="P116" s="2166"/>
      <c r="Q116" s="2159"/>
      <c r="R116" s="2146"/>
      <c r="S116" s="2146"/>
      <c r="T116" s="2146"/>
      <c r="U116" s="2146"/>
      <c r="V116" s="2146"/>
      <c r="W116" s="2146"/>
      <c r="X116" s="2146"/>
      <c r="Y116" s="2146"/>
      <c r="Z116" s="2146"/>
      <c r="AA116" s="2146"/>
      <c r="AB116" s="2146"/>
      <c r="AC116" s="2146"/>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67"/>
      <c r="O117" s="2167"/>
      <c r="P117" s="2166"/>
      <c r="Q117" s="2159"/>
      <c r="R117" s="2146"/>
      <c r="S117" s="2146"/>
      <c r="T117" s="2146"/>
      <c r="U117" s="2146"/>
      <c r="V117" s="2146"/>
      <c r="W117" s="2146"/>
      <c r="X117" s="2146"/>
      <c r="Y117" s="2146"/>
      <c r="Z117" s="2146"/>
      <c r="AA117" s="2146"/>
      <c r="AB117" s="2146"/>
      <c r="AC117" s="2146"/>
    </row>
    <row r="118" spans="1:29" ht="15" thickTop="1">
      <c r="A118" s="737"/>
      <c r="B118" s="675" t="s">
        <v>754</v>
      </c>
      <c r="C118" s="720"/>
      <c r="D118" s="720"/>
      <c r="E118" s="720"/>
      <c r="F118" s="720"/>
      <c r="G118" s="720"/>
      <c r="H118" s="720"/>
      <c r="I118" s="720"/>
      <c r="J118" s="720"/>
      <c r="K118" s="721"/>
      <c r="L118" s="722"/>
      <c r="M118" s="723"/>
      <c r="N118" s="2165"/>
      <c r="O118" s="2165"/>
      <c r="P118" s="2166"/>
      <c r="Q118" s="2159"/>
      <c r="R118" s="2146"/>
      <c r="S118" s="2146"/>
      <c r="T118" s="2146"/>
      <c r="U118" s="2146"/>
      <c r="V118" s="2146"/>
      <c r="W118" s="2146"/>
      <c r="X118" s="2146"/>
      <c r="Y118" s="2146"/>
      <c r="Z118" s="2146"/>
      <c r="AA118" s="2146"/>
      <c r="AB118" s="2146"/>
      <c r="AC118" s="2146"/>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30"/>
      <c r="B120" s="675" t="s">
        <v>733</v>
      </c>
      <c r="C120" s="690"/>
      <c r="D120" s="690"/>
      <c r="E120" s="690"/>
      <c r="F120" s="690"/>
      <c r="G120" s="690"/>
      <c r="H120" s="690"/>
      <c r="I120" s="690"/>
      <c r="J120" s="690"/>
      <c r="K120" s="690"/>
      <c r="L120" s="891"/>
      <c r="M120" s="892"/>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9"/>
      <c r="B121" s="672"/>
      <c r="C121" s="694"/>
      <c r="D121" s="673"/>
      <c r="E121" s="673"/>
      <c r="F121" s="673"/>
      <c r="G121" s="673"/>
      <c r="H121" s="673"/>
      <c r="I121" s="673"/>
      <c r="J121" s="673"/>
      <c r="K121" s="673"/>
      <c r="L121" s="673"/>
      <c r="M121" s="673"/>
      <c r="N121" s="2168"/>
      <c r="O121" s="2168"/>
      <c r="P121" s="2169"/>
      <c r="Q121" s="2170"/>
      <c r="R121" s="2171"/>
      <c r="S121" s="2171"/>
      <c r="T121" s="2171"/>
      <c r="U121" s="2171"/>
      <c r="V121" s="2171"/>
      <c r="W121" s="2171"/>
      <c r="X121" s="2171"/>
      <c r="Y121" s="2171"/>
      <c r="Z121" s="2171"/>
      <c r="AA121" s="2171"/>
      <c r="AB121" s="2171"/>
      <c r="AC121" s="2171"/>
    </row>
    <row r="122" spans="1:29" ht="15" thickTop="1">
      <c r="A122" s="737"/>
      <c r="B122" s="675" t="s">
        <v>755</v>
      </c>
      <c r="C122" s="3199" t="s">
        <v>3254</v>
      </c>
      <c r="D122" s="3199" t="s">
        <v>3266</v>
      </c>
      <c r="E122" s="3199" t="s">
        <v>3267</v>
      </c>
      <c r="F122" s="720"/>
      <c r="G122" s="720"/>
      <c r="H122" s="720"/>
      <c r="I122" s="720"/>
      <c r="J122" s="720"/>
      <c r="K122" s="721"/>
      <c r="L122" s="722"/>
      <c r="M122" s="723"/>
      <c r="N122" s="2165"/>
      <c r="O122" s="2165"/>
      <c r="P122" s="2166"/>
      <c r="Q122" s="2159"/>
      <c r="R122" s="2146"/>
      <c r="S122" s="2146"/>
      <c r="T122" s="2146"/>
      <c r="U122" s="2146"/>
      <c r="V122" s="2146"/>
      <c r="W122" s="2146"/>
      <c r="X122" s="2146"/>
      <c r="Y122" s="2146"/>
      <c r="Z122" s="2146"/>
      <c r="AA122" s="2146"/>
      <c r="AB122" s="2146"/>
      <c r="AC122" s="2146"/>
    </row>
    <row r="123" spans="1:29" ht="15.75" thickBot="1">
      <c r="A123" s="671"/>
      <c r="B123" s="680"/>
      <c r="C123" s="681">
        <v>100</v>
      </c>
      <c r="D123" s="681">
        <f t="shared" ref="D123:M123" si="29">C123-$K42</f>
        <v>95</v>
      </c>
      <c r="E123" s="681">
        <f t="shared" si="29"/>
        <v>90</v>
      </c>
      <c r="F123" s="681">
        <f t="shared" si="29"/>
        <v>85</v>
      </c>
      <c r="G123" s="681">
        <f t="shared" si="29"/>
        <v>80</v>
      </c>
      <c r="H123" s="681">
        <f t="shared" si="29"/>
        <v>75</v>
      </c>
      <c r="I123" s="681">
        <f t="shared" si="29"/>
        <v>70</v>
      </c>
      <c r="J123" s="681">
        <f t="shared" si="29"/>
        <v>65</v>
      </c>
      <c r="K123" s="681">
        <f t="shared" si="29"/>
        <v>60</v>
      </c>
      <c r="L123" s="681">
        <f t="shared" si="29"/>
        <v>55</v>
      </c>
      <c r="M123" s="681">
        <f t="shared" si="29"/>
        <v>50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7"/>
      <c r="B124" s="675" t="s">
        <v>756</v>
      </c>
      <c r="C124" s="710" t="s">
        <v>580</v>
      </c>
      <c r="D124" s="710" t="s">
        <v>581</v>
      </c>
      <c r="E124" s="710" t="s">
        <v>582</v>
      </c>
      <c r="F124" s="710" t="s">
        <v>583</v>
      </c>
      <c r="G124" s="710" t="s">
        <v>584</v>
      </c>
      <c r="H124" s="676"/>
      <c r="I124" s="676"/>
      <c r="J124" s="676"/>
      <c r="K124" s="677"/>
      <c r="L124" s="678"/>
      <c r="M124" s="679"/>
      <c r="N124" s="2165"/>
      <c r="O124" s="2165"/>
      <c r="P124" s="2169"/>
      <c r="Q124" s="2159"/>
      <c r="R124" s="2146"/>
      <c r="S124" s="2146"/>
      <c r="T124" s="2146"/>
      <c r="U124" s="2146"/>
      <c r="V124" s="2146"/>
      <c r="W124" s="2146"/>
      <c r="X124" s="2146"/>
      <c r="Y124" s="2146"/>
      <c r="Z124" s="2146"/>
      <c r="AA124" s="2146"/>
      <c r="AB124" s="2146"/>
      <c r="AC124" s="2146"/>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7"/>
      <c r="O125" s="2167"/>
      <c r="P125" s="2166"/>
      <c r="Q125" s="2159"/>
      <c r="R125" s="2146"/>
      <c r="S125" s="2146"/>
      <c r="T125" s="2146"/>
      <c r="U125" s="2146"/>
      <c r="V125" s="2146"/>
      <c r="W125" s="2146"/>
      <c r="X125" s="2146"/>
      <c r="Y125" s="2146"/>
      <c r="Z125" s="2146"/>
      <c r="AA125" s="2146"/>
      <c r="AB125" s="2146"/>
      <c r="AC125" s="2146"/>
    </row>
    <row r="126" spans="1:29" s="1339" customFormat="1" ht="15" hidden="1" thickTop="1">
      <c r="A126" s="730"/>
      <c r="B126" s="675">
        <f>B44</f>
        <v>0</v>
      </c>
      <c r="C126" s="690"/>
      <c r="D126" s="690"/>
      <c r="E126" s="690"/>
      <c r="F126" s="690"/>
      <c r="G126" s="690"/>
      <c r="H126" s="691"/>
      <c r="I126" s="691"/>
      <c r="J126" s="691"/>
      <c r="K126" s="691"/>
      <c r="L126" s="692"/>
      <c r="M126" s="693"/>
      <c r="N126" s="2168"/>
      <c r="O126" s="2168"/>
      <c r="P126" s="2169"/>
      <c r="Q126" s="2170"/>
      <c r="R126" s="2171"/>
      <c r="S126" s="2171"/>
      <c r="T126" s="2171"/>
      <c r="U126" s="2171"/>
      <c r="V126" s="2171"/>
      <c r="W126" s="2171"/>
      <c r="X126" s="2171"/>
      <c r="Y126" s="2171"/>
      <c r="Z126" s="2171"/>
      <c r="AA126" s="2171"/>
      <c r="AB126" s="2171"/>
      <c r="AC126" s="2171"/>
    </row>
    <row r="127" spans="1:29" s="1339" customFormat="1" ht="16.5" hidden="1" thickTop="1" thickBot="1">
      <c r="A127" s="689"/>
      <c r="B127" s="680"/>
      <c r="C127" s="694"/>
      <c r="D127" s="673"/>
      <c r="E127" s="673"/>
      <c r="F127" s="673"/>
      <c r="G127" s="694"/>
      <c r="H127" s="695"/>
      <c r="I127" s="695"/>
      <c r="J127" s="695"/>
      <c r="K127" s="695"/>
      <c r="L127" s="695"/>
      <c r="M127" s="696"/>
      <c r="N127" s="2168"/>
      <c r="O127" s="2168"/>
      <c r="P127" s="2169"/>
      <c r="Q127" s="2170"/>
      <c r="R127" s="2171"/>
      <c r="S127" s="2171"/>
      <c r="T127" s="2171"/>
      <c r="U127" s="2171"/>
      <c r="V127" s="2171"/>
      <c r="W127" s="2171"/>
      <c r="X127" s="2171"/>
      <c r="Y127" s="2171"/>
      <c r="Z127" s="2171"/>
      <c r="AA127" s="2171"/>
      <c r="AB127" s="2171"/>
      <c r="AC127" s="2171"/>
    </row>
    <row r="128" spans="1:29" ht="15" hidden="1" thickTop="1">
      <c r="A128" s="737"/>
      <c r="B128" s="675">
        <f>B45</f>
        <v>0</v>
      </c>
      <c r="C128" s="690"/>
      <c r="D128" s="690"/>
      <c r="E128" s="690"/>
      <c r="F128" s="690"/>
      <c r="G128" s="720"/>
      <c r="H128" s="720"/>
      <c r="I128" s="720"/>
      <c r="J128" s="720"/>
      <c r="K128" s="721"/>
      <c r="L128" s="722"/>
      <c r="M128" s="723"/>
      <c r="N128" s="2165"/>
      <c r="O128" s="2165"/>
      <c r="P128" s="2166"/>
      <c r="Q128" s="2159"/>
      <c r="R128" s="2146"/>
      <c r="S128" s="2146"/>
      <c r="T128" s="2146"/>
      <c r="U128" s="2146"/>
      <c r="V128" s="2146"/>
      <c r="W128" s="2146"/>
      <c r="X128" s="2146"/>
      <c r="Y128" s="2146"/>
      <c r="Z128" s="2146"/>
      <c r="AA128" s="2146"/>
      <c r="AB128" s="2146"/>
      <c r="AC128" s="2146"/>
    </row>
    <row r="129" spans="1:29" ht="16.5" hidden="1" thickTop="1" thickBot="1">
      <c r="A129" s="671"/>
      <c r="B129" s="680"/>
      <c r="C129" s="694"/>
      <c r="D129" s="694"/>
      <c r="E129" s="694"/>
      <c r="F129" s="694"/>
      <c r="G129" s="673"/>
      <c r="H129" s="673"/>
      <c r="I129" s="673"/>
      <c r="J129" s="673"/>
      <c r="K129" s="673"/>
      <c r="L129" s="673"/>
      <c r="M129" s="674"/>
      <c r="N129" s="2167"/>
      <c r="O129" s="2167"/>
      <c r="P129" s="2166"/>
      <c r="Q129" s="2159"/>
      <c r="R129" s="2146"/>
      <c r="S129" s="2146"/>
      <c r="T129" s="2146"/>
      <c r="U129" s="2146"/>
      <c r="V129" s="2146"/>
      <c r="W129" s="2146"/>
      <c r="X129" s="2146"/>
      <c r="Y129" s="2146"/>
      <c r="Z129" s="2146"/>
      <c r="AA129" s="2146"/>
      <c r="AB129" s="2146"/>
      <c r="AC129" s="2146"/>
    </row>
    <row r="130" spans="1:29" ht="15" hidden="1" thickTop="1">
      <c r="A130" s="737"/>
      <c r="B130" s="683">
        <f>B46</f>
        <v>0</v>
      </c>
      <c r="C130" s="690"/>
      <c r="D130" s="690"/>
      <c r="E130" s="690"/>
      <c r="F130" s="690"/>
      <c r="G130" s="724"/>
      <c r="H130" s="724"/>
      <c r="I130" s="724"/>
      <c r="J130" s="724"/>
      <c r="K130" s="663"/>
      <c r="L130" s="664"/>
      <c r="M130" s="727"/>
      <c r="N130" s="2165"/>
      <c r="O130" s="2165"/>
      <c r="P130" s="2166"/>
      <c r="Q130" s="2159"/>
      <c r="R130" s="2146"/>
      <c r="S130" s="2146"/>
      <c r="T130" s="2146"/>
      <c r="U130" s="2146"/>
      <c r="V130" s="2146"/>
      <c r="W130" s="2146"/>
      <c r="X130" s="2146"/>
      <c r="Y130" s="2146"/>
      <c r="Z130" s="2146"/>
      <c r="AA130" s="2146"/>
      <c r="AB130" s="2146"/>
      <c r="AC130" s="2146"/>
    </row>
    <row r="131" spans="1:29" ht="16.5" hidden="1" thickTop="1" thickBot="1">
      <c r="A131" s="894"/>
      <c r="B131" s="701"/>
      <c r="C131" s="702"/>
      <c r="D131" s="702"/>
      <c r="E131" s="702"/>
      <c r="F131" s="702"/>
      <c r="G131" s="728"/>
      <c r="H131" s="728"/>
      <c r="I131" s="728"/>
      <c r="J131" s="728"/>
      <c r="K131" s="728"/>
      <c r="L131" s="728"/>
      <c r="M131" s="729"/>
      <c r="N131" s="2167"/>
      <c r="O131" s="2167"/>
      <c r="P131" s="2166"/>
      <c r="Q131" s="2159"/>
      <c r="R131" s="2146"/>
      <c r="S131" s="2146"/>
      <c r="T131" s="2146"/>
      <c r="U131" s="2146"/>
      <c r="V131" s="2146"/>
      <c r="W131" s="2146"/>
      <c r="X131" s="2146"/>
      <c r="Y131" s="2146"/>
      <c r="Z131" s="2146"/>
      <c r="AA131" s="2146"/>
      <c r="AB131" s="2146"/>
      <c r="AC131" s="2146"/>
    </row>
    <row r="132" spans="1:29" ht="15" thickTop="1">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2265</v>
      </c>
      <c r="H138" s="1929" t="s">
        <v>2266</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8">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8">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8">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76242平方米。根据《建设工程规划许可证》[]、《出让合同》[]，估价对象规划建筑面积为114363平方米。</v>
      </c>
    </row>
    <row r="7" spans="1:4" ht="93.75">
      <c r="A7" s="2900" t="s">
        <v>2751</v>
      </c>
    </row>
    <row r="8" spans="1:4" ht="18.75">
      <c r="A8" s="1795" t="s">
        <v>1907</v>
      </c>
    </row>
    <row r="9" spans="1:4" ht="75">
      <c r="A9" s="1797" t="str">
        <f>IF(项目基本情况!B8="抵押",IF(项目基本情况!B5=项目基本情况!B6,定义!C51,定义!B51),定义!D51)</f>
        <v>委托估价方在向金融机构（中诚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2017年11月13日（评估专业人员勘察现场之日）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根据《国有土地使用证》[]，估价对象（分摊）出让国有建设用地使用权面积为76242平方米。根据《建设工程规划许可证》[]、《出让合同》[]，估价对象规划建筑面积为114363平方米。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902" t="s">
        <v>2752</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2017年11月13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5" zoomScale="80" zoomScaleNormal="80" workbookViewId="0">
      <selection activeCell="F15" sqref="F15"/>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719</v>
      </c>
      <c r="B1" s="2648" t="s">
        <v>720</v>
      </c>
      <c r="C1" s="2649" t="s">
        <v>721</v>
      </c>
      <c r="D1" s="2650" t="s">
        <v>3145</v>
      </c>
      <c r="E1" s="2651"/>
      <c r="F1" s="2834" t="s">
        <v>3239</v>
      </c>
      <c r="G1" s="1601" t="s">
        <v>722</v>
      </c>
      <c r="H1" s="509"/>
      <c r="I1" s="509"/>
      <c r="J1" s="509"/>
      <c r="K1" s="510"/>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6" t="s">
        <v>467</v>
      </c>
      <c r="B2" s="2647">
        <f>ROUND(B3*D3/10000,0)</f>
        <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12" t="s">
        <v>520</v>
      </c>
      <c r="B3" s="853">
        <f>C49</f>
        <v>15402</v>
      </c>
      <c r="C3" s="854" t="s">
        <v>723</v>
      </c>
      <c r="D3" s="853">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5" t="s">
        <v>522</v>
      </c>
      <c r="B4" s="516"/>
      <c r="C4" s="3523" t="s">
        <v>523</v>
      </c>
      <c r="D4" s="3524"/>
      <c r="E4" s="3548" t="s">
        <v>524</v>
      </c>
      <c r="F4" s="3549"/>
      <c r="G4" s="3523" t="s">
        <v>525</v>
      </c>
      <c r="H4" s="3524"/>
      <c r="I4" s="3523" t="s">
        <v>526</v>
      </c>
      <c r="J4" s="3524"/>
      <c r="K4" s="855" t="s">
        <v>527</v>
      </c>
      <c r="L4" s="2134"/>
      <c r="M4" s="2135"/>
      <c r="N4" s="2135"/>
      <c r="O4" s="2135"/>
      <c r="P4" s="3525" t="s">
        <v>528</v>
      </c>
      <c r="Q4" s="3526"/>
      <c r="R4" s="3511" t="s">
        <v>524</v>
      </c>
      <c r="S4" s="3512"/>
      <c r="T4" s="3511" t="s">
        <v>525</v>
      </c>
      <c r="U4" s="3512"/>
      <c r="V4" s="3531" t="s">
        <v>526</v>
      </c>
      <c r="W4" s="3531"/>
      <c r="X4" s="3179"/>
      <c r="Y4" s="3511" t="s">
        <v>528</v>
      </c>
      <c r="Z4" s="3512"/>
      <c r="AA4" s="3506" t="s">
        <v>524</v>
      </c>
      <c r="AB4" s="3506" t="s">
        <v>525</v>
      </c>
      <c r="AC4" s="3506" t="s">
        <v>526</v>
      </c>
    </row>
    <row r="5" spans="1:29" ht="15">
      <c r="A5" s="518"/>
      <c r="B5" s="519"/>
      <c r="C5" s="3534" t="s">
        <v>2924</v>
      </c>
      <c r="D5" s="3535"/>
      <c r="E5" s="3617" t="s">
        <v>3244</v>
      </c>
      <c r="F5" s="3551"/>
      <c r="G5" s="3618" t="s">
        <v>3241</v>
      </c>
      <c r="H5" s="3535"/>
      <c r="I5" s="3618" t="s">
        <v>3240</v>
      </c>
      <c r="J5" s="3535"/>
      <c r="K5" s="856"/>
      <c r="L5" s="2134"/>
      <c r="M5" s="2135"/>
      <c r="N5" s="2135"/>
      <c r="O5" s="2135"/>
      <c r="P5" s="3527"/>
      <c r="Q5" s="3528"/>
      <c r="R5" s="3513"/>
      <c r="S5" s="3514"/>
      <c r="T5" s="3513"/>
      <c r="U5" s="3514"/>
      <c r="V5" s="3531"/>
      <c r="W5" s="3531"/>
      <c r="X5" s="3179"/>
      <c r="Y5" s="3513"/>
      <c r="Z5" s="3514"/>
      <c r="AA5" s="3507"/>
      <c r="AB5" s="3507"/>
      <c r="AC5" s="3507"/>
    </row>
    <row r="6" spans="1:29" ht="27" customHeight="1" thickBot="1">
      <c r="A6" s="520"/>
      <c r="B6" s="521"/>
      <c r="C6" s="3532" t="s">
        <v>2928</v>
      </c>
      <c r="D6" s="3533"/>
      <c r="E6" s="3619" t="s">
        <v>3262</v>
      </c>
      <c r="F6" s="3553"/>
      <c r="G6" s="3538" t="s">
        <v>3263</v>
      </c>
      <c r="H6" s="3533"/>
      <c r="I6" s="3538" t="s">
        <v>3264</v>
      </c>
      <c r="J6" s="3533"/>
      <c r="K6" s="856" t="s">
        <v>529</v>
      </c>
      <c r="L6" s="2134"/>
      <c r="M6" s="2135"/>
      <c r="N6" s="2135"/>
      <c r="O6" s="2135"/>
      <c r="P6" s="3529"/>
      <c r="Q6" s="3530"/>
      <c r="R6" s="3513"/>
      <c r="S6" s="3514"/>
      <c r="T6" s="3515"/>
      <c r="U6" s="3516"/>
      <c r="V6" s="3531"/>
      <c r="W6" s="3531"/>
      <c r="X6" s="3179"/>
      <c r="Y6" s="3515"/>
      <c r="Z6" s="3516"/>
      <c r="AA6" s="3508"/>
      <c r="AB6" s="3508"/>
      <c r="AC6" s="3508"/>
    </row>
    <row r="7" spans="1:29" s="1220" customFormat="1" ht="15.75" thickBot="1">
      <c r="A7" s="2939"/>
      <c r="B7" s="2946" t="s">
        <v>530</v>
      </c>
      <c r="C7" s="522">
        <f>'数据-取费表'!B2</f>
        <v>43052</v>
      </c>
      <c r="D7" s="523">
        <v>100</v>
      </c>
      <c r="E7" s="524">
        <v>43040</v>
      </c>
      <c r="F7" s="525">
        <f>SUMIF(58:58,YEAR(E7)&amp;"-"&amp;MONTH(E7),59:59)</f>
        <v>100</v>
      </c>
      <c r="G7" s="526">
        <f>E7</f>
        <v>43040</v>
      </c>
      <c r="H7" s="523">
        <f>SUMIF(58:58,YEAR(G7)&amp;"-"&amp;MONTH(G7),59:59)</f>
        <v>100</v>
      </c>
      <c r="I7" s="526">
        <f>G7</f>
        <v>43040</v>
      </c>
      <c r="J7" s="523">
        <f>SUMIF(58:58,YEAR(I7)&amp;"-"&amp;MONTH(I7),59:59)</f>
        <v>100</v>
      </c>
      <c r="K7" s="857"/>
      <c r="L7" s="2136"/>
      <c r="M7" s="2137"/>
      <c r="N7" s="2137"/>
      <c r="O7" s="2137"/>
      <c r="P7" s="3509" t="s">
        <v>531</v>
      </c>
      <c r="Q7" s="3518"/>
      <c r="R7" s="1568" t="s">
        <v>13</v>
      </c>
      <c r="S7" s="1569">
        <f t="shared" ref="S7:S15" si="0">F7</f>
        <v>100</v>
      </c>
      <c r="T7" s="1568" t="s">
        <v>13</v>
      </c>
      <c r="U7" s="1569">
        <f t="shared" ref="U7:U15" si="1">H7</f>
        <v>100</v>
      </c>
      <c r="V7" s="1568" t="s">
        <v>13</v>
      </c>
      <c r="W7" s="1569">
        <f t="shared" ref="W7:W15" si="2">J7</f>
        <v>100</v>
      </c>
      <c r="X7" s="1570"/>
      <c r="Y7" s="3509" t="s">
        <v>531</v>
      </c>
      <c r="Z7" s="3510"/>
      <c r="AA7" s="1571">
        <f>D7/F7</f>
        <v>1</v>
      </c>
      <c r="AB7" s="1571">
        <f>D7/H7</f>
        <v>1</v>
      </c>
      <c r="AC7" s="1571">
        <f>D7/J7</f>
        <v>1</v>
      </c>
    </row>
    <row r="8" spans="1:29" s="1220" customFormat="1" ht="15.75" thickBot="1">
      <c r="A8" s="2940"/>
      <c r="B8" s="2947" t="s">
        <v>532</v>
      </c>
      <c r="C8" s="528" t="s">
        <v>577</v>
      </c>
      <c r="D8" s="523">
        <v>100</v>
      </c>
      <c r="E8" s="858" t="s">
        <v>3023</v>
      </c>
      <c r="F8" s="525">
        <f>SUMIF(61:61,E8,62:62)-SUMIF(61:61,C8,62:62)+100</f>
        <v>100</v>
      </c>
      <c r="G8" s="858" t="s">
        <v>3023</v>
      </c>
      <c r="H8" s="523">
        <f>SUMIF(61:61,G8,62:62)-SUMIF(61:61,C8,62:62)+100</f>
        <v>100</v>
      </c>
      <c r="I8" s="858" t="s">
        <v>3023</v>
      </c>
      <c r="J8" s="523">
        <f>SUMIF(61:61,I8,62:62)-SUMIF(61:61,C8,62:62)+100</f>
        <v>100</v>
      </c>
      <c r="K8" s="857"/>
      <c r="L8" s="2136"/>
      <c r="M8" s="2137"/>
      <c r="N8" s="2137"/>
      <c r="O8" s="2137"/>
      <c r="P8" s="3509" t="s">
        <v>534</v>
      </c>
      <c r="Q8" s="3510"/>
      <c r="R8" s="1568" t="s">
        <v>13</v>
      </c>
      <c r="S8" s="1569">
        <f t="shared" si="0"/>
        <v>100</v>
      </c>
      <c r="T8" s="1568" t="s">
        <v>13</v>
      </c>
      <c r="U8" s="1569">
        <f t="shared" si="1"/>
        <v>100</v>
      </c>
      <c r="V8" s="1568" t="s">
        <v>13</v>
      </c>
      <c r="W8" s="1569">
        <f t="shared" si="2"/>
        <v>100</v>
      </c>
      <c r="X8" s="1570"/>
      <c r="Y8" s="3509" t="s">
        <v>534</v>
      </c>
      <c r="Z8" s="3510"/>
      <c r="AA8" s="1571">
        <f t="shared" ref="AA8:AA46" si="3">D8/F8</f>
        <v>1</v>
      </c>
      <c r="AB8" s="1571">
        <f t="shared" ref="AB8:AB46" si="4">D8/H8</f>
        <v>1</v>
      </c>
      <c r="AC8" s="1571">
        <f t="shared" ref="AC8:AC46" si="5">D8/J8</f>
        <v>1</v>
      </c>
    </row>
    <row r="9" spans="1:29" s="1220" customFormat="1" ht="15">
      <c r="A9" s="2941"/>
      <c r="B9" s="2948" t="s">
        <v>2759</v>
      </c>
      <c r="C9" s="3202" t="s">
        <v>3242</v>
      </c>
      <c r="D9" s="254">
        <v>100</v>
      </c>
      <c r="E9" s="860" t="s">
        <v>923</v>
      </c>
      <c r="F9" s="861">
        <f>SUMIF(63:63,E9,64:64)-SUMIF(63:63,C9,64:64)+100</f>
        <v>100</v>
      </c>
      <c r="G9" s="860" t="s">
        <v>923</v>
      </c>
      <c r="H9" s="254">
        <f>SUMIF(63:63,G9,64:64)-SUMIF(63:63,C9,64:64)+100</f>
        <v>100</v>
      </c>
      <c r="I9" s="860" t="s">
        <v>923</v>
      </c>
      <c r="J9" s="254">
        <f>SUMIF(63:63,I9,64:64)-SUMIF(63:63,C9,64:64)+100</f>
        <v>100</v>
      </c>
      <c r="K9" s="857"/>
      <c r="L9" s="2136"/>
      <c r="M9" s="2137"/>
      <c r="N9" s="2137"/>
      <c r="O9" s="2138"/>
      <c r="P9" s="3517" t="s">
        <v>536</v>
      </c>
      <c r="Q9" s="3176" t="str">
        <f t="shared" ref="Q9:Q15" si="6">B9</f>
        <v>用途</v>
      </c>
      <c r="R9" s="1568" t="s">
        <v>8</v>
      </c>
      <c r="S9" s="1569">
        <f t="shared" si="0"/>
        <v>100</v>
      </c>
      <c r="T9" s="1568" t="s">
        <v>8</v>
      </c>
      <c r="U9" s="1569">
        <f t="shared" si="1"/>
        <v>100</v>
      </c>
      <c r="V9" s="1568" t="s">
        <v>8</v>
      </c>
      <c r="W9" s="1569">
        <f t="shared" si="2"/>
        <v>100</v>
      </c>
      <c r="X9" s="1570"/>
      <c r="Y9" s="3474" t="s">
        <v>537</v>
      </c>
      <c r="Z9" s="3175" t="str">
        <f t="shared" ref="Z9:Z15" si="7">Q9</f>
        <v>用途</v>
      </c>
      <c r="AA9" s="1571">
        <f t="shared" si="3"/>
        <v>1</v>
      </c>
      <c r="AB9" s="1571">
        <f t="shared" si="4"/>
        <v>1</v>
      </c>
      <c r="AC9" s="1571">
        <f t="shared" si="5"/>
        <v>1</v>
      </c>
    </row>
    <row r="10" spans="1:29" s="1338" customFormat="1" ht="27">
      <c r="A10" s="2942"/>
      <c r="B10" s="2947" t="s">
        <v>2760</v>
      </c>
      <c r="C10" s="863" t="s">
        <v>3243</v>
      </c>
      <c r="D10" s="255">
        <v>100</v>
      </c>
      <c r="E10" s="864" t="s">
        <v>3243</v>
      </c>
      <c r="F10" s="865">
        <f>SUMIF(65:65,E10,66:66)-SUMIF(65:65,C10,66:66)+100</f>
        <v>100</v>
      </c>
      <c r="G10" s="864" t="s">
        <v>3243</v>
      </c>
      <c r="H10" s="255">
        <f>SUMIF(65:65,G10,66:66)-SUMIF(65:65,C10,66:66)+100</f>
        <v>100</v>
      </c>
      <c r="I10" s="864" t="s">
        <v>3243</v>
      </c>
      <c r="J10" s="255">
        <f>SUMIF(65:65,I10,66:66)-SUMIF(65:65,C10,66:66)+100</f>
        <v>100</v>
      </c>
      <c r="K10" s="866">
        <v>1</v>
      </c>
      <c r="L10" s="2139"/>
      <c r="M10" s="2179"/>
      <c r="N10" s="2179"/>
      <c r="O10" s="2140"/>
      <c r="P10" s="3517"/>
      <c r="Q10" s="3176" t="str">
        <f t="shared" si="6"/>
        <v>土地使用年限（年）</v>
      </c>
      <c r="R10" s="1568" t="s">
        <v>8</v>
      </c>
      <c r="S10" s="1569">
        <f t="shared" si="0"/>
        <v>100</v>
      </c>
      <c r="T10" s="1568" t="s">
        <v>8</v>
      </c>
      <c r="U10" s="1569">
        <f t="shared" si="1"/>
        <v>100</v>
      </c>
      <c r="V10" s="1568" t="s">
        <v>8</v>
      </c>
      <c r="W10" s="1569">
        <f t="shared" si="2"/>
        <v>100</v>
      </c>
      <c r="X10" s="1570"/>
      <c r="Y10" s="3474"/>
      <c r="Z10" s="3175" t="str">
        <f t="shared" si="7"/>
        <v>土地使用年限（年）</v>
      </c>
      <c r="AA10" s="1571">
        <f t="shared" si="3"/>
        <v>1</v>
      </c>
      <c r="AB10" s="1571">
        <f t="shared" si="4"/>
        <v>1</v>
      </c>
      <c r="AC10" s="1571">
        <f t="shared" si="5"/>
        <v>1</v>
      </c>
    </row>
    <row r="11" spans="1:29" ht="15.75" thickBot="1">
      <c r="A11" s="2943"/>
      <c r="B11" s="2947" t="s">
        <v>2761</v>
      </c>
      <c r="C11" s="536">
        <f>'数据-汇总表'!I6</f>
        <v>1.5</v>
      </c>
      <c r="D11" s="255">
        <v>100</v>
      </c>
      <c r="E11" s="537">
        <v>1</v>
      </c>
      <c r="F11" s="865">
        <f>LOOKUP(E11,68:68,69:69)-LOOKUP(C11,68:68,69:69)+100</f>
        <v>101</v>
      </c>
      <c r="G11" s="536">
        <v>0.35</v>
      </c>
      <c r="H11" s="255">
        <f>LOOKUP(G11,68:68,69:69)-LOOKUP(C11,68:68,69:69)+100</f>
        <v>103</v>
      </c>
      <c r="I11" s="536">
        <v>0.65</v>
      </c>
      <c r="J11" s="255">
        <f>LOOKUP(I11,68:68,69:69)-LOOKUP(C11,68:68,69:69)+100</f>
        <v>102</v>
      </c>
      <c r="K11" s="866">
        <v>1</v>
      </c>
      <c r="L11" s="2141"/>
      <c r="M11" s="2135"/>
      <c r="N11" s="2135"/>
      <c r="O11" s="2142"/>
      <c r="P11" s="3517"/>
      <c r="Q11" s="3176" t="str">
        <f t="shared" si="6"/>
        <v>容积率</v>
      </c>
      <c r="R11" s="1568" t="s">
        <v>11</v>
      </c>
      <c r="S11" s="1569">
        <f t="shared" si="0"/>
        <v>101</v>
      </c>
      <c r="T11" s="1568" t="s">
        <v>11</v>
      </c>
      <c r="U11" s="1569">
        <f t="shared" si="1"/>
        <v>103</v>
      </c>
      <c r="V11" s="1568" t="s">
        <v>11</v>
      </c>
      <c r="W11" s="1569">
        <f t="shared" si="2"/>
        <v>102</v>
      </c>
      <c r="X11" s="1570"/>
      <c r="Y11" s="3474"/>
      <c r="Z11" s="3175" t="str">
        <f t="shared" si="7"/>
        <v>容积率</v>
      </c>
      <c r="AA11" s="1571">
        <f t="shared" si="3"/>
        <v>0.99009900990099009</v>
      </c>
      <c r="AB11" s="1571">
        <f t="shared" si="4"/>
        <v>0.970873786407767</v>
      </c>
      <c r="AC11" s="1571">
        <f t="shared" si="5"/>
        <v>0.98039215686274506</v>
      </c>
    </row>
    <row r="12" spans="1:29" s="1220" customFormat="1" ht="15.75" hidden="1" thickBot="1">
      <c r="A12" s="2944"/>
      <c r="B12" s="2950"/>
      <c r="C12" s="531"/>
      <c r="D12" s="541">
        <v>100</v>
      </c>
      <c r="E12" s="531"/>
      <c r="F12" s="865">
        <f>SUMIF(70:70,E12,71:71)-SUMIF(70:70,C12,71:71)+100</f>
        <v>100</v>
      </c>
      <c r="G12" s="531"/>
      <c r="H12" s="255">
        <f>SUMIF(70:70,G12,71:71)-SUMIF(70:70,C12,71:71)+100</f>
        <v>100</v>
      </c>
      <c r="I12" s="531"/>
      <c r="J12" s="255">
        <f>SUMIF(70:70,I12,71:71)-SUMIF(70:70,C12,71:71)+100</f>
        <v>100</v>
      </c>
      <c r="K12" s="867"/>
      <c r="L12" s="2136"/>
      <c r="M12" s="2137"/>
      <c r="N12" s="2137"/>
      <c r="O12" s="2138"/>
      <c r="P12" s="3517"/>
      <c r="Q12" s="3176">
        <f t="shared" si="6"/>
        <v>0</v>
      </c>
      <c r="R12" s="1568" t="s">
        <v>11</v>
      </c>
      <c r="S12" s="1569">
        <f t="shared" si="0"/>
        <v>100</v>
      </c>
      <c r="T12" s="1568" t="s">
        <v>11</v>
      </c>
      <c r="U12" s="1569">
        <f t="shared" si="1"/>
        <v>100</v>
      </c>
      <c r="V12" s="1568" t="s">
        <v>11</v>
      </c>
      <c r="W12" s="1569">
        <f t="shared" si="2"/>
        <v>100</v>
      </c>
      <c r="X12" s="1570"/>
      <c r="Y12" s="3474"/>
      <c r="Z12" s="3175">
        <f t="shared" si="7"/>
        <v>0</v>
      </c>
      <c r="AA12" s="1571">
        <f>D12/F12</f>
        <v>1</v>
      </c>
      <c r="AB12" s="1571">
        <f>D12/H12</f>
        <v>1</v>
      </c>
      <c r="AC12" s="1571">
        <f>D12/J12</f>
        <v>1</v>
      </c>
    </row>
    <row r="13" spans="1:29" ht="15.75" hidden="1" thickBot="1">
      <c r="A13" s="2944"/>
      <c r="B13" s="2950"/>
      <c r="C13" s="542"/>
      <c r="D13" s="543">
        <v>100</v>
      </c>
      <c r="E13" s="542"/>
      <c r="F13" s="865">
        <f>SUMIF(72:72,E13,73:73)-SUMIF(72:72,C13,73:73)+100</f>
        <v>100</v>
      </c>
      <c r="G13" s="542"/>
      <c r="H13" s="543">
        <f>SUMIF(72:72,G13,73:73)-SUMIF(72:72,C13,73:73)+100</f>
        <v>100</v>
      </c>
      <c r="I13" s="542"/>
      <c r="J13" s="543">
        <f>SUMIF(72:72,I13,73:73)-SUMIF(72:72,C13,73:73)+100</f>
        <v>100</v>
      </c>
      <c r="K13" s="867"/>
      <c r="L13" s="2143"/>
      <c r="M13" s="2135"/>
      <c r="N13" s="2135"/>
      <c r="O13" s="2142"/>
      <c r="P13" s="3517"/>
      <c r="Q13" s="3176">
        <f t="shared" si="6"/>
        <v>0</v>
      </c>
      <c r="R13" s="1568" t="s">
        <v>11</v>
      </c>
      <c r="S13" s="1569">
        <f t="shared" si="0"/>
        <v>100</v>
      </c>
      <c r="T13" s="1568" t="s">
        <v>11</v>
      </c>
      <c r="U13" s="1569">
        <f t="shared" si="1"/>
        <v>100</v>
      </c>
      <c r="V13" s="1568" t="s">
        <v>11</v>
      </c>
      <c r="W13" s="1569">
        <f t="shared" si="2"/>
        <v>100</v>
      </c>
      <c r="X13" s="1570"/>
      <c r="Y13" s="3474"/>
      <c r="Z13" s="3175">
        <f t="shared" si="7"/>
        <v>0</v>
      </c>
      <c r="AA13" s="1571">
        <f t="shared" si="3"/>
        <v>1</v>
      </c>
      <c r="AB13" s="1571">
        <f t="shared" si="4"/>
        <v>1</v>
      </c>
      <c r="AC13" s="1571">
        <f t="shared" si="5"/>
        <v>1</v>
      </c>
    </row>
    <row r="14" spans="1:29" ht="15.75" hidden="1" thickBot="1">
      <c r="A14" s="2945"/>
      <c r="B14" s="2951"/>
      <c r="C14" s="548"/>
      <c r="D14" s="549">
        <v>100</v>
      </c>
      <c r="E14" s="548"/>
      <c r="F14" s="868">
        <f>SUMIF(74:74,E14,75:75)-SUMIF(74:74,C14,75:75)+100</f>
        <v>100</v>
      </c>
      <c r="G14" s="548"/>
      <c r="H14" s="549">
        <f>SUMIF(74:74,G14,75:75)-SUMIF(74:74,C14,75:75)+100</f>
        <v>100</v>
      </c>
      <c r="I14" s="548"/>
      <c r="J14" s="549">
        <f>SUMIF(74:74,I14,75:75)-SUMIF(74:74,C14,75:75)+100</f>
        <v>100</v>
      </c>
      <c r="K14" s="867"/>
      <c r="L14" s="2143"/>
      <c r="M14" s="2135"/>
      <c r="N14" s="2135"/>
      <c r="O14" s="2142"/>
      <c r="P14" s="3517"/>
      <c r="Q14" s="3176">
        <f t="shared" si="6"/>
        <v>0</v>
      </c>
      <c r="R14" s="1568" t="s">
        <v>11</v>
      </c>
      <c r="S14" s="1569">
        <f t="shared" si="0"/>
        <v>100</v>
      </c>
      <c r="T14" s="1568" t="s">
        <v>11</v>
      </c>
      <c r="U14" s="1569">
        <f t="shared" si="1"/>
        <v>100</v>
      </c>
      <c r="V14" s="1568" t="s">
        <v>11</v>
      </c>
      <c r="W14" s="1569">
        <f t="shared" si="2"/>
        <v>100</v>
      </c>
      <c r="X14" s="1570"/>
      <c r="Y14" s="3474"/>
      <c r="Z14" s="3175">
        <f t="shared" si="7"/>
        <v>0</v>
      </c>
      <c r="AA14" s="1571">
        <f t="shared" si="3"/>
        <v>1</v>
      </c>
      <c r="AB14" s="1571">
        <f t="shared" si="4"/>
        <v>1</v>
      </c>
      <c r="AC14" s="1571">
        <f t="shared" si="5"/>
        <v>1</v>
      </c>
    </row>
    <row r="15" spans="1:29" ht="57">
      <c r="A15" s="2937" t="s">
        <v>2757</v>
      </c>
      <c r="B15" s="166" t="s">
        <v>295</v>
      </c>
      <c r="C15" s="869" t="str">
        <f>估价对象房地状况!C3</f>
        <v>周边居住用地比例、居住小区规模和社区发展完善程度</v>
      </c>
      <c r="D15" s="552">
        <v>100</v>
      </c>
      <c r="E15" s="553"/>
      <c r="F15" s="554">
        <f>SUMIF(76:76,E16,77:77)-SUMIF(76:76,C16,77:77)+100</f>
        <v>105</v>
      </c>
      <c r="G15" s="555"/>
      <c r="H15" s="552">
        <f>SUMIF(76:76,G16,77:77)-SUMIF(76:76,C16,77:77)+100</f>
        <v>105</v>
      </c>
      <c r="I15" s="553"/>
      <c r="J15" s="552">
        <f>SUMIF(76:76,I16,77:77)-SUMIF(76:76,C16,77:77)+100</f>
        <v>105</v>
      </c>
      <c r="K15" s="870">
        <v>5</v>
      </c>
      <c r="L15" s="2143"/>
      <c r="M15" s="2135"/>
      <c r="N15" s="2135"/>
      <c r="O15" s="2142"/>
      <c r="P15" s="3519" t="s">
        <v>541</v>
      </c>
      <c r="Q15" s="3177" t="str">
        <f t="shared" si="6"/>
        <v>居住社区成熟度</v>
      </c>
      <c r="R15" s="1573" t="s">
        <v>11</v>
      </c>
      <c r="S15" s="1574">
        <f t="shared" si="0"/>
        <v>105</v>
      </c>
      <c r="T15" s="1573" t="s">
        <v>11</v>
      </c>
      <c r="U15" s="1574">
        <f t="shared" si="1"/>
        <v>105</v>
      </c>
      <c r="V15" s="1573" t="s">
        <v>11</v>
      </c>
      <c r="W15" s="1574">
        <f t="shared" si="2"/>
        <v>105</v>
      </c>
      <c r="X15" s="3179"/>
      <c r="Y15" s="3519" t="s">
        <v>541</v>
      </c>
      <c r="Z15" s="3178" t="str">
        <f t="shared" si="7"/>
        <v>居住社区成熟度</v>
      </c>
      <c r="AA15" s="3180">
        <f t="shared" si="3"/>
        <v>0.95238095238095233</v>
      </c>
      <c r="AB15" s="3180">
        <f t="shared" si="4"/>
        <v>0.95238095238095233</v>
      </c>
      <c r="AC15" s="3180">
        <f t="shared" si="5"/>
        <v>0.95238095238095233</v>
      </c>
    </row>
    <row r="16" spans="1:29" ht="15">
      <c r="A16" s="535"/>
      <c r="B16" s="871"/>
      <c r="C16" s="578" t="s">
        <v>3261</v>
      </c>
      <c r="D16" s="558"/>
      <c r="E16" s="578" t="s">
        <v>3238</v>
      </c>
      <c r="F16" s="560"/>
      <c r="G16" s="578" t="s">
        <v>3238</v>
      </c>
      <c r="H16" s="562"/>
      <c r="I16" s="578" t="s">
        <v>3238</v>
      </c>
      <c r="J16" s="558"/>
      <c r="K16" s="872"/>
      <c r="L16" s="2143"/>
      <c r="M16" s="2135"/>
      <c r="N16" s="2135"/>
      <c r="O16" s="2142"/>
      <c r="P16" s="3520"/>
      <c r="Q16" s="3177"/>
      <c r="R16" s="1573"/>
      <c r="S16" s="1574"/>
      <c r="T16" s="1573"/>
      <c r="U16" s="1574"/>
      <c r="V16" s="1573"/>
      <c r="W16" s="1574"/>
      <c r="X16" s="3179"/>
      <c r="Y16" s="3520"/>
      <c r="Z16" s="3178"/>
      <c r="AA16" s="3180">
        <v>1</v>
      </c>
      <c r="AB16" s="3180">
        <v>1</v>
      </c>
      <c r="AC16" s="3180">
        <v>1</v>
      </c>
    </row>
    <row r="17" spans="1:29" ht="71.25">
      <c r="A17" s="535"/>
      <c r="B17" s="873" t="s">
        <v>296</v>
      </c>
      <c r="C17" s="874" t="str">
        <f>估价对象房地状况!C6</f>
        <v>周边道路状况、公共交通通达情况、停车便捷程度（大理荒草坝机场</v>
      </c>
      <c r="D17" s="562">
        <v>100</v>
      </c>
      <c r="E17" s="564"/>
      <c r="F17" s="565">
        <f>SUMIF(78:78,E18,79:79)-SUMIF(78:78,C18,79:79)+100</f>
        <v>100</v>
      </c>
      <c r="G17" s="566"/>
      <c r="H17" s="567">
        <f>SUMIF(78:78,G18,79:79)-SUMIF(78:78,C18,79:79)+100</f>
        <v>100</v>
      </c>
      <c r="I17" s="564"/>
      <c r="J17" s="567">
        <f>SUMIF(78:78,I18,79:79)-SUMIF(78:78,C18,79:79)+100</f>
        <v>100</v>
      </c>
      <c r="K17" s="870">
        <v>3</v>
      </c>
      <c r="L17" s="2143"/>
      <c r="M17" s="2135"/>
      <c r="N17" s="2135"/>
      <c r="O17" s="2142"/>
      <c r="P17" s="3520"/>
      <c r="Q17" s="3177" t="str">
        <f>B17</f>
        <v>交通便捷度</v>
      </c>
      <c r="R17" s="1573" t="s">
        <v>11</v>
      </c>
      <c r="S17" s="1574">
        <f>F17</f>
        <v>100</v>
      </c>
      <c r="T17" s="1573" t="s">
        <v>11</v>
      </c>
      <c r="U17" s="1574">
        <f>H17</f>
        <v>100</v>
      </c>
      <c r="V17" s="1573" t="s">
        <v>11</v>
      </c>
      <c r="W17" s="1574">
        <f>J17</f>
        <v>100</v>
      </c>
      <c r="X17" s="3179"/>
      <c r="Y17" s="3520"/>
      <c r="Z17" s="3178" t="str">
        <f>Q17</f>
        <v>交通便捷度</v>
      </c>
      <c r="AA17" s="3180">
        <f t="shared" si="3"/>
        <v>1</v>
      </c>
      <c r="AB17" s="3180">
        <f t="shared" si="4"/>
        <v>1</v>
      </c>
      <c r="AC17" s="3180">
        <f t="shared" si="5"/>
        <v>1</v>
      </c>
    </row>
    <row r="18" spans="1:29" ht="15">
      <c r="A18" s="535"/>
      <c r="B18" s="597"/>
      <c r="C18" s="875" t="s">
        <v>3238</v>
      </c>
      <c r="D18" s="562"/>
      <c r="E18" s="875" t="s">
        <v>3238</v>
      </c>
      <c r="F18" s="565"/>
      <c r="G18" s="875" t="s">
        <v>3238</v>
      </c>
      <c r="H18" s="558"/>
      <c r="I18" s="875" t="s">
        <v>3238</v>
      </c>
      <c r="J18" s="558"/>
      <c r="K18" s="872"/>
      <c r="L18" s="2143"/>
      <c r="M18" s="2135"/>
      <c r="N18" s="2135"/>
      <c r="O18" s="2142"/>
      <c r="P18" s="3520"/>
      <c r="Q18" s="3177"/>
      <c r="R18" s="1573"/>
      <c r="S18" s="1574"/>
      <c r="T18" s="1573"/>
      <c r="U18" s="1574"/>
      <c r="V18" s="1573"/>
      <c r="W18" s="1574"/>
      <c r="X18" s="3179"/>
      <c r="Y18" s="3520"/>
      <c r="Z18" s="3178"/>
      <c r="AA18" s="3180">
        <v>1</v>
      </c>
      <c r="AB18" s="3180">
        <v>1</v>
      </c>
      <c r="AC18" s="3180">
        <v>1</v>
      </c>
    </row>
    <row r="19" spans="1:29" ht="42.75">
      <c r="A19" s="535"/>
      <c r="B19" s="2625" t="s">
        <v>2548</v>
      </c>
      <c r="C19" s="874" t="str">
        <f>估价对象房地状况!C7</f>
        <v>大理技师学院 与较成熟区域距离5-6公里</v>
      </c>
      <c r="D19" s="567">
        <v>100</v>
      </c>
      <c r="E19" s="572"/>
      <c r="F19" s="573">
        <f>SUMIF(80:80,E20,81:81)-SUMIF(80:80,C20,81:81)+100</f>
        <v>103</v>
      </c>
      <c r="G19" s="574"/>
      <c r="H19" s="562">
        <f>SUMIF(80:80,G20,81:81)-SUMIF(80:80,C20,81:81)+100</f>
        <v>103</v>
      </c>
      <c r="I19" s="572"/>
      <c r="J19" s="562">
        <f>SUMIF(80:80,I20,81:81)-SUMIF(80:80,C20,81:81)+100</f>
        <v>103</v>
      </c>
      <c r="K19" s="870">
        <v>3</v>
      </c>
      <c r="L19" s="2143"/>
      <c r="M19" s="2135"/>
      <c r="N19" s="2135"/>
      <c r="O19" s="2142"/>
      <c r="P19" s="3520"/>
      <c r="Q19" s="3177" t="str">
        <f>B19</f>
        <v>公共配套设施</v>
      </c>
      <c r="R19" s="1573" t="s">
        <v>11</v>
      </c>
      <c r="S19" s="1574">
        <f>F19</f>
        <v>103</v>
      </c>
      <c r="T19" s="1573" t="s">
        <v>11</v>
      </c>
      <c r="U19" s="1574">
        <f>H19</f>
        <v>103</v>
      </c>
      <c r="V19" s="1573" t="s">
        <v>11</v>
      </c>
      <c r="W19" s="1574">
        <f>J19</f>
        <v>103</v>
      </c>
      <c r="X19" s="3179"/>
      <c r="Y19" s="3520"/>
      <c r="Z19" s="3178" t="str">
        <f>Q19</f>
        <v>公共配套设施</v>
      </c>
      <c r="AA19" s="3180">
        <f t="shared" si="3"/>
        <v>0.970873786407767</v>
      </c>
      <c r="AB19" s="3180">
        <f t="shared" si="4"/>
        <v>0.970873786407767</v>
      </c>
      <c r="AC19" s="3180">
        <f t="shared" si="5"/>
        <v>0.970873786407767</v>
      </c>
    </row>
    <row r="20" spans="1:29" ht="15">
      <c r="A20" s="535"/>
      <c r="B20" s="597"/>
      <c r="C20" s="578" t="s">
        <v>3261</v>
      </c>
      <c r="D20" s="558"/>
      <c r="E20" s="559" t="s">
        <v>3238</v>
      </c>
      <c r="F20" s="560"/>
      <c r="G20" s="559" t="s">
        <v>3238</v>
      </c>
      <c r="H20" s="558"/>
      <c r="I20" s="559" t="s">
        <v>3238</v>
      </c>
      <c r="J20" s="558"/>
      <c r="K20" s="872"/>
      <c r="L20" s="2143"/>
      <c r="M20" s="2135"/>
      <c r="N20" s="2135"/>
      <c r="O20" s="2142"/>
      <c r="P20" s="3520"/>
      <c r="Q20" s="3177"/>
      <c r="R20" s="1573"/>
      <c r="S20" s="1574"/>
      <c r="T20" s="1573"/>
      <c r="U20" s="1574"/>
      <c r="V20" s="1573"/>
      <c r="W20" s="1574"/>
      <c r="X20" s="3179"/>
      <c r="Y20" s="3520"/>
      <c r="Z20" s="3178"/>
      <c r="AA20" s="3180">
        <v>1</v>
      </c>
      <c r="AB20" s="3180">
        <v>1</v>
      </c>
      <c r="AC20" s="3180">
        <v>1</v>
      </c>
    </row>
    <row r="21" spans="1:29" ht="15">
      <c r="A21" s="535"/>
      <c r="B21" s="2618" t="s">
        <v>2549</v>
      </c>
      <c r="C21" s="874">
        <f>估价对象房地状况!C8</f>
        <v>0</v>
      </c>
      <c r="D21" s="567">
        <v>100</v>
      </c>
      <c r="E21" s="574"/>
      <c r="F21" s="573">
        <f>SUMIF(82:82,E22,83:83)-SUMIF(82:82,C22,83:83)+100</f>
        <v>100</v>
      </c>
      <c r="G21" s="574"/>
      <c r="H21" s="567">
        <f>SUMIF(82:82,G22,83:83)-SUMIF(82:82,C22,83:83)+100</f>
        <v>100</v>
      </c>
      <c r="I21" s="572"/>
      <c r="J21" s="567">
        <f>SUMIF(82:82,I22,83:83)-SUMIF(82:82,C22,83:83)+100</f>
        <v>100</v>
      </c>
      <c r="K21" s="870">
        <v>1</v>
      </c>
      <c r="L21" s="2143"/>
      <c r="M21" s="2135"/>
      <c r="N21" s="2135"/>
      <c r="O21" s="2142"/>
      <c r="P21" s="3520"/>
      <c r="Q21" s="3177" t="str">
        <f>B21</f>
        <v>基础设施水平</v>
      </c>
      <c r="R21" s="1573" t="s">
        <v>11</v>
      </c>
      <c r="S21" s="1574">
        <f>F21</f>
        <v>100</v>
      </c>
      <c r="T21" s="1573" t="s">
        <v>11</v>
      </c>
      <c r="U21" s="1574">
        <f>H21</f>
        <v>100</v>
      </c>
      <c r="V21" s="1573" t="s">
        <v>11</v>
      </c>
      <c r="W21" s="1574">
        <f>J21</f>
        <v>100</v>
      </c>
      <c r="X21" s="3179"/>
      <c r="Y21" s="3520"/>
      <c r="Z21" s="3178" t="str">
        <f>Q21</f>
        <v>基础设施水平</v>
      </c>
      <c r="AA21" s="3180">
        <f t="shared" ref="AA21" si="8">D21/F21</f>
        <v>1</v>
      </c>
      <c r="AB21" s="3180">
        <f t="shared" ref="AB21" si="9">D21/H21</f>
        <v>1</v>
      </c>
      <c r="AC21" s="3180">
        <f t="shared" ref="AC21" si="10">D21/J21</f>
        <v>1</v>
      </c>
    </row>
    <row r="22" spans="1:29" ht="15">
      <c r="A22" s="535"/>
      <c r="B22" s="923"/>
      <c r="C22" s="875" t="s">
        <v>3237</v>
      </c>
      <c r="D22" s="558"/>
      <c r="E22" s="875" t="s">
        <v>3237</v>
      </c>
      <c r="F22" s="560"/>
      <c r="G22" s="875" t="s">
        <v>3237</v>
      </c>
      <c r="H22" s="558"/>
      <c r="I22" s="875" t="s">
        <v>3237</v>
      </c>
      <c r="J22" s="558"/>
      <c r="K22" s="2624"/>
      <c r="L22" s="2143"/>
      <c r="M22" s="2135"/>
      <c r="N22" s="2135"/>
      <c r="O22" s="2142"/>
      <c r="P22" s="3520"/>
      <c r="Q22" s="3177"/>
      <c r="R22" s="1573"/>
      <c r="S22" s="1574"/>
      <c r="T22" s="1573"/>
      <c r="U22" s="1574"/>
      <c r="V22" s="1573"/>
      <c r="W22" s="1574"/>
      <c r="X22" s="3179"/>
      <c r="Y22" s="3520"/>
      <c r="Z22" s="3178"/>
      <c r="AA22" s="3180">
        <v>1</v>
      </c>
      <c r="AB22" s="3180">
        <v>1</v>
      </c>
      <c r="AC22" s="3180">
        <v>1</v>
      </c>
    </row>
    <row r="23" spans="1:29" ht="15">
      <c r="A23" s="535"/>
      <c r="B23" s="873" t="s">
        <v>297</v>
      </c>
      <c r="C23" s="874" t="str">
        <f>估价对象房地状况!C9</f>
        <v>洱海</v>
      </c>
      <c r="D23" s="562">
        <v>100</v>
      </c>
      <c r="E23" s="564"/>
      <c r="F23" s="565">
        <f>SUMIF(84:84,E24,85:85)-SUMIF(84:84,C24,85:85)+100</f>
        <v>100</v>
      </c>
      <c r="G23" s="566"/>
      <c r="H23" s="562">
        <f>SUMIF(84:84,G24,85:85)-SUMIF(84:84,C24,85:85)+100</f>
        <v>100</v>
      </c>
      <c r="I23" s="564"/>
      <c r="J23" s="562">
        <f>SUMIF(84:84,I24,85:85)-SUMIF(84:84,C24,85:85)+100</f>
        <v>100</v>
      </c>
      <c r="K23" s="870">
        <v>10</v>
      </c>
      <c r="L23" s="2143"/>
      <c r="M23" s="2135"/>
      <c r="N23" s="2135"/>
      <c r="O23" s="2142"/>
      <c r="P23" s="3520"/>
      <c r="Q23" s="3177" t="str">
        <f>B23</f>
        <v>自然及人文环境</v>
      </c>
      <c r="R23" s="1573" t="s">
        <v>11</v>
      </c>
      <c r="S23" s="1574">
        <f>F23</f>
        <v>100</v>
      </c>
      <c r="T23" s="1573" t="s">
        <v>11</v>
      </c>
      <c r="U23" s="1574">
        <f>H23</f>
        <v>100</v>
      </c>
      <c r="V23" s="1573" t="s">
        <v>11</v>
      </c>
      <c r="W23" s="1574">
        <f>J23</f>
        <v>100</v>
      </c>
      <c r="X23" s="3179"/>
      <c r="Y23" s="3520"/>
      <c r="Z23" s="3178" t="str">
        <f>Q23</f>
        <v>自然及人文环境</v>
      </c>
      <c r="AA23" s="3180">
        <f t="shared" si="3"/>
        <v>1</v>
      </c>
      <c r="AB23" s="3180">
        <f t="shared" si="4"/>
        <v>1</v>
      </c>
      <c r="AC23" s="3180">
        <f t="shared" si="5"/>
        <v>1</v>
      </c>
    </row>
    <row r="24" spans="1:29" ht="15.75" thickBot="1">
      <c r="A24" s="535"/>
      <c r="B24" s="597"/>
      <c r="C24" s="578" t="s">
        <v>3229</v>
      </c>
      <c r="D24" s="558"/>
      <c r="E24" s="578" t="s">
        <v>3229</v>
      </c>
      <c r="F24" s="560"/>
      <c r="G24" s="578" t="s">
        <v>3229</v>
      </c>
      <c r="H24" s="558"/>
      <c r="I24" s="578" t="s">
        <v>3229</v>
      </c>
      <c r="J24" s="558"/>
      <c r="K24" s="872"/>
      <c r="L24" s="2143"/>
      <c r="M24" s="2135"/>
      <c r="N24" s="2135"/>
      <c r="O24" s="2142"/>
      <c r="P24" s="3520"/>
      <c r="Q24" s="3177"/>
      <c r="R24" s="1573"/>
      <c r="S24" s="1574"/>
      <c r="T24" s="1573"/>
      <c r="U24" s="1574"/>
      <c r="V24" s="1573"/>
      <c r="W24" s="1574"/>
      <c r="X24" s="3179"/>
      <c r="Y24" s="3520"/>
      <c r="Z24" s="3178"/>
      <c r="AA24" s="3180">
        <v>1</v>
      </c>
      <c r="AB24" s="3180">
        <v>1</v>
      </c>
      <c r="AC24" s="3180">
        <v>1</v>
      </c>
    </row>
    <row r="25" spans="1:29" ht="15" hidden="1">
      <c r="A25" s="535"/>
      <c r="B25" s="1896" t="s">
        <v>2259</v>
      </c>
      <c r="C25" s="576"/>
      <c r="D25" s="543">
        <v>100</v>
      </c>
      <c r="E25" s="876"/>
      <c r="F25" s="577">
        <f>SUMIF(86:86,E25,87:87)-SUMIF(86:86,C25,87:87)+100</f>
        <v>100</v>
      </c>
      <c r="G25" s="601"/>
      <c r="H25" s="543">
        <f>SUMIF(86:86,G25,87:87)-SUMIF(86:86,C25,87:87)+100</f>
        <v>100</v>
      </c>
      <c r="I25" s="876"/>
      <c r="J25" s="543">
        <f>SUMIF(86:86,I25,87:87)-SUMIF(86:86,C25,87:87)+100</f>
        <v>100</v>
      </c>
      <c r="K25" s="866"/>
      <c r="L25" s="2143"/>
      <c r="M25" s="2135"/>
      <c r="N25" s="2135"/>
      <c r="O25" s="2142"/>
      <c r="P25" s="3520"/>
      <c r="Q25" s="3177" t="str">
        <f t="shared" ref="Q25:Q46" si="11">B25</f>
        <v>楼层-1</v>
      </c>
      <c r="R25" s="1573" t="s">
        <v>11</v>
      </c>
      <c r="S25" s="1574">
        <f>F25</f>
        <v>100</v>
      </c>
      <c r="T25" s="1573" t="s">
        <v>11</v>
      </c>
      <c r="U25" s="1574">
        <f>H25</f>
        <v>100</v>
      </c>
      <c r="V25" s="1573" t="s">
        <v>11</v>
      </c>
      <c r="W25" s="1574">
        <f>J25</f>
        <v>100</v>
      </c>
      <c r="X25" s="3179"/>
      <c r="Y25" s="3520"/>
      <c r="Z25" s="3178" t="str">
        <f>Q25</f>
        <v>楼层-1</v>
      </c>
      <c r="AA25" s="3180">
        <f t="shared" si="3"/>
        <v>1</v>
      </c>
      <c r="AB25" s="3180">
        <f t="shared" si="4"/>
        <v>1</v>
      </c>
      <c r="AC25" s="3180">
        <f t="shared" si="5"/>
        <v>1</v>
      </c>
    </row>
    <row r="26" spans="1:29" ht="15.75" hidden="1" thickBot="1">
      <c r="A26" s="535"/>
      <c r="B26" s="530" t="s">
        <v>724</v>
      </c>
      <c r="C26" s="576"/>
      <c r="D26" s="543">
        <v>100</v>
      </c>
      <c r="E26" s="876"/>
      <c r="F26" s="577">
        <f>SUMIF(88:88,E26,89:89)-SUMIF(88:88,C26,89:89)+100</f>
        <v>100</v>
      </c>
      <c r="G26" s="601"/>
      <c r="H26" s="543">
        <f>SUMIF(88:88,G26,89:89)-SUMIF(88:88,C26,89:89)+100</f>
        <v>100</v>
      </c>
      <c r="I26" s="876"/>
      <c r="J26" s="543">
        <f>SUMIF(88:88,I26,89:89)-SUMIF(88:88,C26,89:89)+100</f>
        <v>100</v>
      </c>
      <c r="K26" s="866"/>
      <c r="L26" s="2143"/>
      <c r="M26" s="2135"/>
      <c r="N26" s="2135"/>
      <c r="O26" s="2142"/>
      <c r="P26" s="3520"/>
      <c r="Q26" s="3177" t="str">
        <f t="shared" si="11"/>
        <v>朝向</v>
      </c>
      <c r="R26" s="1573" t="s">
        <v>11</v>
      </c>
      <c r="S26" s="1574">
        <f>F26</f>
        <v>100</v>
      </c>
      <c r="T26" s="1573" t="s">
        <v>11</v>
      </c>
      <c r="U26" s="1574">
        <f>H26</f>
        <v>100</v>
      </c>
      <c r="V26" s="1573" t="s">
        <v>11</v>
      </c>
      <c r="W26" s="1574">
        <f>J26</f>
        <v>100</v>
      </c>
      <c r="X26" s="3179"/>
      <c r="Y26" s="3520"/>
      <c r="Z26" s="3178" t="str">
        <f>Q26</f>
        <v>朝向</v>
      </c>
      <c r="AA26" s="3180">
        <f t="shared" si="3"/>
        <v>1</v>
      </c>
      <c r="AB26" s="3180">
        <f t="shared" si="4"/>
        <v>1</v>
      </c>
      <c r="AC26" s="3180">
        <f t="shared" si="5"/>
        <v>1</v>
      </c>
    </row>
    <row r="27" spans="1:29" s="1220" customFormat="1" ht="15.75" hidden="1" thickBot="1">
      <c r="A27" s="539"/>
      <c r="B27" s="540"/>
      <c r="C27" s="531"/>
      <c r="D27" s="877">
        <v>100</v>
      </c>
      <c r="E27" s="533"/>
      <c r="F27" s="878">
        <f>SUMIF(90:90,E27,91:91)-SUMIF(90:90,C27,91:91)+100</f>
        <v>100</v>
      </c>
      <c r="G27" s="532"/>
      <c r="H27" s="877">
        <f>SUMIF(90:90,G27,91:91)-SUMIF(90:90,C27,91:91)+100</f>
        <v>100</v>
      </c>
      <c r="I27" s="533"/>
      <c r="J27" s="877">
        <f>SUMIF(90:90,I27,91:91)-SUMIF(90:90,C27,91:91)+100</f>
        <v>100</v>
      </c>
      <c r="K27" s="867"/>
      <c r="L27" s="2136"/>
      <c r="M27" s="2137"/>
      <c r="N27" s="2137"/>
      <c r="O27" s="2138"/>
      <c r="P27" s="3520"/>
      <c r="Q27" s="3176">
        <f t="shared" si="11"/>
        <v>0</v>
      </c>
      <c r="R27" s="1568" t="s">
        <v>11</v>
      </c>
      <c r="S27" s="1569">
        <f>F27</f>
        <v>100</v>
      </c>
      <c r="T27" s="1568" t="s">
        <v>11</v>
      </c>
      <c r="U27" s="1569">
        <f>H27</f>
        <v>100</v>
      </c>
      <c r="V27" s="1568" t="s">
        <v>11</v>
      </c>
      <c r="W27" s="1569">
        <f>J27</f>
        <v>100</v>
      </c>
      <c r="X27" s="1570"/>
      <c r="Y27" s="3520"/>
      <c r="Z27" s="3175">
        <f>Q27</f>
        <v>0</v>
      </c>
      <c r="AA27" s="3180">
        <f>D27/F27</f>
        <v>1</v>
      </c>
      <c r="AB27" s="3180">
        <f>D27/H27</f>
        <v>1</v>
      </c>
      <c r="AC27" s="3180">
        <f>D27/J27</f>
        <v>1</v>
      </c>
    </row>
    <row r="28" spans="1:29" ht="15.75" hidden="1" thickBot="1">
      <c r="A28" s="535"/>
      <c r="B28" s="879"/>
      <c r="C28" s="542"/>
      <c r="D28" s="543">
        <v>100</v>
      </c>
      <c r="E28" s="542"/>
      <c r="F28" s="577">
        <f>SUMIF(92:92,E28,93:93)-SUMIF(92:92,C28,93:93)+100</f>
        <v>100</v>
      </c>
      <c r="G28" s="542"/>
      <c r="H28" s="543">
        <f>SUMIF(92:92,G28,93:93)-SUMIF(92:92,C28,93:93)+100</f>
        <v>100</v>
      </c>
      <c r="I28" s="542"/>
      <c r="J28" s="543">
        <f>SUMIF(92:92,I28,93:93)-SUMIF(92:92,C28,93:93)+100</f>
        <v>100</v>
      </c>
      <c r="K28" s="867"/>
      <c r="L28" s="2143"/>
      <c r="M28" s="2135"/>
      <c r="N28" s="2135"/>
      <c r="O28" s="2142"/>
      <c r="P28" s="3520"/>
      <c r="Q28" s="3177">
        <f t="shared" si="11"/>
        <v>0</v>
      </c>
      <c r="R28" s="1573" t="s">
        <v>11</v>
      </c>
      <c r="S28" s="1574">
        <f t="shared" ref="S28:S46" si="12">F28</f>
        <v>100</v>
      </c>
      <c r="T28" s="1573" t="s">
        <v>11</v>
      </c>
      <c r="U28" s="1574">
        <f t="shared" ref="U28:U46" si="13">H28</f>
        <v>100</v>
      </c>
      <c r="V28" s="1573" t="s">
        <v>11</v>
      </c>
      <c r="W28" s="1574">
        <f t="shared" ref="W28:W46" si="14">J28</f>
        <v>100</v>
      </c>
      <c r="X28" s="3179"/>
      <c r="Y28" s="3520"/>
      <c r="Z28" s="3178">
        <f t="shared" ref="Z28:Z46" si="15">Q28</f>
        <v>0</v>
      </c>
      <c r="AA28" s="3180">
        <f t="shared" si="3"/>
        <v>1</v>
      </c>
      <c r="AB28" s="3180">
        <f t="shared" si="4"/>
        <v>1</v>
      </c>
      <c r="AC28" s="3180">
        <f t="shared" si="5"/>
        <v>1</v>
      </c>
    </row>
    <row r="29" spans="1:29" ht="15.75" hidden="1" thickBot="1">
      <c r="A29" s="535"/>
      <c r="B29" s="879"/>
      <c r="C29" s="542"/>
      <c r="D29" s="543">
        <v>100</v>
      </c>
      <c r="E29" s="542"/>
      <c r="F29" s="577">
        <f>SUMIF(94:94,E29,95:95)-SUMIF(94:94,C29,95:95)+100</f>
        <v>100</v>
      </c>
      <c r="G29" s="542"/>
      <c r="H29" s="543">
        <f>SUMIF(94:94,G29,95:95)-SUMIF(94:94,C29,95:95)+100</f>
        <v>100</v>
      </c>
      <c r="I29" s="542"/>
      <c r="J29" s="543">
        <f>SUMIF(94:94,I29,95:95)-SUMIF(94:94,C29,95:95)+100</f>
        <v>100</v>
      </c>
      <c r="K29" s="867"/>
      <c r="L29" s="2143"/>
      <c r="M29" s="2135"/>
      <c r="N29" s="2135"/>
      <c r="O29" s="2142"/>
      <c r="P29" s="3520"/>
      <c r="Q29" s="3177">
        <f t="shared" si="11"/>
        <v>0</v>
      </c>
      <c r="R29" s="1573" t="s">
        <v>11</v>
      </c>
      <c r="S29" s="1574">
        <f t="shared" si="12"/>
        <v>100</v>
      </c>
      <c r="T29" s="1573" t="s">
        <v>11</v>
      </c>
      <c r="U29" s="1574">
        <f t="shared" si="13"/>
        <v>100</v>
      </c>
      <c r="V29" s="1573" t="s">
        <v>11</v>
      </c>
      <c r="W29" s="1574">
        <f t="shared" si="14"/>
        <v>100</v>
      </c>
      <c r="X29" s="3179"/>
      <c r="Y29" s="3520"/>
      <c r="Z29" s="3178">
        <f t="shared" si="15"/>
        <v>0</v>
      </c>
      <c r="AA29" s="3180">
        <f t="shared" si="3"/>
        <v>1</v>
      </c>
      <c r="AB29" s="3180">
        <f t="shared" si="4"/>
        <v>1</v>
      </c>
      <c r="AC29" s="3180">
        <f t="shared" si="5"/>
        <v>1</v>
      </c>
    </row>
    <row r="30" spans="1:29" ht="15.75" hidden="1" thickBot="1">
      <c r="A30" s="535"/>
      <c r="B30" s="879"/>
      <c r="C30" s="542"/>
      <c r="D30" s="543">
        <v>100</v>
      </c>
      <c r="E30" s="542"/>
      <c r="F30" s="577">
        <f>SUMIF(96:96,E30,97:97)-SUMIF(96:96,C30,97:97)+100</f>
        <v>100</v>
      </c>
      <c r="G30" s="542"/>
      <c r="H30" s="543">
        <f>SUMIF(96:96,G30,97:97)-SUMIF(96:96,C30,97:97)+100</f>
        <v>100</v>
      </c>
      <c r="I30" s="542"/>
      <c r="J30" s="543">
        <f>SUMIF(96:96,I30,97:97)-SUMIF(96:96,C30,97:97)+100</f>
        <v>100</v>
      </c>
      <c r="K30" s="867"/>
      <c r="L30" s="2143"/>
      <c r="M30" s="2135"/>
      <c r="N30" s="2135"/>
      <c r="O30" s="2142"/>
      <c r="P30" s="3520"/>
      <c r="Q30" s="3177">
        <f t="shared" si="11"/>
        <v>0</v>
      </c>
      <c r="R30" s="1573" t="s">
        <v>11</v>
      </c>
      <c r="S30" s="1574">
        <f t="shared" si="12"/>
        <v>100</v>
      </c>
      <c r="T30" s="1573" t="s">
        <v>11</v>
      </c>
      <c r="U30" s="1574">
        <f t="shared" si="13"/>
        <v>100</v>
      </c>
      <c r="V30" s="1573" t="s">
        <v>11</v>
      </c>
      <c r="W30" s="1574">
        <f t="shared" si="14"/>
        <v>100</v>
      </c>
      <c r="X30" s="3179"/>
      <c r="Y30" s="3520"/>
      <c r="Z30" s="3178">
        <f t="shared" si="15"/>
        <v>0</v>
      </c>
      <c r="AA30" s="3180">
        <f t="shared" si="3"/>
        <v>1</v>
      </c>
      <c r="AB30" s="3180">
        <f t="shared" si="4"/>
        <v>1</v>
      </c>
      <c r="AC30" s="3180">
        <f t="shared" si="5"/>
        <v>1</v>
      </c>
    </row>
    <row r="31" spans="1:29" ht="15.75" hidden="1" thickBot="1">
      <c r="A31" s="546"/>
      <c r="B31" s="879"/>
      <c r="C31" s="548"/>
      <c r="D31" s="549">
        <v>100</v>
      </c>
      <c r="E31" s="548"/>
      <c r="F31" s="868">
        <f>SUMIF(98:98,E31,99:99)-SUMIF(98:98,C31,99:99)+100</f>
        <v>100</v>
      </c>
      <c r="G31" s="548"/>
      <c r="H31" s="549">
        <f>SUMIF(98:98,G31,99:99)-SUMIF(98:98,C31,99:99)+100</f>
        <v>100</v>
      </c>
      <c r="I31" s="548"/>
      <c r="J31" s="549">
        <f>SUMIF(98:98,I31,99:99)-SUMIF(98:98,C31,99:99)+100</f>
        <v>100</v>
      </c>
      <c r="K31" s="867"/>
      <c r="L31" s="2143"/>
      <c r="M31" s="2135"/>
      <c r="N31" s="2135"/>
      <c r="O31" s="2142"/>
      <c r="P31" s="3520"/>
      <c r="Q31" s="3177">
        <f t="shared" si="11"/>
        <v>0</v>
      </c>
      <c r="R31" s="1573" t="s">
        <v>11</v>
      </c>
      <c r="S31" s="1574">
        <f t="shared" si="12"/>
        <v>100</v>
      </c>
      <c r="T31" s="1573" t="s">
        <v>11</v>
      </c>
      <c r="U31" s="1574">
        <f t="shared" si="13"/>
        <v>100</v>
      </c>
      <c r="V31" s="1573" t="s">
        <v>11</v>
      </c>
      <c r="W31" s="1574">
        <f t="shared" si="14"/>
        <v>100</v>
      </c>
      <c r="X31" s="3179"/>
      <c r="Y31" s="3520"/>
      <c r="Z31" s="3178">
        <f t="shared" si="15"/>
        <v>0</v>
      </c>
      <c r="AA31" s="3180">
        <f t="shared" si="3"/>
        <v>1</v>
      </c>
      <c r="AB31" s="3180">
        <f t="shared" si="4"/>
        <v>1</v>
      </c>
      <c r="AC31" s="3180">
        <f t="shared" si="5"/>
        <v>1</v>
      </c>
    </row>
    <row r="32" spans="1:29" ht="15">
      <c r="A32" s="2934" t="s">
        <v>2758</v>
      </c>
      <c r="B32" s="172" t="s">
        <v>725</v>
      </c>
      <c r="C32" s="880" t="s">
        <v>3145</v>
      </c>
      <c r="D32" s="599">
        <v>100</v>
      </c>
      <c r="E32" s="880" t="s">
        <v>3145</v>
      </c>
      <c r="F32" s="577">
        <f>SUMIF(100:100,E32,101:101)-SUMIF(100:100,C32,101:101)+100</f>
        <v>100</v>
      </c>
      <c r="G32" s="880" t="s">
        <v>3145</v>
      </c>
      <c r="H32" s="599">
        <f>SUMIF(100:100,G32,101:101)-SUMIF(100:100,C32,101:101)+100</f>
        <v>100</v>
      </c>
      <c r="I32" s="880" t="s">
        <v>3145</v>
      </c>
      <c r="J32" s="543">
        <f>SUMIF(100:100,I32,101:101)-SUMIF(100:100,C32,101:101)+100</f>
        <v>100</v>
      </c>
      <c r="K32" s="866">
        <v>10</v>
      </c>
      <c r="L32" s="2143"/>
      <c r="M32" s="2135"/>
      <c r="N32" s="2135"/>
      <c r="O32" s="2142"/>
      <c r="P32" s="3521" t="s">
        <v>551</v>
      </c>
      <c r="Q32" s="3177" t="str">
        <f t="shared" si="11"/>
        <v>建筑类型</v>
      </c>
      <c r="R32" s="1573" t="s">
        <v>11</v>
      </c>
      <c r="S32" s="1574">
        <f t="shared" si="12"/>
        <v>100</v>
      </c>
      <c r="T32" s="1573" t="s">
        <v>11</v>
      </c>
      <c r="U32" s="1574">
        <f t="shared" si="13"/>
        <v>100</v>
      </c>
      <c r="V32" s="1573" t="s">
        <v>11</v>
      </c>
      <c r="W32" s="1574">
        <f t="shared" si="14"/>
        <v>100</v>
      </c>
      <c r="X32" s="3179"/>
      <c r="Y32" s="3522" t="s">
        <v>551</v>
      </c>
      <c r="Z32" s="3178" t="str">
        <f t="shared" si="15"/>
        <v>建筑类型</v>
      </c>
      <c r="AA32" s="3180">
        <f t="shared" si="3"/>
        <v>1</v>
      </c>
      <c r="AB32" s="3180">
        <f t="shared" si="4"/>
        <v>1</v>
      </c>
      <c r="AC32" s="3180">
        <f t="shared" si="5"/>
        <v>1</v>
      </c>
    </row>
    <row r="33" spans="1:29" s="1339" customFormat="1" ht="15">
      <c r="A33" s="605"/>
      <c r="B33" s="530" t="s">
        <v>726</v>
      </c>
      <c r="C33" s="881">
        <f>'数据-汇总表'!E3</f>
        <v>114363</v>
      </c>
      <c r="D33" s="255">
        <v>100</v>
      </c>
      <c r="E33" s="537">
        <v>26000</v>
      </c>
      <c r="F33" s="865">
        <f>LOOKUP(E33,103:103,104:104)-LOOKUP(C33,103:103,104:104)+100</f>
        <v>100</v>
      </c>
      <c r="G33" s="536">
        <v>100000</v>
      </c>
      <c r="H33" s="255">
        <f>LOOKUP(G33,103:103,104:104)-LOOKUP(C33,103:103,104:104)+100</f>
        <v>100</v>
      </c>
      <c r="I33" s="537">
        <v>130000</v>
      </c>
      <c r="J33" s="255">
        <f>LOOKUP(I33,103:103,104:104)-LOOKUP(C33,103:103,104:104)+100</f>
        <v>100</v>
      </c>
      <c r="K33" s="867"/>
      <c r="L33" s="2141"/>
      <c r="M33" s="2172"/>
      <c r="N33" s="2172"/>
      <c r="O33" s="2144"/>
      <c r="P33" s="3522"/>
      <c r="Q33" s="1605" t="str">
        <f t="shared" si="11"/>
        <v>项目建筑规模</v>
      </c>
      <c r="R33" s="1577" t="s">
        <v>11</v>
      </c>
      <c r="S33" s="1578">
        <f t="shared" si="12"/>
        <v>100</v>
      </c>
      <c r="T33" s="1577" t="s">
        <v>11</v>
      </c>
      <c r="U33" s="1578">
        <f t="shared" si="13"/>
        <v>100</v>
      </c>
      <c r="V33" s="1577" t="s">
        <v>11</v>
      </c>
      <c r="W33" s="1578">
        <f t="shared" si="14"/>
        <v>100</v>
      </c>
      <c r="X33" s="1579"/>
      <c r="Y33" s="3522"/>
      <c r="Z33" s="1580" t="str">
        <f t="shared" si="15"/>
        <v>项目建筑规模</v>
      </c>
      <c r="AA33" s="3180">
        <f t="shared" si="3"/>
        <v>1</v>
      </c>
      <c r="AB33" s="3180">
        <f t="shared" si="4"/>
        <v>1</v>
      </c>
      <c r="AC33" s="3180">
        <f t="shared" si="5"/>
        <v>1</v>
      </c>
    </row>
    <row r="34" spans="1:29" ht="15">
      <c r="A34" s="596"/>
      <c r="B34" s="530" t="s">
        <v>727</v>
      </c>
      <c r="C34" s="882" t="s">
        <v>3247</v>
      </c>
      <c r="D34" s="543">
        <v>100</v>
      </c>
      <c r="E34" s="882" t="s">
        <v>3247</v>
      </c>
      <c r="F34" s="577">
        <f>SUMIF(105:105,E34,106:106)-SUMIF(105:105,C34,106:106)+100</f>
        <v>100</v>
      </c>
      <c r="G34" s="882" t="s">
        <v>3247</v>
      </c>
      <c r="H34" s="543">
        <f>SUMIF(105:105,G34,106:106)-SUMIF(105:105,C34,106:106)+100</f>
        <v>100</v>
      </c>
      <c r="I34" s="882" t="s">
        <v>3247</v>
      </c>
      <c r="J34" s="543">
        <f>SUMIF(105:105,I34,106:106)-SUMIF(105:105,C34,106:106)+100</f>
        <v>100</v>
      </c>
      <c r="K34" s="866"/>
      <c r="L34" s="2143"/>
      <c r="M34" s="2135"/>
      <c r="N34" s="2135"/>
      <c r="O34" s="2142"/>
      <c r="P34" s="3522"/>
      <c r="Q34" s="3177" t="str">
        <f t="shared" si="11"/>
        <v>建筑结构</v>
      </c>
      <c r="R34" s="1573" t="s">
        <v>11</v>
      </c>
      <c r="S34" s="1574">
        <f t="shared" si="12"/>
        <v>100</v>
      </c>
      <c r="T34" s="1573" t="s">
        <v>11</v>
      </c>
      <c r="U34" s="1574">
        <f t="shared" si="13"/>
        <v>100</v>
      </c>
      <c r="V34" s="1573" t="s">
        <v>11</v>
      </c>
      <c r="W34" s="1574">
        <f t="shared" si="14"/>
        <v>100</v>
      </c>
      <c r="X34" s="3179"/>
      <c r="Y34" s="3522"/>
      <c r="Z34" s="3178" t="str">
        <f t="shared" si="15"/>
        <v>建筑结构</v>
      </c>
      <c r="AA34" s="3180">
        <f t="shared" si="3"/>
        <v>1</v>
      </c>
      <c r="AB34" s="3180">
        <f t="shared" si="4"/>
        <v>1</v>
      </c>
      <c r="AC34" s="3180">
        <f t="shared" si="5"/>
        <v>1</v>
      </c>
    </row>
    <row r="35" spans="1:29" ht="15">
      <c r="A35" s="596"/>
      <c r="B35" s="530" t="s">
        <v>728</v>
      </c>
      <c r="C35" s="601" t="s">
        <v>3251</v>
      </c>
      <c r="D35" s="543">
        <v>100</v>
      </c>
      <c r="E35" s="601" t="s">
        <v>3251</v>
      </c>
      <c r="F35" s="577">
        <f>SUMIF(107:107,E35,108:108)-SUMIF(107:107,C35,108:108)+100</f>
        <v>100</v>
      </c>
      <c r="G35" s="601" t="s">
        <v>3251</v>
      </c>
      <c r="H35" s="543">
        <f>SUMIF(107:107,G35,108:108)-SUMIF(107:107,C35,108:108)+100</f>
        <v>100</v>
      </c>
      <c r="I35" s="601" t="s">
        <v>3251</v>
      </c>
      <c r="J35" s="543">
        <f>SUMIF(107:107,I35,108:108)-SUMIF(107:107,C35,108:108)+100</f>
        <v>100</v>
      </c>
      <c r="K35" s="866"/>
      <c r="L35" s="2143"/>
      <c r="M35" s="2135"/>
      <c r="N35" s="2135"/>
      <c r="O35" s="2142"/>
      <c r="P35" s="3522"/>
      <c r="Q35" s="3177" t="str">
        <f t="shared" si="11"/>
        <v>建筑品质</v>
      </c>
      <c r="R35" s="1573" t="s">
        <v>11</v>
      </c>
      <c r="S35" s="1574">
        <f t="shared" si="12"/>
        <v>100</v>
      </c>
      <c r="T35" s="1573" t="s">
        <v>11</v>
      </c>
      <c r="U35" s="1574">
        <f t="shared" si="13"/>
        <v>100</v>
      </c>
      <c r="V35" s="1573" t="s">
        <v>11</v>
      </c>
      <c r="W35" s="1574">
        <f t="shared" si="14"/>
        <v>100</v>
      </c>
      <c r="X35" s="3179"/>
      <c r="Y35" s="3522"/>
      <c r="Z35" s="3178" t="str">
        <f t="shared" si="15"/>
        <v>建筑品质</v>
      </c>
      <c r="AA35" s="3180">
        <f t="shared" si="3"/>
        <v>1</v>
      </c>
      <c r="AB35" s="3180">
        <f t="shared" si="4"/>
        <v>1</v>
      </c>
      <c r="AC35" s="3180">
        <f t="shared" si="5"/>
        <v>1</v>
      </c>
    </row>
    <row r="36" spans="1:29" ht="15">
      <c r="A36" s="596"/>
      <c r="B36" s="530" t="s">
        <v>729</v>
      </c>
      <c r="C36" s="601" t="s">
        <v>3253</v>
      </c>
      <c r="D36" s="543">
        <v>100</v>
      </c>
      <c r="E36" s="601" t="s">
        <v>3253</v>
      </c>
      <c r="F36" s="577">
        <f>SUMIF(109:109,E36,110:110)-SUMIF(109:109,C36,110:110)+100</f>
        <v>100</v>
      </c>
      <c r="G36" s="601" t="s">
        <v>3253</v>
      </c>
      <c r="H36" s="543">
        <f>SUMIF(109:109,G36,110:110)-SUMIF(109:109,C36,110:110)+100</f>
        <v>100</v>
      </c>
      <c r="I36" s="601" t="s">
        <v>3253</v>
      </c>
      <c r="J36" s="543">
        <f>SUMIF(109:109,I36,110:110)-SUMIF(109:109,C36,110:110)+100</f>
        <v>100</v>
      </c>
      <c r="K36" s="866"/>
      <c r="L36" s="2143"/>
      <c r="M36" s="2135"/>
      <c r="N36" s="2135"/>
      <c r="O36" s="2142"/>
      <c r="P36" s="3522"/>
      <c r="Q36" s="3177" t="str">
        <f t="shared" si="11"/>
        <v>公共部分装修</v>
      </c>
      <c r="R36" s="1573" t="s">
        <v>11</v>
      </c>
      <c r="S36" s="1574">
        <f t="shared" si="12"/>
        <v>100</v>
      </c>
      <c r="T36" s="1573" t="s">
        <v>11</v>
      </c>
      <c r="U36" s="1574">
        <f t="shared" si="13"/>
        <v>100</v>
      </c>
      <c r="V36" s="1573" t="s">
        <v>11</v>
      </c>
      <c r="W36" s="1574">
        <f t="shared" si="14"/>
        <v>100</v>
      </c>
      <c r="X36" s="3179"/>
      <c r="Y36" s="3522"/>
      <c r="Z36" s="3178" t="str">
        <f t="shared" si="15"/>
        <v>公共部分装修</v>
      </c>
      <c r="AA36" s="3180">
        <f t="shared" si="3"/>
        <v>1</v>
      </c>
      <c r="AB36" s="3180">
        <f t="shared" si="4"/>
        <v>1</v>
      </c>
      <c r="AC36" s="3180">
        <f t="shared" si="5"/>
        <v>1</v>
      </c>
    </row>
    <row r="37" spans="1:29" s="1220" customFormat="1" ht="15">
      <c r="A37" s="602"/>
      <c r="B37" s="530" t="s">
        <v>730</v>
      </c>
      <c r="C37" s="884">
        <v>1</v>
      </c>
      <c r="D37" s="255">
        <v>100</v>
      </c>
      <c r="E37" s="884">
        <v>1</v>
      </c>
      <c r="F37" s="865">
        <f>LOOKUP(E37,112:112,113:113)-LOOKUP(C37,112:112,113:113)+100</f>
        <v>100</v>
      </c>
      <c r="G37" s="884">
        <v>1</v>
      </c>
      <c r="H37" s="255">
        <f>LOOKUP(G37,112:112,113:113)-LOOKUP(C37,112:112,113:113)+100</f>
        <v>100</v>
      </c>
      <c r="I37" s="884">
        <v>1</v>
      </c>
      <c r="J37" s="255">
        <f>LOOKUP(I37,112:112,113:113)-LOOKUP(C37,112:112,113:113)+100</f>
        <v>100</v>
      </c>
      <c r="K37" s="866"/>
      <c r="L37" s="2136"/>
      <c r="M37" s="2137"/>
      <c r="N37" s="2137"/>
      <c r="O37" s="2138"/>
      <c r="P37" s="3522"/>
      <c r="Q37" s="3176" t="str">
        <f t="shared" si="11"/>
        <v>成新度</v>
      </c>
      <c r="R37" s="1568" t="s">
        <v>11</v>
      </c>
      <c r="S37" s="1569">
        <f t="shared" si="12"/>
        <v>100</v>
      </c>
      <c r="T37" s="1568" t="s">
        <v>11</v>
      </c>
      <c r="U37" s="1569">
        <f t="shared" si="13"/>
        <v>100</v>
      </c>
      <c r="V37" s="1568" t="s">
        <v>11</v>
      </c>
      <c r="W37" s="1569">
        <f t="shared" si="14"/>
        <v>100</v>
      </c>
      <c r="X37" s="1570"/>
      <c r="Y37" s="3522"/>
      <c r="Z37" s="3175" t="str">
        <f t="shared" si="15"/>
        <v>成新度</v>
      </c>
      <c r="AA37" s="1571">
        <f t="shared" si="3"/>
        <v>1</v>
      </c>
      <c r="AB37" s="1571">
        <f t="shared" si="4"/>
        <v>1</v>
      </c>
      <c r="AC37" s="1571">
        <f t="shared" si="5"/>
        <v>1</v>
      </c>
    </row>
    <row r="38" spans="1:29" ht="15">
      <c r="A38" s="596"/>
      <c r="B38" s="530" t="s">
        <v>731</v>
      </c>
      <c r="C38" s="601" t="s">
        <v>3255</v>
      </c>
      <c r="D38" s="543">
        <v>100</v>
      </c>
      <c r="E38" s="601" t="s">
        <v>3255</v>
      </c>
      <c r="F38" s="577">
        <f>SUMIF(114:114,E38,115:115)-SUMIF(114:114,C38,115:115)+100</f>
        <v>100</v>
      </c>
      <c r="G38" s="601" t="s">
        <v>3255</v>
      </c>
      <c r="H38" s="543">
        <f>SUMIF(114:114,G38,115:115)-SUMIF(114:114,C38,115:115)+100</f>
        <v>100</v>
      </c>
      <c r="I38" s="601" t="s">
        <v>3255</v>
      </c>
      <c r="J38" s="543">
        <f>SUMIF(114:114,I38,115:115)-SUMIF(114:114,C38,115:115)+100</f>
        <v>100</v>
      </c>
      <c r="K38" s="866"/>
      <c r="L38" s="2143"/>
      <c r="M38" s="2135"/>
      <c r="N38" s="2135"/>
      <c r="O38" s="2142"/>
      <c r="P38" s="3522" t="s">
        <v>551</v>
      </c>
      <c r="Q38" s="3177" t="str">
        <f t="shared" si="11"/>
        <v>物业管理</v>
      </c>
      <c r="R38" s="1573" t="s">
        <v>11</v>
      </c>
      <c r="S38" s="1574">
        <f t="shared" si="12"/>
        <v>100</v>
      </c>
      <c r="T38" s="1573" t="s">
        <v>11</v>
      </c>
      <c r="U38" s="1574">
        <f t="shared" si="13"/>
        <v>100</v>
      </c>
      <c r="V38" s="1573" t="s">
        <v>11</v>
      </c>
      <c r="W38" s="1574">
        <f t="shared" si="14"/>
        <v>100</v>
      </c>
      <c r="X38" s="3179"/>
      <c r="Y38" s="3522" t="s">
        <v>551</v>
      </c>
      <c r="Z38" s="3178" t="str">
        <f t="shared" si="15"/>
        <v>物业管理</v>
      </c>
      <c r="AA38" s="3180">
        <f t="shared" si="3"/>
        <v>1</v>
      </c>
      <c r="AB38" s="3180">
        <f t="shared" si="4"/>
        <v>1</v>
      </c>
      <c r="AC38" s="3180">
        <f t="shared" si="5"/>
        <v>1</v>
      </c>
    </row>
    <row r="39" spans="1:29" ht="15">
      <c r="A39" s="596"/>
      <c r="B39" s="1896" t="s">
        <v>2566</v>
      </c>
      <c r="C39" s="601" t="s">
        <v>3257</v>
      </c>
      <c r="D39" s="543">
        <v>100</v>
      </c>
      <c r="E39" s="601" t="s">
        <v>3257</v>
      </c>
      <c r="F39" s="577">
        <f>SUMIF(116:116,E39,117:117)-SUMIF(116:116,C39,117:117)+100</f>
        <v>100</v>
      </c>
      <c r="G39" s="601" t="s">
        <v>3257</v>
      </c>
      <c r="H39" s="543">
        <f>SUMIF(116:116,G39,117:117)-SUMIF(116:116,C39,117:117)+100</f>
        <v>100</v>
      </c>
      <c r="I39" s="601" t="s">
        <v>3257</v>
      </c>
      <c r="J39" s="543">
        <f>SUMIF(116:116,I39,117:117)-SUMIF(116:116,C39,117:117)+100</f>
        <v>100</v>
      </c>
      <c r="K39" s="866"/>
      <c r="L39" s="2143"/>
      <c r="M39" s="2135"/>
      <c r="N39" s="2135"/>
      <c r="O39" s="2142"/>
      <c r="P39" s="3522"/>
      <c r="Q39" s="3177" t="str">
        <f t="shared" si="11"/>
        <v>市政基础设施</v>
      </c>
      <c r="R39" s="1573" t="s">
        <v>11</v>
      </c>
      <c r="S39" s="1574">
        <f t="shared" si="12"/>
        <v>100</v>
      </c>
      <c r="T39" s="1573" t="s">
        <v>11</v>
      </c>
      <c r="U39" s="1574">
        <f t="shared" si="13"/>
        <v>100</v>
      </c>
      <c r="V39" s="1573" t="s">
        <v>11</v>
      </c>
      <c r="W39" s="1574">
        <f t="shared" si="14"/>
        <v>100</v>
      </c>
      <c r="X39" s="3179"/>
      <c r="Y39" s="3522"/>
      <c r="Z39" s="3178" t="str">
        <f t="shared" si="15"/>
        <v>市政基础设施</v>
      </c>
      <c r="AA39" s="3180">
        <f t="shared" si="3"/>
        <v>1</v>
      </c>
      <c r="AB39" s="3180">
        <f t="shared" si="4"/>
        <v>1</v>
      </c>
      <c r="AC39" s="3180">
        <f t="shared" si="5"/>
        <v>1</v>
      </c>
    </row>
    <row r="40" spans="1:29" ht="15">
      <c r="A40" s="596"/>
      <c r="B40" s="530" t="s">
        <v>732</v>
      </c>
      <c r="C40" s="601"/>
      <c r="D40" s="543">
        <v>100</v>
      </c>
      <c r="E40" s="876"/>
      <c r="F40" s="577">
        <f>SUMIF(118:118,E40,119:119)-SUMIF(118:118,C40,119:119)+100</f>
        <v>100</v>
      </c>
      <c r="G40" s="601"/>
      <c r="H40" s="543">
        <f>SUMIF(118:118,G40,119:119)-SUMIF(118:118,C40,119:119)+100</f>
        <v>100</v>
      </c>
      <c r="I40" s="876"/>
      <c r="J40" s="543">
        <f>SUMIF(118:118,I40,119:119)-SUMIF(118:118,C40,119:119)+100</f>
        <v>100</v>
      </c>
      <c r="K40" s="866"/>
      <c r="L40" s="2143"/>
      <c r="M40" s="2135"/>
      <c r="N40" s="2135"/>
      <c r="O40" s="2142"/>
      <c r="P40" s="3522"/>
      <c r="Q40" s="3177" t="str">
        <f t="shared" si="11"/>
        <v>房型</v>
      </c>
      <c r="R40" s="1573" t="s">
        <v>11</v>
      </c>
      <c r="S40" s="1574">
        <f t="shared" si="12"/>
        <v>100</v>
      </c>
      <c r="T40" s="1573" t="s">
        <v>11</v>
      </c>
      <c r="U40" s="1574">
        <f t="shared" si="13"/>
        <v>100</v>
      </c>
      <c r="V40" s="1573" t="s">
        <v>11</v>
      </c>
      <c r="W40" s="1574">
        <f t="shared" si="14"/>
        <v>100</v>
      </c>
      <c r="X40" s="3179"/>
      <c r="Y40" s="3522"/>
      <c r="Z40" s="3178" t="str">
        <f t="shared" si="15"/>
        <v>房型</v>
      </c>
      <c r="AA40" s="3180">
        <f t="shared" si="3"/>
        <v>1</v>
      </c>
      <c r="AB40" s="3180">
        <f t="shared" si="4"/>
        <v>1</v>
      </c>
      <c r="AC40" s="3180">
        <f t="shared" si="5"/>
        <v>1</v>
      </c>
    </row>
    <row r="41" spans="1:29" s="1339" customFormat="1" ht="28.5">
      <c r="A41" s="605"/>
      <c r="B41" s="530" t="s">
        <v>733</v>
      </c>
      <c r="C41" s="881"/>
      <c r="D41" s="255">
        <v>100</v>
      </c>
      <c r="E41" s="537"/>
      <c r="F41" s="865">
        <f>SUMIF(120:120,E41,121:121)-SUMIF(120:120,C41,121:121)+100</f>
        <v>100</v>
      </c>
      <c r="G41" s="536"/>
      <c r="H41" s="255">
        <f>SUMIF(120:120,G41,121:121)-SUMIF(120:120,C41,121:121)+100</f>
        <v>100</v>
      </c>
      <c r="I41" s="588"/>
      <c r="J41" s="543">
        <f>SUMIF(120:120,I41,121:121)-SUMIF(120:120,C41,121:121)+100</f>
        <v>100</v>
      </c>
      <c r="K41" s="867"/>
      <c r="L41" s="2141"/>
      <c r="M41" s="2172"/>
      <c r="N41" s="2172"/>
      <c r="O41" s="2144"/>
      <c r="P41" s="3522"/>
      <c r="Q41" s="1605" t="str">
        <f t="shared" si="11"/>
        <v>单套/主力户型建筑面积</v>
      </c>
      <c r="R41" s="1577" t="s">
        <v>11</v>
      </c>
      <c r="S41" s="1578">
        <f t="shared" si="12"/>
        <v>100</v>
      </c>
      <c r="T41" s="1577" t="s">
        <v>11</v>
      </c>
      <c r="U41" s="1578">
        <f t="shared" si="13"/>
        <v>100</v>
      </c>
      <c r="V41" s="1577" t="s">
        <v>11</v>
      </c>
      <c r="W41" s="1578">
        <f t="shared" si="14"/>
        <v>100</v>
      </c>
      <c r="X41" s="1579"/>
      <c r="Y41" s="3522"/>
      <c r="Z41" s="1580" t="str">
        <f t="shared" si="15"/>
        <v>单套/主力户型建筑面积</v>
      </c>
      <c r="AA41" s="3180">
        <f t="shared" si="3"/>
        <v>1</v>
      </c>
      <c r="AB41" s="3180">
        <f t="shared" si="4"/>
        <v>1</v>
      </c>
      <c r="AC41" s="3180">
        <f t="shared" si="5"/>
        <v>1</v>
      </c>
    </row>
    <row r="42" spans="1:29" ht="15">
      <c r="A42" s="596"/>
      <c r="B42" s="530" t="s">
        <v>734</v>
      </c>
      <c r="C42" s="601" t="s">
        <v>3259</v>
      </c>
      <c r="D42" s="543">
        <v>100</v>
      </c>
      <c r="E42" s="601" t="s">
        <v>3259</v>
      </c>
      <c r="F42" s="577">
        <f>SUMIF(122:122,E42,123:123)-SUMIF(122:122,C42,123:123)+100</f>
        <v>100</v>
      </c>
      <c r="G42" s="601" t="s">
        <v>3259</v>
      </c>
      <c r="H42" s="543">
        <f>SUMIF(122:122,G42,123:123)-SUMIF(122:122,C42,123:123)+100</f>
        <v>100</v>
      </c>
      <c r="I42" s="601" t="s">
        <v>3259</v>
      </c>
      <c r="J42" s="543">
        <f>SUMIF(122:122,I42,123:123)-SUMIF(122:122,C42,123:123)+100</f>
        <v>100</v>
      </c>
      <c r="K42" s="866">
        <v>5</v>
      </c>
      <c r="L42" s="2143"/>
      <c r="M42" s="2135"/>
      <c r="N42" s="2135"/>
      <c r="O42" s="2142"/>
      <c r="P42" s="3522"/>
      <c r="Q42" s="3177" t="str">
        <f t="shared" si="11"/>
        <v>内部装修</v>
      </c>
      <c r="R42" s="1573" t="s">
        <v>11</v>
      </c>
      <c r="S42" s="1574">
        <f t="shared" si="12"/>
        <v>100</v>
      </c>
      <c r="T42" s="1573" t="s">
        <v>11</v>
      </c>
      <c r="U42" s="1574">
        <f t="shared" si="13"/>
        <v>100</v>
      </c>
      <c r="V42" s="1573" t="s">
        <v>11</v>
      </c>
      <c r="W42" s="1574">
        <f t="shared" si="14"/>
        <v>100</v>
      </c>
      <c r="X42" s="3179"/>
      <c r="Y42" s="3522"/>
      <c r="Z42" s="3178" t="str">
        <f t="shared" si="15"/>
        <v>内部装修</v>
      </c>
      <c r="AA42" s="3180">
        <f t="shared" si="3"/>
        <v>1</v>
      </c>
      <c r="AB42" s="3180">
        <f t="shared" si="4"/>
        <v>1</v>
      </c>
      <c r="AC42" s="3180">
        <f t="shared" si="5"/>
        <v>1</v>
      </c>
    </row>
    <row r="43" spans="1:29" ht="27.75" thickBot="1">
      <c r="A43" s="596"/>
      <c r="B43" s="530" t="s">
        <v>735</v>
      </c>
      <c r="C43" s="601" t="s">
        <v>3229</v>
      </c>
      <c r="D43" s="543">
        <v>100</v>
      </c>
      <c r="E43" s="601" t="s">
        <v>3229</v>
      </c>
      <c r="F43" s="577">
        <f>SUMIF(124:124,E43,125:125)-SUMIF(124:124,C43,125:125)+100</f>
        <v>100</v>
      </c>
      <c r="G43" s="601" t="s">
        <v>3229</v>
      </c>
      <c r="H43" s="543">
        <f>SUMIF(124:124,G43,125:125)-SUMIF(124:124,C43,125:125)+100</f>
        <v>100</v>
      </c>
      <c r="I43" s="601" t="s">
        <v>3229</v>
      </c>
      <c r="J43" s="543">
        <f>SUMIF(124:124,I43,125:125)-SUMIF(124:124,C43,125:125)+100</f>
        <v>100</v>
      </c>
      <c r="K43" s="866"/>
      <c r="L43" s="2143"/>
      <c r="M43" s="2135"/>
      <c r="N43" s="2135"/>
      <c r="O43" s="2142"/>
      <c r="P43" s="3522"/>
      <c r="Q43" s="3177" t="str">
        <f t="shared" si="11"/>
        <v>内部装修维护情况</v>
      </c>
      <c r="R43" s="1573" t="s">
        <v>11</v>
      </c>
      <c r="S43" s="1574">
        <f t="shared" si="12"/>
        <v>100</v>
      </c>
      <c r="T43" s="1573" t="s">
        <v>11</v>
      </c>
      <c r="U43" s="1574">
        <f t="shared" si="13"/>
        <v>100</v>
      </c>
      <c r="V43" s="1573" t="s">
        <v>11</v>
      </c>
      <c r="W43" s="1574">
        <f t="shared" si="14"/>
        <v>100</v>
      </c>
      <c r="X43" s="3179"/>
      <c r="Y43" s="3522"/>
      <c r="Z43" s="3178" t="str">
        <f t="shared" si="15"/>
        <v>内部装修维护情况</v>
      </c>
      <c r="AA43" s="3180">
        <f t="shared" si="3"/>
        <v>1</v>
      </c>
      <c r="AB43" s="3180">
        <f t="shared" si="4"/>
        <v>1</v>
      </c>
      <c r="AC43" s="3180">
        <f t="shared" si="5"/>
        <v>1</v>
      </c>
    </row>
    <row r="44" spans="1:29" s="1220" customFormat="1" ht="18.75" hidden="1" customHeight="1">
      <c r="A44" s="602"/>
      <c r="B44" s="879"/>
      <c r="C44" s="881"/>
      <c r="D44" s="255">
        <v>100</v>
      </c>
      <c r="E44" s="881"/>
      <c r="F44" s="865">
        <f>SUMIF(126:126,E44,127:127)-SUMIF(126:126,C44,127:127)+100</f>
        <v>100</v>
      </c>
      <c r="G44" s="881"/>
      <c r="H44" s="255">
        <f>SUMIF(126:126,G44,127:127)-SUMIF(126:126,C44,127:127)+100</f>
        <v>100</v>
      </c>
      <c r="I44" s="881"/>
      <c r="J44" s="255">
        <f>SUMIF(126:126,I44,127:127)-SUMIF(126:126,C44,127:127)+100</f>
        <v>100</v>
      </c>
      <c r="K44" s="867"/>
      <c r="L44" s="2136"/>
      <c r="M44" s="2137"/>
      <c r="N44" s="2137"/>
      <c r="O44" s="2138"/>
      <c r="P44" s="3522"/>
      <c r="Q44" s="3176">
        <f t="shared" si="11"/>
        <v>0</v>
      </c>
      <c r="R44" s="1568" t="s">
        <v>11</v>
      </c>
      <c r="S44" s="1569">
        <f t="shared" si="12"/>
        <v>100</v>
      </c>
      <c r="T44" s="1568" t="s">
        <v>11</v>
      </c>
      <c r="U44" s="1569">
        <f t="shared" si="13"/>
        <v>100</v>
      </c>
      <c r="V44" s="1568" t="s">
        <v>11</v>
      </c>
      <c r="W44" s="1569">
        <f t="shared" si="14"/>
        <v>100</v>
      </c>
      <c r="X44" s="1570"/>
      <c r="Y44" s="3522"/>
      <c r="Z44" s="3175">
        <f t="shared" si="15"/>
        <v>0</v>
      </c>
      <c r="AA44" s="1571">
        <f t="shared" si="3"/>
        <v>1</v>
      </c>
      <c r="AB44" s="1571">
        <f t="shared" si="4"/>
        <v>1</v>
      </c>
      <c r="AC44" s="1571">
        <f t="shared" si="5"/>
        <v>1</v>
      </c>
    </row>
    <row r="45" spans="1:29" ht="15.75" hidden="1" thickBot="1">
      <c r="A45" s="596"/>
      <c r="B45" s="879"/>
      <c r="C45" s="542"/>
      <c r="D45" s="543">
        <v>100</v>
      </c>
      <c r="E45" s="542"/>
      <c r="F45" s="577">
        <f>SUMIF(128:128,E45,129:129)-SUMIF(128:128,C45,129:129)+100</f>
        <v>100</v>
      </c>
      <c r="G45" s="542"/>
      <c r="H45" s="543">
        <f>SUMIF(128:128,G45,129:129)-SUMIF(128:128,C45,129:129)+100</f>
        <v>100</v>
      </c>
      <c r="I45" s="542"/>
      <c r="J45" s="543">
        <f>SUMIF(128:128,I45,129:129)-SUMIF(128:128,C45,129:129)+100</f>
        <v>100</v>
      </c>
      <c r="K45" s="867"/>
      <c r="L45" s="2143"/>
      <c r="M45" s="2135"/>
      <c r="N45" s="2135"/>
      <c r="O45" s="2142"/>
      <c r="P45" s="3522"/>
      <c r="Q45" s="3177">
        <f t="shared" si="11"/>
        <v>0</v>
      </c>
      <c r="R45" s="1573" t="s">
        <v>11</v>
      </c>
      <c r="S45" s="1574">
        <f t="shared" si="12"/>
        <v>100</v>
      </c>
      <c r="T45" s="1573" t="s">
        <v>11</v>
      </c>
      <c r="U45" s="1574">
        <f t="shared" si="13"/>
        <v>100</v>
      </c>
      <c r="V45" s="1573" t="s">
        <v>11</v>
      </c>
      <c r="W45" s="1574">
        <f t="shared" si="14"/>
        <v>100</v>
      </c>
      <c r="X45" s="3179"/>
      <c r="Y45" s="3522"/>
      <c r="Z45" s="3178">
        <f t="shared" si="15"/>
        <v>0</v>
      </c>
      <c r="AA45" s="3180">
        <f t="shared" si="3"/>
        <v>1</v>
      </c>
      <c r="AB45" s="3180">
        <f t="shared" si="4"/>
        <v>1</v>
      </c>
      <c r="AC45" s="3180">
        <f t="shared" si="5"/>
        <v>1</v>
      </c>
    </row>
    <row r="46" spans="1:29" ht="15.75" hidden="1" thickBot="1">
      <c r="A46" s="887"/>
      <c r="B46" s="547"/>
      <c r="C46" s="548"/>
      <c r="D46" s="549">
        <v>100</v>
      </c>
      <c r="E46" s="548"/>
      <c r="F46" s="868">
        <f>SUMIF(130:130,E46,131:131)-SUMIF(130:130,C46,131:131)+100</f>
        <v>100</v>
      </c>
      <c r="G46" s="548"/>
      <c r="H46" s="549">
        <f>SUMIF(130:130,G46,131:131)-SUMIF(130:130,C46,131:131)+100</f>
        <v>100</v>
      </c>
      <c r="I46" s="548"/>
      <c r="J46" s="549">
        <f>SUMIF(130:130,I46,131:131)-SUMIF(130:130,C46,131:131)+100</f>
        <v>100</v>
      </c>
      <c r="K46" s="867"/>
      <c r="L46" s="2143"/>
      <c r="M46" s="2135"/>
      <c r="N46" s="2135"/>
      <c r="O46" s="2142"/>
      <c r="P46" s="3620"/>
      <c r="Q46" s="3177">
        <f t="shared" si="11"/>
        <v>0</v>
      </c>
      <c r="R46" s="1573" t="s">
        <v>10</v>
      </c>
      <c r="S46" s="1574">
        <f t="shared" si="12"/>
        <v>100</v>
      </c>
      <c r="T46" s="1573" t="s">
        <v>10</v>
      </c>
      <c r="U46" s="1574">
        <f t="shared" si="13"/>
        <v>100</v>
      </c>
      <c r="V46" s="1573" t="s">
        <v>10</v>
      </c>
      <c r="W46" s="1574">
        <f t="shared" si="14"/>
        <v>100</v>
      </c>
      <c r="X46" s="3179"/>
      <c r="Y46" s="3620"/>
      <c r="Z46" s="3178">
        <f t="shared" si="15"/>
        <v>0</v>
      </c>
      <c r="AA46" s="3180">
        <f t="shared" si="3"/>
        <v>1</v>
      </c>
      <c r="AB46" s="3180">
        <f t="shared" si="4"/>
        <v>1</v>
      </c>
      <c r="AC46" s="3180">
        <f t="shared" si="5"/>
        <v>1</v>
      </c>
    </row>
    <row r="47" spans="1:29" ht="15">
      <c r="A47" s="609" t="s">
        <v>736</v>
      </c>
      <c r="B47" s="888"/>
      <c r="C47" s="2652" t="s">
        <v>9</v>
      </c>
      <c r="D47" s="2653"/>
      <c r="E47" s="2654">
        <f>ROUND(17000*0.98,0)</f>
        <v>16660</v>
      </c>
      <c r="F47" s="2655"/>
      <c r="G47" s="2654">
        <f>ROUND(16000*0.98,0)</f>
        <v>15680</v>
      </c>
      <c r="H47" s="2657"/>
      <c r="I47" s="2654">
        <f>ROUND(19000*0.98,0)</f>
        <v>18620</v>
      </c>
      <c r="J47" s="2657"/>
      <c r="K47" s="1606"/>
      <c r="L47" s="2145"/>
      <c r="M47" s="2146"/>
      <c r="N47" s="2135"/>
      <c r="O47" s="2146"/>
      <c r="P47" s="3517" t="str">
        <f>A47</f>
        <v>成交单价（元/平方米）</v>
      </c>
      <c r="Q47" s="3517"/>
      <c r="R47" s="3621">
        <f>E47</f>
        <v>16660</v>
      </c>
      <c r="S47" s="3621"/>
      <c r="T47" s="3621">
        <f>G47</f>
        <v>15680</v>
      </c>
      <c r="U47" s="3621"/>
      <c r="V47" s="3621">
        <f>I47</f>
        <v>18620</v>
      </c>
      <c r="W47" s="3621"/>
      <c r="X47" s="1559"/>
      <c r="Y47" s="1581"/>
      <c r="Z47" s="1559"/>
      <c r="AA47" s="1559"/>
      <c r="AB47" s="1559"/>
      <c r="AC47" s="1559"/>
    </row>
    <row r="48" spans="1:29" ht="15.75" thickBot="1">
      <c r="A48" s="617" t="s">
        <v>2696</v>
      </c>
      <c r="B48" s="889"/>
      <c r="C48" s="2658">
        <f>R49</f>
        <v>15402</v>
      </c>
      <c r="D48" s="2659"/>
      <c r="E48" s="2660">
        <f>R48</f>
        <v>15252</v>
      </c>
      <c r="F48" s="2660"/>
      <c r="G48" s="2658">
        <f>T48</f>
        <v>14076</v>
      </c>
      <c r="H48" s="2659"/>
      <c r="I48" s="2660">
        <f>V48</f>
        <v>16879</v>
      </c>
      <c r="J48" s="2659"/>
      <c r="K48" s="1607"/>
      <c r="L48" s="2145"/>
      <c r="M48" s="2146"/>
      <c r="N48" s="2146"/>
      <c r="O48" s="2146"/>
      <c r="P48" s="3517" t="str">
        <f>A48</f>
        <v>比较价格（元/平方米）</v>
      </c>
      <c r="Q48" s="3517"/>
      <c r="R48" s="3621">
        <f>IF(F1="售价",ROUND(PRODUCT(R47,AA7:AA46),0),ROUND(PRODUCT(R47,AA7:AA46),1))</f>
        <v>15252</v>
      </c>
      <c r="S48" s="3621"/>
      <c r="T48" s="3621">
        <f>IF(F1="售价",ROUND(PRODUCT(T47,AB7:AB46),0),ROUND(PRODUCT(T47,AB7:AB46),1))</f>
        <v>14076</v>
      </c>
      <c r="U48" s="3621"/>
      <c r="V48" s="3621">
        <f>IF(F1="售价",ROUND(PRODUCT(V47,AC7:AC46),0),ROUND(PRODUCT(V47,AC7:AC46),1))</f>
        <v>16879</v>
      </c>
      <c r="W48" s="3621"/>
      <c r="X48" s="1559"/>
      <c r="Y48" s="1559"/>
      <c r="Z48" s="1559"/>
      <c r="AA48" s="1559"/>
      <c r="AB48" s="1559"/>
      <c r="AC48" s="1559"/>
    </row>
    <row r="49" spans="1:29" ht="15.75" thickBot="1">
      <c r="A49" s="623" t="s">
        <v>2930</v>
      </c>
      <c r="B49" s="624"/>
      <c r="C49" s="2661">
        <f>R49</f>
        <v>15402</v>
      </c>
      <c r="D49" s="2661"/>
      <c r="E49" s="2661"/>
      <c r="F49" s="2661"/>
      <c r="G49" s="2661"/>
      <c r="H49" s="2661"/>
      <c r="I49" s="2661"/>
      <c r="J49" s="2661"/>
      <c r="K49" s="1608"/>
      <c r="L49" s="2145"/>
      <c r="M49" s="2146"/>
      <c r="N49" s="2146"/>
      <c r="O49" s="2146"/>
      <c r="P49" s="3539" t="str">
        <f>A49</f>
        <v>估价对象XX用房的比较价格（楼面单价，元/平方米）</v>
      </c>
      <c r="Q49" s="3540"/>
      <c r="R49" s="3622">
        <f>IF(F1="售价",ROUND(AVERAGE(R48:V48),0),ROUND(AVERAGE(R48:V48),1))</f>
        <v>15402</v>
      </c>
      <c r="S49" s="3622"/>
      <c r="T49" s="3622"/>
      <c r="U49" s="3622"/>
      <c r="V49" s="3622"/>
      <c r="W49" s="362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6" t="s">
        <v>558</v>
      </c>
      <c r="D52" s="627"/>
      <c r="E52" s="628">
        <f>IF(E47&lt;E48,E48/E47-1,E47/E48-1)</f>
        <v>9.2315761867296064E-2</v>
      </c>
      <c r="F52" s="629" t="str">
        <f>IF(OR(E52&gt;=0.3,E52&lt;=-0.3),"超过30%","")</f>
        <v/>
      </c>
      <c r="G52" s="628">
        <f>IF(G47&lt;G48,G48/G47-1,G47/G48-1)</f>
        <v>0.11395282750781477</v>
      </c>
      <c r="H52" s="629" t="str">
        <f>IF(OR(G52&gt;=0.3,G52&lt;=-0.3),"超过30%","")</f>
        <v/>
      </c>
      <c r="I52" s="628">
        <f>IF(I47&lt;I48,I48/I47-1,I47/I48-1)</f>
        <v>0.10314592096688191</v>
      </c>
      <c r="J52" s="629"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6" t="s">
        <v>559</v>
      </c>
      <c r="D53" s="630"/>
      <c r="E53" s="628">
        <f>IF(E48&lt;G48,G48/E48-1,E48/G48-1)</f>
        <v>8.3546462063086135E-2</v>
      </c>
      <c r="F53" s="629" t="str">
        <f>IF(OR(E53&gt;=0.2,E53&lt;=-0.2),"超过20%","")</f>
        <v/>
      </c>
      <c r="G53" s="628">
        <f>IF(G48&lt;I48,I48/G48-1,G48/I48-1)</f>
        <v>0.19913327649900547</v>
      </c>
      <c r="H53" s="629" t="str">
        <f>IF(OR(G53&gt;=0.2,G53&lt;=-0.2),"超过20%","")</f>
        <v/>
      </c>
      <c r="I53" s="628">
        <f>IF(I48&lt;E48,E48/I48-1,I48/E48-1)</f>
        <v>0.10667453448728037</v>
      </c>
      <c r="J53" s="629"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6" t="s">
        <v>560</v>
      </c>
      <c r="D54" s="630"/>
      <c r="E54" s="628">
        <f>IF(E47&lt;G47,G47/E47-1,E47/G47-1)</f>
        <v>6.25E-2</v>
      </c>
      <c r="F54" s="629" t="str">
        <f>IF(OR(E54&gt;=0.3,E54&lt;=-0.3),"超过30%","")</f>
        <v/>
      </c>
      <c r="G54" s="628">
        <f>IF(G47&lt;I47,I47/G47-1,G47/I47-1)</f>
        <v>0.1875</v>
      </c>
      <c r="H54" s="629" t="str">
        <f>IF(OR(G54&gt;=0.3,G54&lt;=-0.3),"超过30%","")</f>
        <v/>
      </c>
      <c r="I54" s="628">
        <f>IF(I47&lt;E47,E47/I47-1,I47/E47-1)</f>
        <v>0.11764705882352944</v>
      </c>
      <c r="J54" s="629"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7" t="s">
        <v>530</v>
      </c>
      <c r="B58" s="648"/>
      <c r="C58" s="2831" t="str">
        <f>YEAR(C7)&amp;"-"&amp;MONTH(C7)</f>
        <v>2017-11</v>
      </c>
      <c r="D58" s="2831">
        <f>EDATE(C58,-1)</f>
        <v>43009</v>
      </c>
      <c r="E58" s="2831">
        <f t="shared" ref="E58:O58" si="16">EDATE(D58,-1)</f>
        <v>42979</v>
      </c>
      <c r="F58" s="2831">
        <f t="shared" si="16"/>
        <v>42948</v>
      </c>
      <c r="G58" s="2831">
        <f t="shared" si="16"/>
        <v>42917</v>
      </c>
      <c r="H58" s="2831">
        <f t="shared" si="16"/>
        <v>42887</v>
      </c>
      <c r="I58" s="2831">
        <f t="shared" si="16"/>
        <v>42856</v>
      </c>
      <c r="J58" s="2831">
        <f t="shared" si="16"/>
        <v>42826</v>
      </c>
      <c r="K58" s="2831">
        <f t="shared" si="16"/>
        <v>42795</v>
      </c>
      <c r="L58" s="2831">
        <f t="shared" si="16"/>
        <v>42767</v>
      </c>
      <c r="M58" s="2831">
        <f t="shared" si="16"/>
        <v>42736</v>
      </c>
      <c r="N58" s="2831">
        <f t="shared" si="16"/>
        <v>42705</v>
      </c>
      <c r="O58" s="2831">
        <f t="shared" si="16"/>
        <v>42675</v>
      </c>
      <c r="P58" s="2161"/>
      <c r="Q58" s="2162"/>
      <c r="R58" s="2162"/>
      <c r="S58" s="2162"/>
      <c r="T58" s="2162"/>
      <c r="U58" s="2162"/>
      <c r="V58" s="2162"/>
      <c r="W58" s="2162"/>
      <c r="X58" s="2162"/>
      <c r="Y58" s="2162"/>
      <c r="Z58" s="2162"/>
      <c r="AA58" s="2162"/>
      <c r="AB58" s="2162"/>
      <c r="AC58" s="2162"/>
    </row>
    <row r="59" spans="1:29" s="1220" customFormat="1" ht="15">
      <c r="A59" s="649"/>
      <c r="B59" s="650"/>
      <c r="C59" s="651">
        <v>100</v>
      </c>
      <c r="D59" s="652"/>
      <c r="E59" s="652"/>
      <c r="F59" s="652"/>
      <c r="G59" s="652"/>
      <c r="H59" s="652"/>
      <c r="I59" s="652"/>
      <c r="J59" s="652"/>
      <c r="K59" s="652"/>
      <c r="L59" s="652"/>
      <c r="M59" s="652"/>
      <c r="N59" s="652"/>
      <c r="O59" s="652"/>
      <c r="P59" s="2159"/>
      <c r="Q59" s="1994"/>
      <c r="R59" s="1994"/>
      <c r="S59" s="1994"/>
      <c r="T59" s="1994"/>
      <c r="U59" s="1994"/>
      <c r="V59" s="1994"/>
      <c r="W59" s="1994"/>
      <c r="X59" s="1994"/>
      <c r="Y59" s="1994"/>
      <c r="Z59" s="1994"/>
      <c r="AA59" s="1994"/>
      <c r="AB59" s="1994"/>
      <c r="AC59" s="1994"/>
    </row>
    <row r="60" spans="1:29" s="1220" customFormat="1" ht="15.75" thickBot="1">
      <c r="A60" s="655" t="s">
        <v>576</v>
      </c>
      <c r="B60" s="656"/>
      <c r="C60" s="657"/>
      <c r="D60" s="658"/>
      <c r="E60" s="658"/>
      <c r="F60" s="658"/>
      <c r="G60" s="658"/>
      <c r="H60" s="658"/>
      <c r="I60" s="658"/>
      <c r="J60" s="658"/>
      <c r="K60" s="658"/>
      <c r="L60" s="658"/>
      <c r="M60" s="659"/>
      <c r="N60" s="658"/>
      <c r="O60" s="660"/>
      <c r="P60" s="2159"/>
      <c r="Q60" s="2159"/>
      <c r="R60" s="1994"/>
      <c r="S60" s="1994"/>
      <c r="T60" s="1994"/>
      <c r="U60" s="1994"/>
      <c r="V60" s="1994"/>
      <c r="W60" s="1994"/>
      <c r="X60" s="1994"/>
      <c r="Y60" s="1994"/>
      <c r="Z60" s="1994"/>
      <c r="AA60" s="1994"/>
      <c r="AB60" s="1994"/>
      <c r="AC60" s="1994"/>
    </row>
    <row r="61" spans="1:29" s="1220" customFormat="1" ht="15">
      <c r="A61" s="661" t="s">
        <v>532</v>
      </c>
      <c r="B61" s="650"/>
      <c r="C61" s="662" t="s">
        <v>577</v>
      </c>
      <c r="D61" s="663"/>
      <c r="E61" s="663"/>
      <c r="F61" s="663"/>
      <c r="G61" s="663"/>
      <c r="H61" s="663"/>
      <c r="I61" s="663"/>
      <c r="J61" s="663"/>
      <c r="K61" s="663"/>
      <c r="L61" s="664"/>
      <c r="M61" s="665"/>
      <c r="N61" s="2163"/>
      <c r="O61" s="2163"/>
      <c r="P61" s="2164"/>
      <c r="Q61" s="2159"/>
      <c r="R61" s="1994"/>
      <c r="S61" s="1994"/>
      <c r="T61" s="1994"/>
      <c r="U61" s="1994"/>
      <c r="V61" s="1994"/>
      <c r="W61" s="1994"/>
      <c r="X61" s="1994"/>
      <c r="Y61" s="1994"/>
      <c r="Z61" s="1994"/>
      <c r="AA61" s="1994"/>
      <c r="AB61" s="1994"/>
      <c r="AC61" s="1994"/>
    </row>
    <row r="62" spans="1:29" s="1220" customFormat="1" ht="15.75" thickBot="1">
      <c r="A62" s="661"/>
      <c r="B62" s="650"/>
      <c r="C62" s="890">
        <v>100</v>
      </c>
      <c r="D62" s="652"/>
      <c r="E62" s="652"/>
      <c r="F62" s="652"/>
      <c r="G62" s="652"/>
      <c r="H62" s="652"/>
      <c r="I62" s="652"/>
      <c r="J62" s="652"/>
      <c r="K62" s="652"/>
      <c r="L62" s="652"/>
      <c r="M62" s="654"/>
      <c r="N62" s="2163"/>
      <c r="O62" s="2163"/>
      <c r="P62" s="2159"/>
      <c r="Q62" s="2159"/>
      <c r="R62" s="1994"/>
      <c r="S62" s="1994"/>
      <c r="T62" s="1994"/>
      <c r="U62" s="1994"/>
      <c r="V62" s="1994"/>
      <c r="W62" s="1994"/>
      <c r="X62" s="1994"/>
      <c r="Y62" s="1994"/>
      <c r="Z62" s="1994"/>
      <c r="AA62" s="1994"/>
      <c r="AB62" s="1994"/>
      <c r="AC62" s="1994"/>
    </row>
    <row r="63" spans="1:29">
      <c r="A63" s="666" t="s">
        <v>578</v>
      </c>
      <c r="B63" s="667" t="s">
        <v>535</v>
      </c>
      <c r="C63" s="706" t="str">
        <f>C9</f>
        <v>住宅</v>
      </c>
      <c r="D63" s="600"/>
      <c r="E63" s="600"/>
      <c r="F63" s="600"/>
      <c r="G63" s="600"/>
      <c r="H63" s="600"/>
      <c r="I63" s="600"/>
      <c r="J63" s="600"/>
      <c r="K63" s="668"/>
      <c r="L63" s="669"/>
      <c r="M63" s="670"/>
      <c r="N63" s="2165"/>
      <c r="O63" s="2165"/>
      <c r="P63" s="2166"/>
      <c r="Q63" s="2159"/>
      <c r="R63" s="2146"/>
      <c r="S63" s="2146"/>
      <c r="T63" s="2146"/>
      <c r="U63" s="2146"/>
      <c r="V63" s="2146"/>
      <c r="W63" s="2146"/>
      <c r="X63" s="2146"/>
      <c r="Y63" s="2146"/>
      <c r="Z63" s="2146"/>
      <c r="AA63" s="2146"/>
      <c r="AB63" s="2146"/>
      <c r="AC63" s="2146"/>
    </row>
    <row r="64" spans="1:29" ht="15.75" thickBot="1">
      <c r="A64" s="671"/>
      <c r="B64" s="672"/>
      <c r="C64" s="673">
        <v>100</v>
      </c>
      <c r="D64" s="673"/>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71"/>
      <c r="B65" s="675" t="s">
        <v>538</v>
      </c>
      <c r="C65" s="676" t="s">
        <v>737</v>
      </c>
      <c r="D65" s="676" t="s">
        <v>738</v>
      </c>
      <c r="E65" s="676" t="s">
        <v>739</v>
      </c>
      <c r="F65" s="676" t="s">
        <v>740</v>
      </c>
      <c r="G65" s="676" t="s">
        <v>741</v>
      </c>
      <c r="H65" s="676" t="s">
        <v>742</v>
      </c>
      <c r="I65" s="676" t="s">
        <v>743</v>
      </c>
      <c r="J65" s="676"/>
      <c r="K65" s="677"/>
      <c r="L65" s="678"/>
      <c r="M65" s="679"/>
      <c r="N65" s="2165"/>
      <c r="O65" s="2165"/>
      <c r="P65" s="2166"/>
      <c r="Q65" s="2159"/>
      <c r="R65" s="2146"/>
      <c r="S65" s="2146"/>
      <c r="T65" s="2146"/>
      <c r="U65" s="2146"/>
      <c r="V65" s="2146"/>
      <c r="W65" s="2146"/>
      <c r="X65" s="2146"/>
      <c r="Y65" s="2146"/>
      <c r="Z65" s="2146"/>
      <c r="AA65" s="2146"/>
      <c r="AB65" s="2146"/>
      <c r="AC65" s="2146"/>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67"/>
      <c r="O66" s="2167"/>
      <c r="P66" s="2166"/>
      <c r="Q66" s="2159"/>
      <c r="R66" s="2146"/>
      <c r="S66" s="2146"/>
      <c r="T66" s="2146"/>
      <c r="U66" s="2146"/>
      <c r="V66" s="2146"/>
      <c r="W66" s="2146"/>
      <c r="X66" s="2146"/>
      <c r="Y66" s="2146"/>
      <c r="Z66" s="2146"/>
      <c r="AA66" s="2146"/>
      <c r="AB66" s="2146"/>
      <c r="AC66" s="2146"/>
    </row>
    <row r="67" spans="1:29" ht="15.75" thickTop="1">
      <c r="A67" s="671"/>
      <c r="B67" s="683" t="s">
        <v>539</v>
      </c>
      <c r="C67" s="684" t="str">
        <f>C68&amp;"（含）"&amp;"-"&amp;D68</f>
        <v>0（含）-0.5</v>
      </c>
      <c r="D67" s="684" t="str">
        <f t="shared" ref="D67:L67" si="18">D68&amp;"（含）"&amp;"-"&amp;E68</f>
        <v>0.5（含）-1</v>
      </c>
      <c r="E67" s="684" t="str">
        <f t="shared" si="18"/>
        <v>1（含）-1.5</v>
      </c>
      <c r="F67" s="684" t="str">
        <f t="shared" si="18"/>
        <v>1.5（含）-</v>
      </c>
      <c r="G67" s="684" t="str">
        <f t="shared" si="18"/>
        <v>（含）-</v>
      </c>
      <c r="H67" s="684" t="str">
        <f t="shared" si="18"/>
        <v>（含）-</v>
      </c>
      <c r="I67" s="684" t="str">
        <f t="shared" si="18"/>
        <v>（含）-</v>
      </c>
      <c r="J67" s="684" t="str">
        <f t="shared" si="18"/>
        <v>（含）-</v>
      </c>
      <c r="K67" s="684" t="str">
        <f t="shared" si="18"/>
        <v>（含）-</v>
      </c>
      <c r="L67" s="684" t="str">
        <f t="shared" si="18"/>
        <v>（含）-</v>
      </c>
      <c r="M67" s="558"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1"/>
      <c r="B68" s="685"/>
      <c r="C68" s="544">
        <v>0</v>
      </c>
      <c r="D68" s="544">
        <v>0.5</v>
      </c>
      <c r="E68" s="544">
        <v>1</v>
      </c>
      <c r="F68" s="544">
        <v>1.5</v>
      </c>
      <c r="G68" s="544"/>
      <c r="H68" s="544"/>
      <c r="I68" s="544"/>
      <c r="J68" s="544"/>
      <c r="K68" s="686"/>
      <c r="L68" s="687"/>
      <c r="M68" s="688"/>
      <c r="N68" s="2165"/>
      <c r="O68" s="2165"/>
      <c r="P68" s="2166"/>
      <c r="Q68" s="2159"/>
      <c r="R68" s="2146"/>
      <c r="S68" s="2146"/>
      <c r="T68" s="2146"/>
      <c r="U68" s="2146"/>
      <c r="V68" s="2146"/>
      <c r="W68" s="2146"/>
      <c r="X68" s="2146"/>
      <c r="Y68" s="2146"/>
      <c r="Z68" s="2146"/>
      <c r="AA68" s="2146"/>
      <c r="AB68" s="2146"/>
      <c r="AC68" s="2146"/>
    </row>
    <row r="69" spans="1:29" ht="15.75" thickBot="1">
      <c r="A69" s="671"/>
      <c r="B69" s="672"/>
      <c r="C69" s="681">
        <v>100</v>
      </c>
      <c r="D69" s="681">
        <f t="shared" ref="D69:M69" si="19">C69-$K11</f>
        <v>99</v>
      </c>
      <c r="E69" s="681">
        <f t="shared" si="19"/>
        <v>98</v>
      </c>
      <c r="F69" s="681">
        <f t="shared" si="19"/>
        <v>97</v>
      </c>
      <c r="G69" s="681">
        <f t="shared" si="19"/>
        <v>96</v>
      </c>
      <c r="H69" s="681">
        <f t="shared" si="19"/>
        <v>95</v>
      </c>
      <c r="I69" s="681">
        <f t="shared" si="19"/>
        <v>94</v>
      </c>
      <c r="J69" s="681">
        <f t="shared" si="19"/>
        <v>93</v>
      </c>
      <c r="K69" s="681">
        <f t="shared" si="19"/>
        <v>92</v>
      </c>
      <c r="L69" s="681">
        <f t="shared" si="19"/>
        <v>91</v>
      </c>
      <c r="M69" s="682">
        <f t="shared" si="19"/>
        <v>90</v>
      </c>
      <c r="N69" s="2167"/>
      <c r="O69" s="2167"/>
      <c r="P69" s="2166"/>
      <c r="Q69" s="2159"/>
      <c r="R69" s="2146"/>
      <c r="S69" s="2146"/>
      <c r="T69" s="2146"/>
      <c r="U69" s="2146"/>
      <c r="V69" s="2146"/>
      <c r="W69" s="2146"/>
      <c r="X69" s="2146"/>
      <c r="Y69" s="2146"/>
      <c r="Z69" s="2146"/>
      <c r="AA69" s="2146"/>
      <c r="AB69" s="2146"/>
      <c r="AC69" s="2146"/>
    </row>
    <row r="70" spans="1:29" s="1339" customFormat="1" ht="15.75" hidden="1" thickTop="1">
      <c r="A70" s="689"/>
      <c r="B70" s="675">
        <f>B12</f>
        <v>0</v>
      </c>
      <c r="C70" s="690"/>
      <c r="D70" s="690"/>
      <c r="E70" s="690"/>
      <c r="F70" s="690"/>
      <c r="G70" s="690"/>
      <c r="H70" s="691"/>
      <c r="I70" s="691"/>
      <c r="J70" s="691"/>
      <c r="K70" s="691"/>
      <c r="L70" s="692"/>
      <c r="M70" s="693"/>
      <c r="N70" s="2168"/>
      <c r="O70" s="2168"/>
      <c r="P70" s="2169"/>
      <c r="Q70" s="2170"/>
      <c r="R70" s="2171"/>
      <c r="S70" s="2171"/>
      <c r="T70" s="2171"/>
      <c r="U70" s="2171"/>
      <c r="V70" s="2171"/>
      <c r="W70" s="2171"/>
      <c r="X70" s="2171"/>
      <c r="Y70" s="2171"/>
      <c r="Z70" s="2171"/>
      <c r="AA70" s="2171"/>
      <c r="AB70" s="2171"/>
      <c r="AC70" s="2171"/>
    </row>
    <row r="71" spans="1:29" s="1339" customFormat="1" ht="15.75" hidden="1" thickBot="1">
      <c r="A71" s="689"/>
      <c r="B71" s="680"/>
      <c r="C71" s="694"/>
      <c r="D71" s="673"/>
      <c r="E71" s="673"/>
      <c r="F71" s="673"/>
      <c r="G71" s="673"/>
      <c r="H71" s="673"/>
      <c r="I71" s="673"/>
      <c r="J71" s="673"/>
      <c r="K71" s="673"/>
      <c r="L71" s="673"/>
      <c r="M71" s="674"/>
      <c r="N71" s="2167"/>
      <c r="O71" s="2167"/>
      <c r="P71" s="2169"/>
      <c r="Q71" s="2170"/>
      <c r="R71" s="2171"/>
      <c r="S71" s="2171"/>
      <c r="T71" s="2171"/>
      <c r="U71" s="2171"/>
      <c r="V71" s="2171"/>
      <c r="W71" s="2171"/>
      <c r="X71" s="2171"/>
      <c r="Y71" s="2171"/>
      <c r="Z71" s="2171"/>
      <c r="AA71" s="2171"/>
      <c r="AB71" s="2171"/>
      <c r="AC71" s="2171"/>
    </row>
    <row r="72" spans="1:29" s="1339" customFormat="1" ht="15.75" hidden="1" thickTop="1">
      <c r="A72" s="689"/>
      <c r="B72" s="675">
        <f>B13</f>
        <v>0</v>
      </c>
      <c r="C72" s="690"/>
      <c r="D72" s="690"/>
      <c r="E72" s="690"/>
      <c r="F72" s="690"/>
      <c r="G72" s="690"/>
      <c r="H72" s="691"/>
      <c r="I72" s="691"/>
      <c r="J72" s="691"/>
      <c r="K72" s="691"/>
      <c r="L72" s="692"/>
      <c r="M72" s="693"/>
      <c r="N72" s="2168"/>
      <c r="O72" s="2168"/>
      <c r="P72" s="2172"/>
      <c r="Q72" s="2173"/>
      <c r="R72" s="2171"/>
      <c r="S72" s="2171"/>
      <c r="T72" s="2171"/>
      <c r="U72" s="2171"/>
      <c r="V72" s="2171"/>
      <c r="W72" s="2171"/>
      <c r="X72" s="2171"/>
      <c r="Y72" s="2171"/>
      <c r="Z72" s="2171"/>
      <c r="AA72" s="2171"/>
      <c r="AB72" s="2171"/>
      <c r="AC72" s="2171"/>
    </row>
    <row r="73" spans="1:29" s="1339" customFormat="1" ht="15.75" hidden="1" thickBot="1">
      <c r="A73" s="689"/>
      <c r="B73" s="680"/>
      <c r="C73" s="694"/>
      <c r="D73" s="694"/>
      <c r="E73" s="694"/>
      <c r="F73" s="694"/>
      <c r="G73" s="694"/>
      <c r="H73" s="695"/>
      <c r="I73" s="695"/>
      <c r="J73" s="695"/>
      <c r="K73" s="695"/>
      <c r="L73" s="695"/>
      <c r="M73" s="696"/>
      <c r="N73" s="2168"/>
      <c r="O73" s="2168"/>
      <c r="P73" s="2169"/>
      <c r="Q73" s="2170"/>
      <c r="R73" s="2171"/>
      <c r="S73" s="2171"/>
      <c r="T73" s="2171"/>
      <c r="U73" s="2171"/>
      <c r="V73" s="2171"/>
      <c r="W73" s="2171"/>
      <c r="X73" s="2171"/>
      <c r="Y73" s="2171"/>
      <c r="Z73" s="2171"/>
      <c r="AA73" s="2171"/>
      <c r="AB73" s="2171"/>
      <c r="AC73" s="2171"/>
    </row>
    <row r="74" spans="1:29" s="1339" customFormat="1" ht="15.75" hidden="1" thickTop="1">
      <c r="A74" s="689"/>
      <c r="B74" s="683">
        <f>B14</f>
        <v>0</v>
      </c>
      <c r="C74" s="690"/>
      <c r="D74" s="690"/>
      <c r="E74" s="690"/>
      <c r="F74" s="690"/>
      <c r="G74" s="663"/>
      <c r="H74" s="697"/>
      <c r="I74" s="697"/>
      <c r="J74" s="697"/>
      <c r="K74" s="697"/>
      <c r="L74" s="698"/>
      <c r="M74" s="699"/>
      <c r="N74" s="2168"/>
      <c r="O74" s="2168"/>
      <c r="P74" s="2174"/>
      <c r="Q74" s="2170"/>
      <c r="R74" s="2171"/>
      <c r="S74" s="2171"/>
      <c r="T74" s="2171"/>
      <c r="U74" s="2171"/>
      <c r="V74" s="2171"/>
      <c r="W74" s="2171"/>
      <c r="X74" s="2171"/>
      <c r="Y74" s="2171"/>
      <c r="Z74" s="2171"/>
      <c r="AA74" s="2171"/>
      <c r="AB74" s="2171"/>
      <c r="AC74" s="2171"/>
    </row>
    <row r="75" spans="1:29" s="1339" customFormat="1" ht="15.75" hidden="1" thickBot="1">
      <c r="A75" s="700"/>
      <c r="B75" s="701"/>
      <c r="C75" s="702"/>
      <c r="D75" s="702"/>
      <c r="E75" s="702"/>
      <c r="F75" s="702"/>
      <c r="G75" s="702"/>
      <c r="H75" s="703"/>
      <c r="I75" s="703"/>
      <c r="J75" s="703"/>
      <c r="K75" s="703"/>
      <c r="L75" s="703"/>
      <c r="M75" s="704"/>
      <c r="N75" s="2168"/>
      <c r="O75" s="2168"/>
      <c r="P75" s="2169"/>
      <c r="Q75" s="2170"/>
      <c r="R75" s="2171"/>
      <c r="S75" s="2171"/>
      <c r="T75" s="2171"/>
      <c r="U75" s="2171"/>
      <c r="V75" s="2171"/>
      <c r="W75" s="2171"/>
      <c r="X75" s="2171"/>
      <c r="Y75" s="2171"/>
      <c r="Z75" s="2171"/>
      <c r="AA75" s="2171"/>
      <c r="AB75" s="2171"/>
      <c r="AC75" s="2171"/>
    </row>
    <row r="76" spans="1:29" ht="15" thickTop="1">
      <c r="A76" s="666" t="s">
        <v>540</v>
      </c>
      <c r="B76" s="667" t="s">
        <v>579</v>
      </c>
      <c r="C76" s="705" t="s">
        <v>580</v>
      </c>
      <c r="D76" s="705" t="s">
        <v>581</v>
      </c>
      <c r="E76" s="705" t="s">
        <v>582</v>
      </c>
      <c r="F76" s="705" t="s">
        <v>583</v>
      </c>
      <c r="G76" s="705" t="s">
        <v>584</v>
      </c>
      <c r="H76" s="706"/>
      <c r="I76" s="706"/>
      <c r="J76" s="706"/>
      <c r="K76" s="707"/>
      <c r="L76" s="708"/>
      <c r="M76" s="709"/>
      <c r="N76" s="2165"/>
      <c r="O76" s="2165"/>
      <c r="P76" s="2175"/>
      <c r="Q76" s="2159"/>
      <c r="R76" s="2146"/>
      <c r="S76" s="2146"/>
      <c r="T76" s="2146"/>
      <c r="U76" s="2146"/>
      <c r="V76" s="2146"/>
      <c r="W76" s="2146"/>
      <c r="X76" s="2146"/>
      <c r="Y76" s="2146"/>
      <c r="Z76" s="2146"/>
      <c r="AA76" s="2146"/>
      <c r="AB76" s="2146"/>
      <c r="AC76" s="2146"/>
    </row>
    <row r="77" spans="1:29" ht="15.75" thickBot="1">
      <c r="A77" s="671"/>
      <c r="B77" s="680"/>
      <c r="C77" s="681">
        <v>100</v>
      </c>
      <c r="D77" s="681">
        <f>C77-$K15</f>
        <v>95</v>
      </c>
      <c r="E77" s="681">
        <f>D77-$K15</f>
        <v>90</v>
      </c>
      <c r="F77" s="681">
        <f>E77-$K15</f>
        <v>85</v>
      </c>
      <c r="G77" s="681">
        <f>F77-$K15</f>
        <v>80</v>
      </c>
      <c r="H77" s="681"/>
      <c r="I77" s="681"/>
      <c r="J77" s="681"/>
      <c r="K77" s="681"/>
      <c r="L77" s="681"/>
      <c r="M77" s="682"/>
      <c r="N77" s="2167"/>
      <c r="O77" s="2167"/>
      <c r="P77" s="2166"/>
      <c r="Q77" s="2159"/>
      <c r="R77" s="2146"/>
      <c r="S77" s="2146"/>
      <c r="T77" s="2146"/>
      <c r="U77" s="2146"/>
      <c r="V77" s="2146"/>
      <c r="W77" s="2146"/>
      <c r="X77" s="2146"/>
      <c r="Y77" s="2146"/>
      <c r="Z77" s="2146"/>
      <c r="AA77" s="2146"/>
      <c r="AB77" s="2146"/>
      <c r="AC77" s="2146"/>
    </row>
    <row r="78" spans="1:29" ht="15.75" thickTop="1">
      <c r="A78" s="671"/>
      <c r="B78" s="675" t="s">
        <v>587</v>
      </c>
      <c r="C78" s="710" t="s">
        <v>580</v>
      </c>
      <c r="D78" s="710" t="s">
        <v>581</v>
      </c>
      <c r="E78" s="710" t="s">
        <v>582</v>
      </c>
      <c r="F78" s="710" t="s">
        <v>583</v>
      </c>
      <c r="G78" s="710" t="s">
        <v>584</v>
      </c>
      <c r="H78" s="676"/>
      <c r="I78" s="676"/>
      <c r="J78" s="676"/>
      <c r="K78" s="677"/>
      <c r="L78" s="678"/>
      <c r="M78" s="679"/>
      <c r="N78" s="2165"/>
      <c r="O78" s="2165"/>
      <c r="P78" s="2166"/>
      <c r="Q78" s="2159"/>
      <c r="R78" s="2146"/>
      <c r="S78" s="2146"/>
      <c r="T78" s="2146"/>
      <c r="U78" s="2146"/>
      <c r="V78" s="2146"/>
      <c r="W78" s="2146"/>
      <c r="X78" s="2146"/>
      <c r="Y78" s="2146"/>
      <c r="Z78" s="2146"/>
      <c r="AA78" s="2146"/>
      <c r="AB78" s="2146"/>
      <c r="AC78" s="2146"/>
    </row>
    <row r="79" spans="1:29" ht="15.75" thickBot="1">
      <c r="A79" s="671"/>
      <c r="B79" s="680"/>
      <c r="C79" s="681">
        <v>100</v>
      </c>
      <c r="D79" s="681">
        <f>C79-$K17</f>
        <v>97</v>
      </c>
      <c r="E79" s="681">
        <f>D79-$K17</f>
        <v>94</v>
      </c>
      <c r="F79" s="681">
        <f>E79-$K17</f>
        <v>91</v>
      </c>
      <c r="G79" s="681">
        <f>F79-$K17</f>
        <v>88</v>
      </c>
      <c r="H79" s="681"/>
      <c r="I79" s="681"/>
      <c r="J79" s="681"/>
      <c r="K79" s="681"/>
      <c r="L79" s="681"/>
      <c r="M79" s="682"/>
      <c r="N79" s="2167"/>
      <c r="O79" s="2167"/>
      <c r="P79" s="2166"/>
      <c r="Q79" s="2159"/>
      <c r="R79" s="2146"/>
      <c r="S79" s="2146"/>
      <c r="T79" s="2146"/>
      <c r="U79" s="2146"/>
      <c r="V79" s="2146"/>
      <c r="W79" s="2146"/>
      <c r="X79" s="2146"/>
      <c r="Y79" s="2146"/>
      <c r="Z79" s="2146"/>
      <c r="AA79" s="2146"/>
      <c r="AB79" s="2146"/>
      <c r="AC79" s="2146"/>
    </row>
    <row r="80" spans="1:29" ht="15.75" thickTop="1">
      <c r="A80" s="671"/>
      <c r="B80" s="1897" t="s">
        <v>2317</v>
      </c>
      <c r="C80" s="710" t="s">
        <v>580</v>
      </c>
      <c r="D80" s="710" t="s">
        <v>581</v>
      </c>
      <c r="E80" s="710" t="s">
        <v>582</v>
      </c>
      <c r="F80" s="710" t="s">
        <v>583</v>
      </c>
      <c r="G80" s="710" t="s">
        <v>584</v>
      </c>
      <c r="H80" s="676"/>
      <c r="I80" s="676"/>
      <c r="J80" s="676"/>
      <c r="K80" s="677"/>
      <c r="L80" s="678"/>
      <c r="M80" s="679"/>
      <c r="N80" s="2165"/>
      <c r="O80" s="2165"/>
      <c r="P80" s="2166"/>
      <c r="Q80" s="2159"/>
      <c r="R80" s="2146"/>
      <c r="S80" s="2146"/>
      <c r="T80" s="2146"/>
      <c r="U80" s="2146"/>
      <c r="V80" s="2146"/>
      <c r="W80" s="2146"/>
      <c r="X80" s="2146"/>
      <c r="Y80" s="2146"/>
      <c r="Z80" s="2146"/>
      <c r="AA80" s="2146"/>
      <c r="AB80" s="2146"/>
      <c r="AC80" s="2146"/>
    </row>
    <row r="81" spans="1:29" ht="15.75" thickBot="1">
      <c r="A81" s="671"/>
      <c r="B81" s="680"/>
      <c r="C81" s="681">
        <v>100</v>
      </c>
      <c r="D81" s="681">
        <f>C81-$K19</f>
        <v>97</v>
      </c>
      <c r="E81" s="681">
        <f>D81-$K19</f>
        <v>94</v>
      </c>
      <c r="F81" s="681">
        <f>E81-$K19</f>
        <v>91</v>
      </c>
      <c r="G81" s="681">
        <f>F81-$K19</f>
        <v>88</v>
      </c>
      <c r="H81" s="681"/>
      <c r="I81" s="681"/>
      <c r="J81" s="681"/>
      <c r="K81" s="681"/>
      <c r="L81" s="681"/>
      <c r="M81" s="682"/>
      <c r="N81" s="2167"/>
      <c r="O81" s="2167"/>
      <c r="P81" s="2166"/>
      <c r="Q81" s="2159"/>
      <c r="R81" s="2146"/>
      <c r="S81" s="2146"/>
      <c r="T81" s="2146"/>
      <c r="U81" s="2146"/>
      <c r="V81" s="2146"/>
      <c r="W81" s="2146"/>
      <c r="X81" s="2146"/>
      <c r="Y81" s="2146"/>
      <c r="Z81" s="2146"/>
      <c r="AA81" s="2146"/>
      <c r="AB81" s="2146"/>
      <c r="AC81" s="2146"/>
    </row>
    <row r="82" spans="1:29" ht="15.75" thickTop="1">
      <c r="A82" s="671"/>
      <c r="B82" s="2622" t="s">
        <v>2549</v>
      </c>
      <c r="C82" s="2623" t="s">
        <v>2561</v>
      </c>
      <c r="D82" s="2623" t="s">
        <v>2562</v>
      </c>
      <c r="E82" s="2623" t="s">
        <v>2563</v>
      </c>
      <c r="F82" s="2623" t="s">
        <v>2564</v>
      </c>
      <c r="G82" s="2623" t="s">
        <v>2565</v>
      </c>
      <c r="H82" s="676"/>
      <c r="I82" s="676"/>
      <c r="J82" s="676"/>
      <c r="K82" s="676"/>
      <c r="L82" s="676"/>
      <c r="M82" s="2626"/>
      <c r="N82" s="2167"/>
      <c r="O82" s="2167"/>
      <c r="P82" s="2166"/>
      <c r="Q82" s="2159"/>
      <c r="R82" s="2146"/>
      <c r="S82" s="2146"/>
      <c r="T82" s="2146"/>
      <c r="U82" s="2146"/>
      <c r="V82" s="2146"/>
      <c r="W82" s="2146"/>
      <c r="X82" s="2146"/>
      <c r="Y82" s="2146"/>
      <c r="Z82" s="2146"/>
      <c r="AA82" s="2146"/>
      <c r="AB82" s="2146"/>
      <c r="AC82" s="2146"/>
    </row>
    <row r="83" spans="1:29" ht="15.75" thickBot="1">
      <c r="A83" s="671"/>
      <c r="B83" s="683"/>
      <c r="C83" s="681">
        <v>100</v>
      </c>
      <c r="D83" s="681">
        <f>C83-$K21</f>
        <v>99</v>
      </c>
      <c r="E83" s="681">
        <f>D83-$K21</f>
        <v>98</v>
      </c>
      <c r="F83" s="681">
        <f>E83-$K21</f>
        <v>97</v>
      </c>
      <c r="G83" s="681">
        <f>F83-$K21</f>
        <v>96</v>
      </c>
      <c r="H83" s="936"/>
      <c r="I83" s="936"/>
      <c r="J83" s="936"/>
      <c r="K83" s="936"/>
      <c r="L83" s="936"/>
      <c r="M83" s="562"/>
      <c r="N83" s="2167"/>
      <c r="O83" s="2167"/>
      <c r="P83" s="2166"/>
      <c r="Q83" s="2159"/>
      <c r="R83" s="2146"/>
      <c r="S83" s="2146"/>
      <c r="T83" s="2146"/>
      <c r="U83" s="2146"/>
      <c r="V83" s="2146"/>
      <c r="W83" s="2146"/>
      <c r="X83" s="2146"/>
      <c r="Y83" s="2146"/>
      <c r="Z83" s="2146"/>
      <c r="AA83" s="2146"/>
      <c r="AB83" s="2146"/>
      <c r="AC83" s="2146"/>
    </row>
    <row r="84" spans="1:29" ht="15.75" thickTop="1">
      <c r="A84" s="671"/>
      <c r="B84" s="675" t="s">
        <v>744</v>
      </c>
      <c r="C84" s="710" t="s">
        <v>580</v>
      </c>
      <c r="D84" s="710" t="s">
        <v>581</v>
      </c>
      <c r="E84" s="710" t="s">
        <v>582</v>
      </c>
      <c r="F84" s="710" t="s">
        <v>583</v>
      </c>
      <c r="G84" s="710" t="s">
        <v>584</v>
      </c>
      <c r="H84" s="676"/>
      <c r="I84" s="676"/>
      <c r="J84" s="676"/>
      <c r="K84" s="677"/>
      <c r="L84" s="678"/>
      <c r="M84" s="679"/>
      <c r="N84" s="2165"/>
      <c r="O84" s="2165"/>
      <c r="P84" s="2166"/>
      <c r="Q84" s="2159"/>
      <c r="R84" s="2146"/>
      <c r="S84" s="2146"/>
      <c r="T84" s="2146"/>
      <c r="U84" s="2146"/>
      <c r="V84" s="2146"/>
      <c r="W84" s="2146"/>
      <c r="X84" s="2146"/>
      <c r="Y84" s="2146"/>
      <c r="Z84" s="2146"/>
      <c r="AA84" s="2146"/>
      <c r="AB84" s="2146"/>
      <c r="AC84" s="2146"/>
    </row>
    <row r="85" spans="1:29" ht="15.75" thickBot="1">
      <c r="A85" s="671"/>
      <c r="B85" s="680"/>
      <c r="C85" s="681">
        <v>100</v>
      </c>
      <c r="D85" s="681">
        <f>C85-$K23</f>
        <v>90</v>
      </c>
      <c r="E85" s="681">
        <f>D85-$K23</f>
        <v>80</v>
      </c>
      <c r="F85" s="681">
        <f>E85-$K23</f>
        <v>70</v>
      </c>
      <c r="G85" s="681">
        <f>F85-$K23</f>
        <v>60</v>
      </c>
      <c r="H85" s="681"/>
      <c r="I85" s="681"/>
      <c r="J85" s="681"/>
      <c r="K85" s="681"/>
      <c r="L85" s="681"/>
      <c r="M85" s="682"/>
      <c r="N85" s="2167"/>
      <c r="O85" s="2167"/>
      <c r="P85" s="2166"/>
      <c r="Q85" s="2159"/>
      <c r="R85" s="2146"/>
      <c r="S85" s="2146"/>
      <c r="T85" s="2146"/>
      <c r="U85" s="2146"/>
      <c r="V85" s="2146"/>
      <c r="W85" s="2146"/>
      <c r="X85" s="2146"/>
      <c r="Y85" s="2146"/>
      <c r="Z85" s="2146"/>
      <c r="AA85" s="2146"/>
      <c r="AB85" s="2146"/>
      <c r="AC85" s="2146"/>
    </row>
    <row r="86" spans="1:29" s="1220" customFormat="1" ht="15.75" thickTop="1">
      <c r="A86" s="711"/>
      <c r="B86" s="1897" t="s">
        <v>2260</v>
      </c>
      <c r="C86" s="690"/>
      <c r="D86" s="690"/>
      <c r="E86" s="690"/>
      <c r="F86" s="690"/>
      <c r="G86" s="690"/>
      <c r="H86" s="690"/>
      <c r="I86" s="690"/>
      <c r="J86" s="690"/>
      <c r="K86" s="690"/>
      <c r="L86" s="891"/>
      <c r="M86" s="892"/>
      <c r="N86" s="2163"/>
      <c r="O86" s="2163"/>
      <c r="P86" s="2166"/>
      <c r="Q86" s="2159"/>
      <c r="R86" s="1994"/>
      <c r="S86" s="1994"/>
      <c r="T86" s="1994"/>
      <c r="U86" s="1994"/>
      <c r="V86" s="1994"/>
      <c r="W86" s="1994"/>
      <c r="X86" s="1994"/>
      <c r="Y86" s="1994"/>
      <c r="Z86" s="1994"/>
      <c r="AA86" s="1994"/>
      <c r="AB86" s="1994"/>
      <c r="AC86" s="1994"/>
    </row>
    <row r="87" spans="1:29" s="1220"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11"/>
      <c r="B88" s="675" t="s">
        <v>746</v>
      </c>
      <c r="C88" s="690"/>
      <c r="D88" s="690"/>
      <c r="E88" s="690"/>
      <c r="F88" s="893"/>
      <c r="G88" s="690"/>
      <c r="H88" s="690"/>
      <c r="I88" s="690"/>
      <c r="J88" s="690"/>
      <c r="K88" s="690"/>
      <c r="L88" s="690"/>
      <c r="M88" s="892"/>
      <c r="N88" s="2163"/>
      <c r="O88" s="2163"/>
      <c r="P88" s="2166"/>
      <c r="Q88" s="2159"/>
      <c r="R88" s="1994"/>
      <c r="S88" s="1994"/>
      <c r="T88" s="1994"/>
      <c r="U88" s="1994"/>
      <c r="V88" s="1994"/>
      <c r="W88" s="1994"/>
      <c r="X88" s="1994"/>
      <c r="Y88" s="1994"/>
      <c r="Z88" s="1994"/>
      <c r="AA88" s="1994"/>
      <c r="AB88" s="1994"/>
      <c r="AC88" s="1994"/>
    </row>
    <row r="89" spans="1:29" s="1220"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hidden="1" thickTop="1">
      <c r="A90" s="689"/>
      <c r="B90" s="675">
        <f>B27</f>
        <v>0</v>
      </c>
      <c r="C90" s="690"/>
      <c r="D90" s="690"/>
      <c r="E90" s="690"/>
      <c r="F90" s="690"/>
      <c r="G90" s="690"/>
      <c r="H90" s="691"/>
      <c r="I90" s="691"/>
      <c r="J90" s="691"/>
      <c r="K90" s="691"/>
      <c r="L90" s="692"/>
      <c r="M90" s="693"/>
      <c r="N90" s="2168"/>
      <c r="O90" s="2168"/>
      <c r="P90" s="2169"/>
      <c r="Q90" s="2170"/>
      <c r="R90" s="2171"/>
      <c r="S90" s="2171"/>
      <c r="T90" s="2171"/>
      <c r="U90" s="2171"/>
      <c r="V90" s="2171"/>
      <c r="W90" s="2171"/>
      <c r="X90" s="2171"/>
      <c r="Y90" s="2171"/>
      <c r="Z90" s="2171"/>
      <c r="AA90" s="2171"/>
      <c r="AB90" s="2171"/>
      <c r="AC90" s="2171"/>
    </row>
    <row r="91" spans="1:29" s="1339" customFormat="1" ht="15.75" hidden="1" thickBot="1">
      <c r="A91" s="689"/>
      <c r="B91" s="680"/>
      <c r="C91" s="694"/>
      <c r="D91" s="694"/>
      <c r="E91" s="694"/>
      <c r="F91" s="694"/>
      <c r="G91" s="694"/>
      <c r="H91" s="695"/>
      <c r="I91" s="695"/>
      <c r="J91" s="695"/>
      <c r="K91" s="695"/>
      <c r="L91" s="695"/>
      <c r="M91" s="696"/>
      <c r="N91" s="2168"/>
      <c r="O91" s="2168"/>
      <c r="P91" s="2169"/>
      <c r="Q91" s="2170"/>
      <c r="R91" s="2171"/>
      <c r="S91" s="2171"/>
      <c r="T91" s="2171"/>
      <c r="U91" s="2171"/>
      <c r="V91" s="2171"/>
      <c r="W91" s="2171"/>
      <c r="X91" s="2171"/>
      <c r="Y91" s="2171"/>
      <c r="Z91" s="2171"/>
      <c r="AA91" s="2171"/>
      <c r="AB91" s="2171"/>
      <c r="AC91" s="2171"/>
    </row>
    <row r="92" spans="1:29" ht="15.75" hidden="1" thickTop="1">
      <c r="A92" s="671"/>
      <c r="B92" s="675">
        <f>B28</f>
        <v>0</v>
      </c>
      <c r="C92" s="690"/>
      <c r="D92" s="690"/>
      <c r="E92" s="690"/>
      <c r="F92" s="690"/>
      <c r="G92" s="720"/>
      <c r="H92" s="720"/>
      <c r="I92" s="720"/>
      <c r="J92" s="720"/>
      <c r="K92" s="721"/>
      <c r="L92" s="722"/>
      <c r="M92" s="723"/>
      <c r="N92" s="2165"/>
      <c r="O92" s="2165"/>
      <c r="P92" s="2166"/>
      <c r="Q92" s="2159"/>
      <c r="R92" s="2146"/>
      <c r="S92" s="2146"/>
      <c r="T92" s="2146"/>
      <c r="U92" s="2146"/>
      <c r="V92" s="2146"/>
      <c r="W92" s="2146"/>
      <c r="X92" s="2146"/>
      <c r="Y92" s="2146"/>
      <c r="Z92" s="2146"/>
      <c r="AA92" s="2146"/>
      <c r="AB92" s="2146"/>
      <c r="AC92" s="2146"/>
    </row>
    <row r="93" spans="1:29" ht="15.75" hidden="1" thickBot="1">
      <c r="A93" s="671"/>
      <c r="B93" s="680"/>
      <c r="C93" s="694"/>
      <c r="D93" s="673"/>
      <c r="E93" s="673"/>
      <c r="F93" s="673"/>
      <c r="G93" s="673"/>
      <c r="H93" s="673"/>
      <c r="I93" s="673"/>
      <c r="J93" s="673"/>
      <c r="K93" s="673"/>
      <c r="L93" s="673"/>
      <c r="M93" s="674"/>
      <c r="N93" s="2167"/>
      <c r="O93" s="2167"/>
      <c r="P93" s="2166"/>
      <c r="Q93" s="2159"/>
      <c r="R93" s="2146"/>
      <c r="S93" s="2146"/>
      <c r="T93" s="2146"/>
      <c r="U93" s="2146"/>
      <c r="V93" s="2146"/>
      <c r="W93" s="2146"/>
      <c r="X93" s="2146"/>
      <c r="Y93" s="2146"/>
      <c r="Z93" s="2146"/>
      <c r="AA93" s="2146"/>
      <c r="AB93" s="2146"/>
      <c r="AC93" s="2146"/>
    </row>
    <row r="94" spans="1:29" ht="15.75" hidden="1" thickTop="1">
      <c r="A94" s="671"/>
      <c r="B94" s="675">
        <f>B29</f>
        <v>0</v>
      </c>
      <c r="C94" s="690"/>
      <c r="D94" s="690"/>
      <c r="E94" s="690"/>
      <c r="F94" s="690"/>
      <c r="G94" s="720"/>
      <c r="H94" s="720"/>
      <c r="I94" s="720"/>
      <c r="J94" s="720"/>
      <c r="K94" s="721"/>
      <c r="L94" s="722"/>
      <c r="M94" s="723"/>
      <c r="N94" s="2165"/>
      <c r="O94" s="2165"/>
      <c r="P94" s="2166"/>
      <c r="Q94" s="2159"/>
      <c r="R94" s="2146"/>
      <c r="S94" s="2146"/>
      <c r="T94" s="2146"/>
      <c r="U94" s="2146"/>
      <c r="V94" s="2146"/>
      <c r="W94" s="2146"/>
      <c r="X94" s="2146"/>
      <c r="Y94" s="2146"/>
      <c r="Z94" s="2146"/>
      <c r="AA94" s="2146"/>
      <c r="AB94" s="2146"/>
      <c r="AC94" s="2146"/>
    </row>
    <row r="95" spans="1:29" ht="15.75" hidden="1" thickBot="1">
      <c r="A95" s="671"/>
      <c r="B95" s="680"/>
      <c r="C95" s="694"/>
      <c r="D95" s="694"/>
      <c r="E95" s="694"/>
      <c r="F95" s="694"/>
      <c r="G95" s="673"/>
      <c r="H95" s="673"/>
      <c r="I95" s="673"/>
      <c r="J95" s="673"/>
      <c r="K95" s="673"/>
      <c r="L95" s="673"/>
      <c r="M95" s="674"/>
      <c r="N95" s="2167"/>
      <c r="O95" s="2167"/>
      <c r="P95" s="2166"/>
      <c r="Q95" s="2159"/>
      <c r="R95" s="2146"/>
      <c r="S95" s="2146"/>
      <c r="T95" s="2146"/>
      <c r="U95" s="2146"/>
      <c r="V95" s="2146"/>
      <c r="W95" s="2146"/>
      <c r="X95" s="2146"/>
      <c r="Y95" s="2146"/>
      <c r="Z95" s="2146"/>
      <c r="AA95" s="2146"/>
      <c r="AB95" s="2146"/>
      <c r="AC95" s="2146"/>
    </row>
    <row r="96" spans="1:29" ht="15.75" hidden="1" thickTop="1">
      <c r="A96" s="671"/>
      <c r="B96" s="675">
        <f>B30</f>
        <v>0</v>
      </c>
      <c r="C96" s="690"/>
      <c r="D96" s="690"/>
      <c r="E96" s="690"/>
      <c r="F96" s="690"/>
      <c r="G96" s="720"/>
      <c r="H96" s="720"/>
      <c r="I96" s="720"/>
      <c r="J96" s="720"/>
      <c r="K96" s="721"/>
      <c r="L96" s="722"/>
      <c r="M96" s="723"/>
      <c r="N96" s="2165"/>
      <c r="O96" s="2165"/>
      <c r="P96" s="2166"/>
      <c r="Q96" s="2159"/>
      <c r="R96" s="2146"/>
      <c r="S96" s="2146"/>
      <c r="T96" s="2146"/>
      <c r="U96" s="2146"/>
      <c r="V96" s="2146"/>
      <c r="W96" s="2146"/>
      <c r="X96" s="2146"/>
      <c r="Y96" s="2146"/>
      <c r="Z96" s="2146"/>
      <c r="AA96" s="2146"/>
      <c r="AB96" s="2146"/>
      <c r="AC96" s="2146"/>
    </row>
    <row r="97" spans="1:29" ht="15.75" hidden="1" thickBot="1">
      <c r="A97" s="671"/>
      <c r="B97" s="680"/>
      <c r="C97" s="702"/>
      <c r="D97" s="702"/>
      <c r="E97" s="702"/>
      <c r="F97" s="702"/>
      <c r="G97" s="673"/>
      <c r="H97" s="673"/>
      <c r="I97" s="673"/>
      <c r="J97" s="673"/>
      <c r="K97" s="673"/>
      <c r="L97" s="673"/>
      <c r="M97" s="674"/>
      <c r="N97" s="2167"/>
      <c r="O97" s="2167"/>
      <c r="P97" s="2166"/>
      <c r="Q97" s="2159"/>
      <c r="R97" s="2146"/>
      <c r="S97" s="2146"/>
      <c r="T97" s="2146"/>
      <c r="U97" s="2146"/>
      <c r="V97" s="2146"/>
      <c r="W97" s="2146"/>
      <c r="X97" s="2146"/>
      <c r="Y97" s="2146"/>
      <c r="Z97" s="2146"/>
      <c r="AA97" s="2146"/>
      <c r="AB97" s="2146"/>
      <c r="AC97" s="2146"/>
    </row>
    <row r="98" spans="1:29" ht="15.75" hidden="1" thickTop="1">
      <c r="A98" s="671"/>
      <c r="B98" s="683">
        <f>B31</f>
        <v>0</v>
      </c>
      <c r="C98" s="724"/>
      <c r="D98" s="724"/>
      <c r="E98" s="724"/>
      <c r="F98" s="724"/>
      <c r="G98" s="724"/>
      <c r="H98" s="724"/>
      <c r="I98" s="724"/>
      <c r="J98" s="724"/>
      <c r="K98" s="725"/>
      <c r="L98" s="726"/>
      <c r="M98" s="727"/>
      <c r="N98" s="2165"/>
      <c r="O98" s="2165"/>
      <c r="P98" s="2166"/>
      <c r="Q98" s="2159"/>
      <c r="R98" s="2146"/>
      <c r="S98" s="2146"/>
      <c r="T98" s="2146"/>
      <c r="U98" s="2146"/>
      <c r="V98" s="2146"/>
      <c r="W98" s="2146"/>
      <c r="X98" s="2146"/>
      <c r="Y98" s="2146"/>
      <c r="Z98" s="2146"/>
      <c r="AA98" s="2146"/>
      <c r="AB98" s="2146"/>
      <c r="AC98" s="2146"/>
    </row>
    <row r="99" spans="1:29" ht="15.75" hidden="1" thickBot="1">
      <c r="A99" s="894"/>
      <c r="B99" s="701"/>
      <c r="C99" s="728"/>
      <c r="D99" s="728"/>
      <c r="E99" s="728"/>
      <c r="F99" s="728"/>
      <c r="G99" s="728"/>
      <c r="H99" s="728"/>
      <c r="I99" s="728"/>
      <c r="J99" s="728"/>
      <c r="K99" s="728"/>
      <c r="L99" s="728"/>
      <c r="M99" s="729"/>
      <c r="N99" s="2167"/>
      <c r="O99" s="2167"/>
      <c r="P99" s="2166"/>
      <c r="Q99" s="2159"/>
      <c r="R99" s="2146"/>
      <c r="S99" s="2146"/>
      <c r="T99" s="2146"/>
      <c r="U99" s="2146"/>
      <c r="V99" s="2146"/>
      <c r="W99" s="2146"/>
      <c r="X99" s="2146"/>
      <c r="Y99" s="2146"/>
      <c r="Z99" s="2146"/>
      <c r="AA99" s="2146"/>
      <c r="AB99" s="2146"/>
      <c r="AC99" s="2146"/>
    </row>
    <row r="100" spans="1:29" ht="15" thickTop="1">
      <c r="A100" s="666" t="s">
        <v>552</v>
      </c>
      <c r="B100" s="667" t="s">
        <v>747</v>
      </c>
      <c r="C100" s="3198" t="s">
        <v>3146</v>
      </c>
      <c r="D100" s="600"/>
      <c r="E100" s="600"/>
      <c r="F100" s="600"/>
      <c r="G100" s="600"/>
      <c r="H100" s="600"/>
      <c r="I100" s="600"/>
      <c r="J100" s="600"/>
      <c r="K100" s="668"/>
      <c r="L100" s="669"/>
      <c r="M100" s="670"/>
      <c r="N100" s="2165"/>
      <c r="O100" s="2165"/>
      <c r="P100" s="2166"/>
      <c r="Q100" s="2159"/>
      <c r="R100" s="2146"/>
      <c r="S100" s="2146"/>
      <c r="T100" s="2146"/>
      <c r="U100" s="2146"/>
      <c r="V100" s="2146"/>
      <c r="W100" s="2146"/>
      <c r="X100" s="2146"/>
      <c r="Y100" s="2146"/>
      <c r="Z100" s="2146"/>
      <c r="AA100" s="2146"/>
      <c r="AB100" s="2146"/>
      <c r="AC100" s="2146"/>
    </row>
    <row r="101" spans="1:29" ht="15.75" thickBot="1">
      <c r="A101" s="671"/>
      <c r="B101" s="680"/>
      <c r="C101" s="681">
        <v>100</v>
      </c>
      <c r="D101" s="681">
        <f t="shared" ref="D101:M101" si="22">C101-$K32</f>
        <v>90</v>
      </c>
      <c r="E101" s="681">
        <f t="shared" si="22"/>
        <v>80</v>
      </c>
      <c r="F101" s="681">
        <f t="shared" si="22"/>
        <v>70</v>
      </c>
      <c r="G101" s="681">
        <f t="shared" si="22"/>
        <v>60</v>
      </c>
      <c r="H101" s="681">
        <f t="shared" si="22"/>
        <v>50</v>
      </c>
      <c r="I101" s="681">
        <f t="shared" si="22"/>
        <v>40</v>
      </c>
      <c r="J101" s="681">
        <f t="shared" si="22"/>
        <v>30</v>
      </c>
      <c r="K101" s="681">
        <f t="shared" si="22"/>
        <v>20</v>
      </c>
      <c r="L101" s="681">
        <f t="shared" si="22"/>
        <v>10</v>
      </c>
      <c r="M101" s="681">
        <f t="shared" si="22"/>
        <v>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71"/>
      <c r="B102" s="675" t="s">
        <v>748</v>
      </c>
      <c r="C102" s="710" t="str">
        <f>C103&amp;"(含)"&amp;"-"&amp;D103</f>
        <v>0(含)-500000</v>
      </c>
      <c r="D102" s="710" t="str">
        <f t="shared" ref="D102:L102" si="23">D103&amp;"(含)"&amp;"-"&amp;E103</f>
        <v>500000(含)-1000000</v>
      </c>
      <c r="E102" s="710" t="str">
        <f t="shared" si="23"/>
        <v>1000000(含)-</v>
      </c>
      <c r="F102" s="710" t="str">
        <f t="shared" si="23"/>
        <v>(含)-</v>
      </c>
      <c r="G102" s="710" t="str">
        <f t="shared" si="23"/>
        <v>(含)-</v>
      </c>
      <c r="H102" s="710" t="str">
        <f t="shared" si="23"/>
        <v>(含)-</v>
      </c>
      <c r="I102" s="710" t="str">
        <f t="shared" si="23"/>
        <v>(含)-</v>
      </c>
      <c r="J102" s="710" t="str">
        <f t="shared" si="23"/>
        <v>(含)-</v>
      </c>
      <c r="K102" s="710" t="str">
        <f t="shared" si="23"/>
        <v>(含)-</v>
      </c>
      <c r="L102" s="710" t="str">
        <f t="shared" si="23"/>
        <v>(含)-</v>
      </c>
      <c r="M102" s="710"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30"/>
      <c r="B103" s="731"/>
      <c r="C103" s="732">
        <v>0</v>
      </c>
      <c r="D103" s="732">
        <v>500000</v>
      </c>
      <c r="E103" s="732">
        <v>1000000</v>
      </c>
      <c r="F103" s="732"/>
      <c r="G103" s="732"/>
      <c r="H103" s="732"/>
      <c r="I103" s="732"/>
      <c r="J103" s="733"/>
      <c r="K103" s="733"/>
      <c r="L103" s="734"/>
      <c r="M103" s="735"/>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9"/>
      <c r="B104" s="680"/>
      <c r="C104" s="694">
        <v>100</v>
      </c>
      <c r="D104" s="673">
        <v>101</v>
      </c>
      <c r="E104" s="673">
        <v>102</v>
      </c>
      <c r="F104" s="673"/>
      <c r="G104" s="673"/>
      <c r="H104" s="673"/>
      <c r="I104" s="673"/>
      <c r="J104" s="673"/>
      <c r="K104" s="673"/>
      <c r="L104" s="673"/>
      <c r="M104" s="673"/>
      <c r="N104" s="2167"/>
      <c r="O104" s="2167"/>
      <c r="P104" s="2169"/>
      <c r="Q104" s="2170"/>
      <c r="R104" s="2171"/>
      <c r="S104" s="2171"/>
      <c r="T104" s="2171"/>
      <c r="U104" s="2171"/>
      <c r="V104" s="2171"/>
      <c r="W104" s="2171"/>
      <c r="X104" s="2171"/>
      <c r="Y104" s="2171"/>
      <c r="Z104" s="2171"/>
      <c r="AA104" s="2171"/>
      <c r="AB104" s="2171"/>
      <c r="AC104" s="2171"/>
    </row>
    <row r="105" spans="1:29" ht="15" thickTop="1">
      <c r="A105" s="737"/>
      <c r="B105" s="675" t="s">
        <v>749</v>
      </c>
      <c r="C105" s="3199" t="s">
        <v>3250</v>
      </c>
      <c r="D105" s="690"/>
      <c r="E105" s="720"/>
      <c r="F105" s="720"/>
      <c r="G105" s="720"/>
      <c r="H105" s="720"/>
      <c r="I105" s="720"/>
      <c r="J105" s="720"/>
      <c r="K105" s="721"/>
      <c r="L105" s="722"/>
      <c r="M105" s="723"/>
      <c r="N105" s="2165"/>
      <c r="O105" s="2165"/>
      <c r="P105" s="2166"/>
      <c r="Q105" s="2159"/>
      <c r="R105" s="2146"/>
      <c r="S105" s="2146"/>
      <c r="T105" s="2146"/>
      <c r="U105" s="2146"/>
      <c r="V105" s="2146"/>
      <c r="W105" s="2146"/>
      <c r="X105" s="2146"/>
      <c r="Y105" s="2146"/>
      <c r="Z105" s="2146"/>
      <c r="AA105" s="2146"/>
      <c r="AB105" s="2146"/>
      <c r="AC105" s="2146"/>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7"/>
      <c r="B107" s="675" t="s">
        <v>750</v>
      </c>
      <c r="C107" s="3200" t="s">
        <v>3252</v>
      </c>
      <c r="D107" s="720"/>
      <c r="E107" s="720"/>
      <c r="F107" s="720"/>
      <c r="G107" s="720"/>
      <c r="H107" s="720"/>
      <c r="I107" s="720"/>
      <c r="J107" s="720"/>
      <c r="K107" s="721"/>
      <c r="L107" s="722"/>
      <c r="M107" s="723"/>
      <c r="N107" s="2165"/>
      <c r="O107" s="2165"/>
      <c r="P107" s="2166"/>
      <c r="Q107" s="2159"/>
      <c r="R107" s="2146"/>
      <c r="S107" s="2146"/>
      <c r="T107" s="2146"/>
      <c r="U107" s="2146"/>
      <c r="V107" s="2146"/>
      <c r="W107" s="2146"/>
      <c r="X107" s="2146"/>
      <c r="Y107" s="2146"/>
      <c r="Z107" s="2146"/>
      <c r="AA107" s="2146"/>
      <c r="AB107" s="2146"/>
      <c r="AC107" s="2146"/>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7"/>
      <c r="B109" s="675" t="s">
        <v>751</v>
      </c>
      <c r="C109" s="3199" t="s">
        <v>3254</v>
      </c>
      <c r="D109" s="690"/>
      <c r="E109" s="690"/>
      <c r="F109" s="720"/>
      <c r="G109" s="720"/>
      <c r="H109" s="720"/>
      <c r="I109" s="720"/>
      <c r="J109" s="720"/>
      <c r="K109" s="721"/>
      <c r="L109" s="722"/>
      <c r="M109" s="723"/>
      <c r="N109" s="2165"/>
      <c r="O109" s="2165"/>
      <c r="P109" s="2166"/>
      <c r="Q109" s="2159"/>
      <c r="R109" s="2146"/>
      <c r="S109" s="2146"/>
      <c r="T109" s="2146"/>
      <c r="U109" s="2146"/>
      <c r="V109" s="2146"/>
      <c r="W109" s="2146"/>
      <c r="X109" s="2146"/>
      <c r="Y109" s="2146"/>
      <c r="Z109" s="2146"/>
      <c r="AA109" s="2146"/>
      <c r="AB109" s="2146"/>
      <c r="AC109" s="2146"/>
    </row>
    <row r="110" spans="1:29" ht="15.75" thickBot="1">
      <c r="A110" s="671"/>
      <c r="B110" s="680"/>
      <c r="C110" s="681">
        <v>100</v>
      </c>
      <c r="D110" s="681">
        <f t="shared" ref="D110:M110" si="26">C110-$K36</f>
        <v>100</v>
      </c>
      <c r="E110" s="681">
        <f t="shared" si="26"/>
        <v>100</v>
      </c>
      <c r="F110" s="681">
        <f t="shared" si="26"/>
        <v>100</v>
      </c>
      <c r="G110" s="681">
        <f t="shared" si="26"/>
        <v>100</v>
      </c>
      <c r="H110" s="681">
        <f t="shared" si="26"/>
        <v>100</v>
      </c>
      <c r="I110" s="681">
        <f t="shared" si="26"/>
        <v>100</v>
      </c>
      <c r="J110" s="681">
        <f t="shared" si="26"/>
        <v>100</v>
      </c>
      <c r="K110" s="681">
        <f t="shared" si="26"/>
        <v>100</v>
      </c>
      <c r="L110" s="681">
        <f t="shared" si="26"/>
        <v>100</v>
      </c>
      <c r="M110" s="681">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30"/>
      <c r="B111" s="675" t="s">
        <v>752</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30"/>
      <c r="B112" s="683"/>
      <c r="C112" s="895">
        <v>0.5</v>
      </c>
      <c r="D112" s="895">
        <v>0.6</v>
      </c>
      <c r="E112" s="895">
        <v>0.7</v>
      </c>
      <c r="F112" s="895">
        <v>0.8</v>
      </c>
      <c r="G112" s="895">
        <v>0.9</v>
      </c>
      <c r="H112" s="895">
        <v>1.0001</v>
      </c>
      <c r="I112" s="895"/>
      <c r="J112" s="896"/>
      <c r="K112" s="896"/>
      <c r="L112" s="897"/>
      <c r="M112" s="898"/>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68"/>
      <c r="O113" s="2168"/>
      <c r="P113" s="2169"/>
      <c r="Q113" s="2170"/>
      <c r="R113" s="2171"/>
      <c r="S113" s="2171"/>
      <c r="T113" s="2171"/>
      <c r="U113" s="2171"/>
      <c r="V113" s="2171"/>
      <c r="W113" s="2171"/>
      <c r="X113" s="2171"/>
      <c r="Y113" s="2171"/>
      <c r="Z113" s="2171"/>
      <c r="AA113" s="2171"/>
      <c r="AB113" s="2171"/>
      <c r="AC113" s="2171"/>
    </row>
    <row r="114" spans="1:29" ht="15" thickTop="1">
      <c r="A114" s="737"/>
      <c r="B114" s="675" t="s">
        <v>753</v>
      </c>
      <c r="C114" s="3199" t="s">
        <v>3256</v>
      </c>
      <c r="D114" s="690"/>
      <c r="E114" s="720"/>
      <c r="F114" s="720"/>
      <c r="G114" s="720"/>
      <c r="H114" s="720"/>
      <c r="I114" s="720"/>
      <c r="J114" s="720"/>
      <c r="K114" s="721"/>
      <c r="L114" s="722"/>
      <c r="M114" s="723"/>
      <c r="N114" s="2165"/>
      <c r="O114" s="2165"/>
      <c r="P114" s="2166"/>
      <c r="Q114" s="2159"/>
      <c r="R114" s="2146"/>
      <c r="S114" s="2146"/>
      <c r="T114" s="2146"/>
      <c r="U114" s="2146"/>
      <c r="V114" s="2146"/>
      <c r="W114" s="2146"/>
      <c r="X114" s="2146"/>
      <c r="Y114" s="2146"/>
      <c r="Z114" s="2146"/>
      <c r="AA114" s="2146"/>
      <c r="AB114" s="2146"/>
      <c r="AC114" s="2146"/>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7"/>
      <c r="B116" s="1897" t="s">
        <v>2558</v>
      </c>
      <c r="C116" s="3199" t="s">
        <v>3258</v>
      </c>
      <c r="D116" s="690"/>
      <c r="E116" s="690"/>
      <c r="F116" s="690"/>
      <c r="G116" s="690"/>
      <c r="H116" s="720"/>
      <c r="I116" s="720"/>
      <c r="J116" s="720"/>
      <c r="K116" s="721"/>
      <c r="L116" s="722"/>
      <c r="M116" s="723"/>
      <c r="N116" s="2165"/>
      <c r="O116" s="2165"/>
      <c r="P116" s="2166"/>
      <c r="Q116" s="2159"/>
      <c r="R116" s="2146"/>
      <c r="S116" s="2146"/>
      <c r="T116" s="2146"/>
      <c r="U116" s="2146"/>
      <c r="V116" s="2146"/>
      <c r="W116" s="2146"/>
      <c r="X116" s="2146"/>
      <c r="Y116" s="2146"/>
      <c r="Z116" s="2146"/>
      <c r="AA116" s="2146"/>
      <c r="AB116" s="2146"/>
      <c r="AC116" s="2146"/>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67"/>
      <c r="O117" s="2167"/>
      <c r="P117" s="2166"/>
      <c r="Q117" s="2159"/>
      <c r="R117" s="2146"/>
      <c r="S117" s="2146"/>
      <c r="T117" s="2146"/>
      <c r="U117" s="2146"/>
      <c r="V117" s="2146"/>
      <c r="W117" s="2146"/>
      <c r="X117" s="2146"/>
      <c r="Y117" s="2146"/>
      <c r="Z117" s="2146"/>
      <c r="AA117" s="2146"/>
      <c r="AB117" s="2146"/>
      <c r="AC117" s="2146"/>
    </row>
    <row r="118" spans="1:29" ht="15" thickTop="1">
      <c r="A118" s="737"/>
      <c r="B118" s="675" t="s">
        <v>754</v>
      </c>
      <c r="C118" s="720"/>
      <c r="D118" s="720"/>
      <c r="E118" s="720"/>
      <c r="F118" s="720"/>
      <c r="G118" s="720"/>
      <c r="H118" s="720"/>
      <c r="I118" s="720"/>
      <c r="J118" s="720"/>
      <c r="K118" s="721"/>
      <c r="L118" s="722"/>
      <c r="M118" s="723"/>
      <c r="N118" s="2165"/>
      <c r="O118" s="2165"/>
      <c r="P118" s="2166"/>
      <c r="Q118" s="2159"/>
      <c r="R118" s="2146"/>
      <c r="S118" s="2146"/>
      <c r="T118" s="2146"/>
      <c r="U118" s="2146"/>
      <c r="V118" s="2146"/>
      <c r="W118" s="2146"/>
      <c r="X118" s="2146"/>
      <c r="Y118" s="2146"/>
      <c r="Z118" s="2146"/>
      <c r="AA118" s="2146"/>
      <c r="AB118" s="2146"/>
      <c r="AC118" s="2146"/>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30"/>
      <c r="B120" s="675" t="s">
        <v>733</v>
      </c>
      <c r="C120" s="690"/>
      <c r="D120" s="690"/>
      <c r="E120" s="690"/>
      <c r="F120" s="690"/>
      <c r="G120" s="690"/>
      <c r="H120" s="690"/>
      <c r="I120" s="690"/>
      <c r="J120" s="690"/>
      <c r="K120" s="690"/>
      <c r="L120" s="891"/>
      <c r="M120" s="892"/>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9"/>
      <c r="B121" s="672"/>
      <c r="C121" s="694"/>
      <c r="D121" s="673"/>
      <c r="E121" s="673"/>
      <c r="F121" s="673"/>
      <c r="G121" s="673"/>
      <c r="H121" s="673"/>
      <c r="I121" s="673"/>
      <c r="J121" s="673"/>
      <c r="K121" s="673"/>
      <c r="L121" s="673"/>
      <c r="M121" s="673"/>
      <c r="N121" s="2168"/>
      <c r="O121" s="2168"/>
      <c r="P121" s="2169"/>
      <c r="Q121" s="2170"/>
      <c r="R121" s="2171"/>
      <c r="S121" s="2171"/>
      <c r="T121" s="2171"/>
      <c r="U121" s="2171"/>
      <c r="V121" s="2171"/>
      <c r="W121" s="2171"/>
      <c r="X121" s="2171"/>
      <c r="Y121" s="2171"/>
      <c r="Z121" s="2171"/>
      <c r="AA121" s="2171"/>
      <c r="AB121" s="2171"/>
      <c r="AC121" s="2171"/>
    </row>
    <row r="122" spans="1:29" ht="15" thickTop="1">
      <c r="A122" s="737"/>
      <c r="B122" s="675" t="s">
        <v>755</v>
      </c>
      <c r="C122" s="3199" t="s">
        <v>3260</v>
      </c>
      <c r="D122" s="690"/>
      <c r="E122" s="690"/>
      <c r="F122" s="720"/>
      <c r="G122" s="720"/>
      <c r="H122" s="720"/>
      <c r="I122" s="720"/>
      <c r="J122" s="720"/>
      <c r="K122" s="721"/>
      <c r="L122" s="722"/>
      <c r="M122" s="723"/>
      <c r="N122" s="2165"/>
      <c r="O122" s="2165"/>
      <c r="P122" s="2166"/>
      <c r="Q122" s="2159"/>
      <c r="R122" s="2146"/>
      <c r="S122" s="2146"/>
      <c r="T122" s="2146"/>
      <c r="U122" s="2146"/>
      <c r="V122" s="2146"/>
      <c r="W122" s="2146"/>
      <c r="X122" s="2146"/>
      <c r="Y122" s="2146"/>
      <c r="Z122" s="2146"/>
      <c r="AA122" s="2146"/>
      <c r="AB122" s="2146"/>
      <c r="AC122" s="2146"/>
    </row>
    <row r="123" spans="1:29" ht="15.75" thickBot="1">
      <c r="A123" s="671"/>
      <c r="B123" s="680"/>
      <c r="C123" s="681">
        <v>100</v>
      </c>
      <c r="D123" s="681">
        <f t="shared" ref="D123:M123" si="29">C123-$K42</f>
        <v>95</v>
      </c>
      <c r="E123" s="681">
        <f t="shared" si="29"/>
        <v>90</v>
      </c>
      <c r="F123" s="681">
        <f t="shared" si="29"/>
        <v>85</v>
      </c>
      <c r="G123" s="681">
        <f t="shared" si="29"/>
        <v>80</v>
      </c>
      <c r="H123" s="681">
        <f t="shared" si="29"/>
        <v>75</v>
      </c>
      <c r="I123" s="681">
        <f t="shared" si="29"/>
        <v>70</v>
      </c>
      <c r="J123" s="681">
        <f t="shared" si="29"/>
        <v>65</v>
      </c>
      <c r="K123" s="681">
        <f t="shared" si="29"/>
        <v>60</v>
      </c>
      <c r="L123" s="681">
        <f t="shared" si="29"/>
        <v>55</v>
      </c>
      <c r="M123" s="681">
        <f t="shared" si="29"/>
        <v>50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7"/>
      <c r="B124" s="675" t="s">
        <v>756</v>
      </c>
      <c r="C124" s="710" t="s">
        <v>580</v>
      </c>
      <c r="D124" s="710" t="s">
        <v>581</v>
      </c>
      <c r="E124" s="710" t="s">
        <v>582</v>
      </c>
      <c r="F124" s="710" t="s">
        <v>583</v>
      </c>
      <c r="G124" s="710" t="s">
        <v>584</v>
      </c>
      <c r="H124" s="676"/>
      <c r="I124" s="676"/>
      <c r="J124" s="676"/>
      <c r="K124" s="677"/>
      <c r="L124" s="678"/>
      <c r="M124" s="679"/>
      <c r="N124" s="2165"/>
      <c r="O124" s="2165"/>
      <c r="P124" s="2169"/>
      <c r="Q124" s="2159"/>
      <c r="R124" s="2146"/>
      <c r="S124" s="2146"/>
      <c r="T124" s="2146"/>
      <c r="U124" s="2146"/>
      <c r="V124" s="2146"/>
      <c r="W124" s="2146"/>
      <c r="X124" s="2146"/>
      <c r="Y124" s="2146"/>
      <c r="Z124" s="2146"/>
      <c r="AA124" s="2146"/>
      <c r="AB124" s="2146"/>
      <c r="AC124" s="2146"/>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7"/>
      <c r="O125" s="2167"/>
      <c r="P125" s="2166"/>
      <c r="Q125" s="2159"/>
      <c r="R125" s="2146"/>
      <c r="S125" s="2146"/>
      <c r="T125" s="2146"/>
      <c r="U125" s="2146"/>
      <c r="V125" s="2146"/>
      <c r="W125" s="2146"/>
      <c r="X125" s="2146"/>
      <c r="Y125" s="2146"/>
      <c r="Z125" s="2146"/>
      <c r="AA125" s="2146"/>
      <c r="AB125" s="2146"/>
      <c r="AC125" s="2146"/>
    </row>
    <row r="126" spans="1:29" s="1339" customFormat="1" ht="15" hidden="1" thickTop="1">
      <c r="A126" s="730"/>
      <c r="B126" s="675">
        <f>B44</f>
        <v>0</v>
      </c>
      <c r="C126" s="690"/>
      <c r="D126" s="690"/>
      <c r="E126" s="690"/>
      <c r="F126" s="690"/>
      <c r="G126" s="690"/>
      <c r="H126" s="691"/>
      <c r="I126" s="691"/>
      <c r="J126" s="691"/>
      <c r="K126" s="691"/>
      <c r="L126" s="692"/>
      <c r="M126" s="693"/>
      <c r="N126" s="2168"/>
      <c r="O126" s="2168"/>
      <c r="P126" s="2169"/>
      <c r="Q126" s="2170"/>
      <c r="R126" s="2171"/>
      <c r="S126" s="2171"/>
      <c r="T126" s="2171"/>
      <c r="U126" s="2171"/>
      <c r="V126" s="2171"/>
      <c r="W126" s="2171"/>
      <c r="X126" s="2171"/>
      <c r="Y126" s="2171"/>
      <c r="Z126" s="2171"/>
      <c r="AA126" s="2171"/>
      <c r="AB126" s="2171"/>
      <c r="AC126" s="2171"/>
    </row>
    <row r="127" spans="1:29" s="1339" customFormat="1" ht="15.75" hidden="1" thickBot="1">
      <c r="A127" s="689"/>
      <c r="B127" s="680"/>
      <c r="C127" s="694"/>
      <c r="D127" s="673"/>
      <c r="E127" s="673"/>
      <c r="F127" s="673"/>
      <c r="G127" s="694"/>
      <c r="H127" s="695"/>
      <c r="I127" s="695"/>
      <c r="J127" s="695"/>
      <c r="K127" s="695"/>
      <c r="L127" s="695"/>
      <c r="M127" s="696"/>
      <c r="N127" s="2168"/>
      <c r="O127" s="2168"/>
      <c r="P127" s="2169"/>
      <c r="Q127" s="2170"/>
      <c r="R127" s="2171"/>
      <c r="S127" s="2171"/>
      <c r="T127" s="2171"/>
      <c r="U127" s="2171"/>
      <c r="V127" s="2171"/>
      <c r="W127" s="2171"/>
      <c r="X127" s="2171"/>
      <c r="Y127" s="2171"/>
      <c r="Z127" s="2171"/>
      <c r="AA127" s="2171"/>
      <c r="AB127" s="2171"/>
      <c r="AC127" s="2171"/>
    </row>
    <row r="128" spans="1:29" ht="15" hidden="1" thickTop="1">
      <c r="A128" s="737"/>
      <c r="B128" s="675">
        <f>B45</f>
        <v>0</v>
      </c>
      <c r="C128" s="690"/>
      <c r="D128" s="690"/>
      <c r="E128" s="690"/>
      <c r="F128" s="690"/>
      <c r="G128" s="720"/>
      <c r="H128" s="720"/>
      <c r="I128" s="720"/>
      <c r="J128" s="720"/>
      <c r="K128" s="721"/>
      <c r="L128" s="722"/>
      <c r="M128" s="723"/>
      <c r="N128" s="2165"/>
      <c r="O128" s="2165"/>
      <c r="P128" s="2166"/>
      <c r="Q128" s="2159"/>
      <c r="R128" s="2146"/>
      <c r="S128" s="2146"/>
      <c r="T128" s="2146"/>
      <c r="U128" s="2146"/>
      <c r="V128" s="2146"/>
      <c r="W128" s="2146"/>
      <c r="X128" s="2146"/>
      <c r="Y128" s="2146"/>
      <c r="Z128" s="2146"/>
      <c r="AA128" s="2146"/>
      <c r="AB128" s="2146"/>
      <c r="AC128" s="2146"/>
    </row>
    <row r="129" spans="1:29" ht="15.75" hidden="1" thickBot="1">
      <c r="A129" s="671"/>
      <c r="B129" s="680"/>
      <c r="C129" s="694"/>
      <c r="D129" s="694"/>
      <c r="E129" s="694"/>
      <c r="F129" s="694"/>
      <c r="G129" s="673"/>
      <c r="H129" s="673"/>
      <c r="I129" s="673"/>
      <c r="J129" s="673"/>
      <c r="K129" s="673"/>
      <c r="L129" s="673"/>
      <c r="M129" s="674"/>
      <c r="N129" s="2167"/>
      <c r="O129" s="2167"/>
      <c r="P129" s="2166"/>
      <c r="Q129" s="2159"/>
      <c r="R129" s="2146"/>
      <c r="S129" s="2146"/>
      <c r="T129" s="2146"/>
      <c r="U129" s="2146"/>
      <c r="V129" s="2146"/>
      <c r="W129" s="2146"/>
      <c r="X129" s="2146"/>
      <c r="Y129" s="2146"/>
      <c r="Z129" s="2146"/>
      <c r="AA129" s="2146"/>
      <c r="AB129" s="2146"/>
      <c r="AC129" s="2146"/>
    </row>
    <row r="130" spans="1:29" ht="15" hidden="1" thickTop="1">
      <c r="A130" s="737"/>
      <c r="B130" s="683">
        <f>B46</f>
        <v>0</v>
      </c>
      <c r="C130" s="690"/>
      <c r="D130" s="690"/>
      <c r="E130" s="690"/>
      <c r="F130" s="690"/>
      <c r="G130" s="724"/>
      <c r="H130" s="724"/>
      <c r="I130" s="724"/>
      <c r="J130" s="724"/>
      <c r="K130" s="663"/>
      <c r="L130" s="664"/>
      <c r="M130" s="727"/>
      <c r="N130" s="2165"/>
      <c r="O130" s="2165"/>
      <c r="P130" s="2166"/>
      <c r="Q130" s="2159"/>
      <c r="R130" s="2146"/>
      <c r="S130" s="2146"/>
      <c r="T130" s="2146"/>
      <c r="U130" s="2146"/>
      <c r="V130" s="2146"/>
      <c r="W130" s="2146"/>
      <c r="X130" s="2146"/>
      <c r="Y130" s="2146"/>
      <c r="Z130" s="2146"/>
      <c r="AA130" s="2146"/>
      <c r="AB130" s="2146"/>
      <c r="AC130" s="2146"/>
    </row>
    <row r="131" spans="1:29" ht="15.75" hidden="1" thickBot="1">
      <c r="A131" s="894"/>
      <c r="B131" s="701"/>
      <c r="C131" s="702"/>
      <c r="D131" s="702"/>
      <c r="E131" s="702"/>
      <c r="F131" s="702"/>
      <c r="G131" s="728"/>
      <c r="H131" s="728"/>
      <c r="I131" s="728"/>
      <c r="J131" s="728"/>
      <c r="K131" s="728"/>
      <c r="L131" s="728"/>
      <c r="M131" s="729"/>
      <c r="N131" s="2167"/>
      <c r="O131" s="2167"/>
      <c r="P131" s="2166"/>
      <c r="Q131" s="2159"/>
      <c r="R131" s="2146"/>
      <c r="S131" s="2146"/>
      <c r="T131" s="2146"/>
      <c r="U131" s="2146"/>
      <c r="V131" s="2146"/>
      <c r="W131" s="2146"/>
      <c r="X131" s="2146"/>
      <c r="Y131" s="2146"/>
      <c r="Z131" s="2146"/>
      <c r="AA131" s="2146"/>
      <c r="AB131" s="2146"/>
      <c r="AC131" s="2146"/>
    </row>
    <row r="132" spans="1:29" ht="15" thickTop="1">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2265</v>
      </c>
      <c r="H138" s="1929" t="s">
        <v>2266</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8">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8">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8">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89" priority="14" stopIfTrue="1" operator="containsText" text="超过">
      <formula>NOT(ISERROR(SEARCH("超过",F52)))</formula>
    </cfRule>
  </conditionalFormatting>
  <conditionalFormatting sqref="J54">
    <cfRule type="containsText" dxfId="88" priority="13" stopIfTrue="1" operator="containsText" text="超过">
      <formula>NOT(ISERROR(SEARCH("超过",J54)))</formula>
    </cfRule>
  </conditionalFormatting>
  <conditionalFormatting sqref="H54">
    <cfRule type="containsText" dxfId="87" priority="12" stopIfTrue="1" operator="containsText" text="超过">
      <formula>NOT(ISERROR(SEARCH("超过",H54)))</formula>
    </cfRule>
  </conditionalFormatting>
  <conditionalFormatting sqref="F54">
    <cfRule type="containsText" dxfId="86" priority="11" stopIfTrue="1" operator="containsText" text="超过">
      <formula>NOT(ISERROR(SEARCH("超过",F54)))</formula>
    </cfRule>
  </conditionalFormatting>
  <conditionalFormatting sqref="F53 H53 J53">
    <cfRule type="containsText" dxfId="85" priority="10" stopIfTrue="1" operator="containsText" text="超过">
      <formula>NOT(ISERROR(SEARCH("超过",F53)))</formula>
    </cfRule>
  </conditionalFormatting>
  <conditionalFormatting sqref="E52">
    <cfRule type="expression" dxfId="84" priority="9"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719</v>
      </c>
      <c r="B1" s="506" t="s">
        <v>757</v>
      </c>
      <c r="C1" s="507" t="s">
        <v>721</v>
      </c>
      <c r="D1" s="2371"/>
      <c r="E1" s="509"/>
      <c r="F1" s="2834"/>
      <c r="G1" s="1601" t="s">
        <v>722</v>
      </c>
      <c r="H1" s="509"/>
      <c r="I1" s="509"/>
      <c r="J1" s="509"/>
      <c r="K1" s="510"/>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6" t="s">
        <v>467</v>
      </c>
      <c r="B2" s="852"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12" t="s">
        <v>520</v>
      </c>
      <c r="B3" s="513" t="e">
        <f>C49</f>
        <v>#DIV/0!</v>
      </c>
      <c r="C3" s="854" t="s">
        <v>723</v>
      </c>
      <c r="D3" s="853">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31"/>
    </row>
    <row r="4" spans="1:29" ht="15">
      <c r="A4" s="515" t="s">
        <v>522</v>
      </c>
      <c r="B4" s="516"/>
      <c r="C4" s="3523" t="s">
        <v>523</v>
      </c>
      <c r="D4" s="3524"/>
      <c r="E4" s="3548" t="s">
        <v>524</v>
      </c>
      <c r="F4" s="3549"/>
      <c r="G4" s="3523" t="s">
        <v>525</v>
      </c>
      <c r="H4" s="3524"/>
      <c r="I4" s="3523" t="s">
        <v>526</v>
      </c>
      <c r="J4" s="3524"/>
      <c r="K4" s="517" t="s">
        <v>527</v>
      </c>
      <c r="L4" s="2134"/>
      <c r="M4" s="2135"/>
      <c r="N4" s="2135"/>
      <c r="O4" s="2135"/>
      <c r="P4" s="3525" t="s">
        <v>528</v>
      </c>
      <c r="Q4" s="3526"/>
      <c r="R4" s="3511" t="s">
        <v>524</v>
      </c>
      <c r="S4" s="3512"/>
      <c r="T4" s="3511" t="s">
        <v>525</v>
      </c>
      <c r="U4" s="3512"/>
      <c r="V4" s="3531" t="s">
        <v>526</v>
      </c>
      <c r="W4" s="3531"/>
      <c r="X4" s="1567"/>
      <c r="Y4" s="3511" t="s">
        <v>528</v>
      </c>
      <c r="Z4" s="3512"/>
      <c r="AA4" s="3506" t="s">
        <v>524</v>
      </c>
      <c r="AB4" s="3531" t="s">
        <v>525</v>
      </c>
      <c r="AC4" s="3506" t="s">
        <v>526</v>
      </c>
    </row>
    <row r="5" spans="1:29" ht="15">
      <c r="A5" s="518"/>
      <c r="B5" s="519"/>
      <c r="C5" s="3534" t="s">
        <v>2924</v>
      </c>
      <c r="D5" s="3535"/>
      <c r="E5" s="3550" t="s">
        <v>2925</v>
      </c>
      <c r="F5" s="3551"/>
      <c r="G5" s="3534" t="s">
        <v>2926</v>
      </c>
      <c r="H5" s="3535"/>
      <c r="I5" s="3534" t="s">
        <v>2927</v>
      </c>
      <c r="J5" s="3535"/>
      <c r="K5" s="517"/>
      <c r="L5" s="2134"/>
      <c r="M5" s="2135"/>
      <c r="N5" s="2135"/>
      <c r="O5" s="2135"/>
      <c r="P5" s="3527"/>
      <c r="Q5" s="3528"/>
      <c r="R5" s="3513"/>
      <c r="S5" s="3514"/>
      <c r="T5" s="3513"/>
      <c r="U5" s="3514"/>
      <c r="V5" s="3531"/>
      <c r="W5" s="3531"/>
      <c r="X5" s="1567"/>
      <c r="Y5" s="3513"/>
      <c r="Z5" s="3514"/>
      <c r="AA5" s="3507"/>
      <c r="AB5" s="3531"/>
      <c r="AC5" s="3507"/>
    </row>
    <row r="6" spans="1:29" ht="15.75" thickBot="1">
      <c r="A6" s="520"/>
      <c r="B6" s="521"/>
      <c r="C6" s="3532" t="s">
        <v>2928</v>
      </c>
      <c r="D6" s="3533"/>
      <c r="E6" s="3552" t="s">
        <v>2928</v>
      </c>
      <c r="F6" s="3553"/>
      <c r="G6" s="3532" t="s">
        <v>2928</v>
      </c>
      <c r="H6" s="3533"/>
      <c r="I6" s="3532" t="s">
        <v>2928</v>
      </c>
      <c r="J6" s="3533"/>
      <c r="K6" s="517" t="s">
        <v>529</v>
      </c>
      <c r="L6" s="2134"/>
      <c r="M6" s="2135"/>
      <c r="N6" s="2135"/>
      <c r="O6" s="2135"/>
      <c r="P6" s="3529"/>
      <c r="Q6" s="3530"/>
      <c r="R6" s="3513"/>
      <c r="S6" s="3514"/>
      <c r="T6" s="3515"/>
      <c r="U6" s="3516"/>
      <c r="V6" s="3531"/>
      <c r="W6" s="3531"/>
      <c r="X6" s="1567"/>
      <c r="Y6" s="3515"/>
      <c r="Z6" s="3516"/>
      <c r="AA6" s="3508"/>
      <c r="AB6" s="3531"/>
      <c r="AC6" s="3508"/>
    </row>
    <row r="7" spans="1:29" s="1220" customFormat="1" ht="15.75" thickBot="1">
      <c r="A7" s="2939"/>
      <c r="B7" s="2946" t="s">
        <v>530</v>
      </c>
      <c r="C7" s="522">
        <f>'数据-取费表'!B2</f>
        <v>43052</v>
      </c>
      <c r="D7" s="523">
        <v>100</v>
      </c>
      <c r="E7" s="524"/>
      <c r="F7" s="525">
        <f>SUMIF(58:58,YEAR(E7)&amp;"-"&amp;MONTH(E7),59:59)</f>
        <v>0</v>
      </c>
      <c r="G7" s="524"/>
      <c r="H7" s="523">
        <f>SUMIF(58:58,YEAR(G7)&amp;"-"&amp;MONTH(G7),59:59)</f>
        <v>0</v>
      </c>
      <c r="I7" s="524"/>
      <c r="J7" s="523">
        <f>SUMIF(58:58,YEAR(I7)&amp;"-"&amp;MONTH(I7),59:59)</f>
        <v>0</v>
      </c>
      <c r="K7" s="527"/>
      <c r="L7" s="2136"/>
      <c r="M7" s="2137"/>
      <c r="N7" s="2137"/>
      <c r="O7" s="2137"/>
      <c r="P7" s="3509" t="s">
        <v>531</v>
      </c>
      <c r="Q7" s="3518"/>
      <c r="R7" s="1568" t="s">
        <v>8</v>
      </c>
      <c r="S7" s="1569">
        <f t="shared" ref="S7:S15" si="0">F7</f>
        <v>0</v>
      </c>
      <c r="T7" s="1568" t="s">
        <v>8</v>
      </c>
      <c r="U7" s="1569">
        <f t="shared" ref="U7:U15" si="1">H7</f>
        <v>0</v>
      </c>
      <c r="V7" s="1568" t="s">
        <v>8</v>
      </c>
      <c r="W7" s="1569">
        <f t="shared" ref="W7:W15" si="2">J7</f>
        <v>0</v>
      </c>
      <c r="X7" s="1570"/>
      <c r="Y7" s="3509" t="s">
        <v>531</v>
      </c>
      <c r="Z7" s="3510"/>
      <c r="AA7" s="1571" t="e">
        <f>D7/F7</f>
        <v>#DIV/0!</v>
      </c>
      <c r="AB7" s="1571" t="e">
        <f>D7/H7</f>
        <v>#DIV/0!</v>
      </c>
      <c r="AC7" s="1571" t="e">
        <f>D7/J7</f>
        <v>#DIV/0!</v>
      </c>
    </row>
    <row r="8" spans="1:29" s="1220" customFormat="1" ht="15.75" thickBot="1">
      <c r="A8" s="2940"/>
      <c r="B8" s="2947" t="s">
        <v>532</v>
      </c>
      <c r="C8" s="528" t="s">
        <v>577</v>
      </c>
      <c r="D8" s="523">
        <v>100</v>
      </c>
      <c r="E8" s="528"/>
      <c r="F8" s="525">
        <f>SUMIF(61:61,E8,62:62)-SUMIF(61:61,C8,62:62)+100</f>
        <v>0</v>
      </c>
      <c r="G8" s="528"/>
      <c r="H8" s="523">
        <f>SUMIF(61:61,G8,62:62)-SUMIF(61:61,C8,62:62)+100</f>
        <v>0</v>
      </c>
      <c r="I8" s="528"/>
      <c r="J8" s="523">
        <f>SUMIF(61:61,I8,62:62)-SUMIF(61:61,C8,62:62)+100</f>
        <v>0</v>
      </c>
      <c r="K8" s="527"/>
      <c r="L8" s="2136"/>
      <c r="M8" s="2137"/>
      <c r="N8" s="2137"/>
      <c r="O8" s="2137"/>
      <c r="P8" s="3509" t="s">
        <v>534</v>
      </c>
      <c r="Q8" s="3510"/>
      <c r="R8" s="1568" t="s">
        <v>8</v>
      </c>
      <c r="S8" s="1569">
        <f t="shared" si="0"/>
        <v>0</v>
      </c>
      <c r="T8" s="1568" t="s">
        <v>8</v>
      </c>
      <c r="U8" s="1569">
        <f t="shared" si="1"/>
        <v>0</v>
      </c>
      <c r="V8" s="1568" t="s">
        <v>8</v>
      </c>
      <c r="W8" s="1569">
        <f t="shared" si="2"/>
        <v>0</v>
      </c>
      <c r="X8" s="1570"/>
      <c r="Y8" s="3509" t="s">
        <v>534</v>
      </c>
      <c r="Z8" s="3510"/>
      <c r="AA8" s="1571" t="e">
        <f t="shared" ref="AA8:AA46" si="3">D8/F8</f>
        <v>#DIV/0!</v>
      </c>
      <c r="AB8" s="1571" t="e">
        <f t="shared" ref="AB8:AB46" si="4">D8/H8</f>
        <v>#DIV/0!</v>
      </c>
      <c r="AC8" s="1571" t="e">
        <f t="shared" ref="AC8:AC46" si="5">D8/J8</f>
        <v>#DIV/0!</v>
      </c>
    </row>
    <row r="9" spans="1:29" s="1220" customFormat="1" ht="15">
      <c r="A9" s="2941"/>
      <c r="B9" s="2948" t="s">
        <v>2759</v>
      </c>
      <c r="C9" s="859"/>
      <c r="D9" s="254">
        <v>100</v>
      </c>
      <c r="E9" s="862"/>
      <c r="F9" s="254">
        <f>SUMIF(63:63,E9,64:64)-SUMIF(63:63,C9,64:64)+100</f>
        <v>100</v>
      </c>
      <c r="G9" s="860"/>
      <c r="H9" s="254">
        <f>SUMIF(63:63,G9,64:64)-SUMIF(63:63,C9,64:64)+100</f>
        <v>100</v>
      </c>
      <c r="I9" s="860"/>
      <c r="J9" s="254">
        <f>SUMIF(63:63,I9,64:64)-SUMIF(63:63,C9,64:64)+100</f>
        <v>100</v>
      </c>
      <c r="K9" s="527"/>
      <c r="L9" s="2136"/>
      <c r="M9" s="2137"/>
      <c r="N9" s="2137"/>
      <c r="O9" s="2138"/>
      <c r="P9" s="3517" t="s">
        <v>536</v>
      </c>
      <c r="Q9" s="1151" t="str">
        <f t="shared" ref="Q9:Q15" si="6">B9</f>
        <v>用途</v>
      </c>
      <c r="R9" s="1568" t="s">
        <v>8</v>
      </c>
      <c r="S9" s="1569">
        <f t="shared" si="0"/>
        <v>100</v>
      </c>
      <c r="T9" s="1568" t="s">
        <v>8</v>
      </c>
      <c r="U9" s="1569">
        <f t="shared" si="1"/>
        <v>100</v>
      </c>
      <c r="V9" s="1568" t="s">
        <v>8</v>
      </c>
      <c r="W9" s="1569">
        <f t="shared" si="2"/>
        <v>100</v>
      </c>
      <c r="X9" s="1570"/>
      <c r="Y9" s="3474" t="s">
        <v>537</v>
      </c>
      <c r="Z9" s="1150" t="str">
        <f t="shared" ref="Z9:Z15" si="7">Q9</f>
        <v>用途</v>
      </c>
      <c r="AA9" s="1571">
        <f t="shared" si="3"/>
        <v>1</v>
      </c>
      <c r="AB9" s="1571">
        <f t="shared" si="4"/>
        <v>1</v>
      </c>
      <c r="AC9" s="1571">
        <f t="shared" si="5"/>
        <v>1</v>
      </c>
    </row>
    <row r="10" spans="1:29" s="1338" customFormat="1" ht="27">
      <c r="A10" s="2942"/>
      <c r="B10" s="2947" t="s">
        <v>2760</v>
      </c>
      <c r="C10" s="863"/>
      <c r="D10" s="255">
        <v>100</v>
      </c>
      <c r="E10" s="863"/>
      <c r="F10" s="255">
        <f>SUMIF(65:65,E10,66:66)-SUMIF(65:65,C10,66:66)+100</f>
        <v>100</v>
      </c>
      <c r="G10" s="864"/>
      <c r="H10" s="255">
        <f>SUMIF(65:65,G10,66:66)-SUMIF(65:65,C10,66:66)+100</f>
        <v>100</v>
      </c>
      <c r="I10" s="863"/>
      <c r="J10" s="255">
        <f>SUMIF(65:65,I10,66:66)-SUMIF(65:65,C10,66:66)+100</f>
        <v>100</v>
      </c>
      <c r="K10" s="586"/>
      <c r="L10" s="2139"/>
      <c r="M10" s="2179"/>
      <c r="N10" s="2179"/>
      <c r="O10" s="2140"/>
      <c r="P10" s="3517"/>
      <c r="Q10" s="1151" t="str">
        <f t="shared" si="6"/>
        <v>土地使用年限（年）</v>
      </c>
      <c r="R10" s="1568" t="s">
        <v>8</v>
      </c>
      <c r="S10" s="1569">
        <f t="shared" si="0"/>
        <v>100</v>
      </c>
      <c r="T10" s="1568" t="s">
        <v>8</v>
      </c>
      <c r="U10" s="1569">
        <f t="shared" si="1"/>
        <v>100</v>
      </c>
      <c r="V10" s="1568" t="s">
        <v>8</v>
      </c>
      <c r="W10" s="1569">
        <f t="shared" si="2"/>
        <v>100</v>
      </c>
      <c r="X10" s="1570"/>
      <c r="Y10" s="3474"/>
      <c r="Z10" s="1150" t="str">
        <f t="shared" si="7"/>
        <v>土地使用年限（年）</v>
      </c>
      <c r="AA10" s="1571">
        <f t="shared" si="3"/>
        <v>1</v>
      </c>
      <c r="AB10" s="1571">
        <f t="shared" si="4"/>
        <v>1</v>
      </c>
      <c r="AC10" s="1571">
        <f t="shared" si="5"/>
        <v>1</v>
      </c>
    </row>
    <row r="11" spans="1:29" ht="15">
      <c r="A11" s="2943"/>
      <c r="B11" s="2947" t="s">
        <v>2761</v>
      </c>
      <c r="C11" s="536"/>
      <c r="D11" s="255">
        <v>100</v>
      </c>
      <c r="E11" s="536"/>
      <c r="F11" s="255" t="e">
        <f>LOOKUP(E11,68:68,69:69)-LOOKUP(C11,68:68,69:69)+100</f>
        <v>#N/A</v>
      </c>
      <c r="G11" s="537"/>
      <c r="H11" s="255" t="e">
        <f>LOOKUP(G11,68:68,69:69)-LOOKUP(C11,68:68,69:69)+100</f>
        <v>#N/A</v>
      </c>
      <c r="I11" s="536"/>
      <c r="J11" s="255" t="e">
        <f>LOOKUP(I11,68:68,69:69)-LOOKUP(C11,68:68,69:69)+100</f>
        <v>#N/A</v>
      </c>
      <c r="K11" s="586"/>
      <c r="L11" s="2141"/>
      <c r="M11" s="2135"/>
      <c r="N11" s="2135"/>
      <c r="O11" s="2142"/>
      <c r="P11" s="3517"/>
      <c r="Q11" s="1151" t="str">
        <f t="shared" si="6"/>
        <v>容积率</v>
      </c>
      <c r="R11" s="1568" t="s">
        <v>8</v>
      </c>
      <c r="S11" s="1569" t="e">
        <f t="shared" si="0"/>
        <v>#N/A</v>
      </c>
      <c r="T11" s="1568" t="s">
        <v>8</v>
      </c>
      <c r="U11" s="1569" t="e">
        <f t="shared" si="1"/>
        <v>#N/A</v>
      </c>
      <c r="V11" s="1568" t="s">
        <v>8</v>
      </c>
      <c r="W11" s="1569" t="e">
        <f t="shared" si="2"/>
        <v>#N/A</v>
      </c>
      <c r="X11" s="1570"/>
      <c r="Y11" s="3474"/>
      <c r="Z11" s="1150" t="str">
        <f t="shared" si="7"/>
        <v>容积率</v>
      </c>
      <c r="AA11" s="1571" t="e">
        <f t="shared" si="3"/>
        <v>#N/A</v>
      </c>
      <c r="AB11" s="1571" t="e">
        <f t="shared" si="4"/>
        <v>#N/A</v>
      </c>
      <c r="AC11" s="1571" t="e">
        <f t="shared" si="5"/>
        <v>#N/A</v>
      </c>
    </row>
    <row r="12" spans="1:29" s="1220" customFormat="1" ht="15">
      <c r="A12" s="2944"/>
      <c r="B12" s="2950">
        <v>111</v>
      </c>
      <c r="C12" s="531"/>
      <c r="D12" s="541">
        <v>100</v>
      </c>
      <c r="E12" s="542"/>
      <c r="F12" s="255">
        <f>SUMIF(70:70,E12,71:71)-SUMIF(70:70,C12,71:71)+100</f>
        <v>100</v>
      </c>
      <c r="G12" s="913"/>
      <c r="H12" s="255">
        <f>SUMIF(70:70,G12,71:71)-SUMIF(70:70,C12,71:71)+100</f>
        <v>100</v>
      </c>
      <c r="I12" s="542"/>
      <c r="J12" s="255">
        <f>SUMIF(70:70,I12,71:71)-SUMIF(70:70,C12,71:71)+100</f>
        <v>100</v>
      </c>
      <c r="K12" s="583"/>
      <c r="L12" s="2136"/>
      <c r="M12" s="2137"/>
      <c r="N12" s="2137"/>
      <c r="O12" s="2138"/>
      <c r="P12" s="3517"/>
      <c r="Q12" s="1151">
        <f t="shared" si="6"/>
        <v>111</v>
      </c>
      <c r="R12" s="1568" t="s">
        <v>8</v>
      </c>
      <c r="S12" s="1569">
        <f t="shared" si="0"/>
        <v>100</v>
      </c>
      <c r="T12" s="1568" t="s">
        <v>8</v>
      </c>
      <c r="U12" s="1569">
        <f t="shared" si="1"/>
        <v>100</v>
      </c>
      <c r="V12" s="1568" t="s">
        <v>8</v>
      </c>
      <c r="W12" s="1569">
        <f t="shared" si="2"/>
        <v>100</v>
      </c>
      <c r="X12" s="1570"/>
      <c r="Y12" s="3474"/>
      <c r="Z12" s="1150">
        <f t="shared" si="7"/>
        <v>111</v>
      </c>
      <c r="AA12" s="1571">
        <f>D12/F12</f>
        <v>1</v>
      </c>
      <c r="AB12" s="1571">
        <f>D12/H12</f>
        <v>1</v>
      </c>
      <c r="AC12" s="1571">
        <f>D12/J12</f>
        <v>1</v>
      </c>
    </row>
    <row r="13" spans="1:29" ht="15">
      <c r="A13" s="2944"/>
      <c r="B13" s="2950">
        <v>111</v>
      </c>
      <c r="C13" s="542"/>
      <c r="D13" s="543">
        <v>100</v>
      </c>
      <c r="E13" s="542"/>
      <c r="F13" s="255">
        <f>SUMIF(72:72,E13,73:73)-SUMIF(72:72,C13,73:73)+100</f>
        <v>100</v>
      </c>
      <c r="G13" s="913"/>
      <c r="H13" s="543">
        <f>SUMIF(72:72,G13,73:73)-SUMIF(72:72,C13,73:73)+100</f>
        <v>100</v>
      </c>
      <c r="I13" s="542"/>
      <c r="J13" s="543">
        <f>SUMIF(72:72,I13,73:73)-SUMIF(72:72,C13,73:73)+100</f>
        <v>100</v>
      </c>
      <c r="K13" s="583"/>
      <c r="L13" s="2143"/>
      <c r="M13" s="2135"/>
      <c r="N13" s="2135"/>
      <c r="O13" s="2142"/>
      <c r="P13" s="3517"/>
      <c r="Q13" s="1151">
        <f t="shared" si="6"/>
        <v>111</v>
      </c>
      <c r="R13" s="1568" t="s">
        <v>8</v>
      </c>
      <c r="S13" s="1569">
        <f t="shared" si="0"/>
        <v>100</v>
      </c>
      <c r="T13" s="1568" t="s">
        <v>8</v>
      </c>
      <c r="U13" s="1569">
        <f t="shared" si="1"/>
        <v>100</v>
      </c>
      <c r="V13" s="1568" t="s">
        <v>8</v>
      </c>
      <c r="W13" s="1569">
        <f t="shared" si="2"/>
        <v>100</v>
      </c>
      <c r="X13" s="1570"/>
      <c r="Y13" s="3474"/>
      <c r="Z13" s="1150">
        <f t="shared" si="7"/>
        <v>111</v>
      </c>
      <c r="AA13" s="1571">
        <f t="shared" si="3"/>
        <v>1</v>
      </c>
      <c r="AB13" s="1571">
        <f t="shared" si="4"/>
        <v>1</v>
      </c>
      <c r="AC13" s="1571">
        <f t="shared" si="5"/>
        <v>1</v>
      </c>
    </row>
    <row r="14" spans="1:29" ht="15.75" thickBot="1">
      <c r="A14" s="2945"/>
      <c r="B14" s="2951">
        <v>111</v>
      </c>
      <c r="C14" s="548"/>
      <c r="D14" s="549">
        <v>100</v>
      </c>
      <c r="E14" s="548"/>
      <c r="F14" s="549">
        <f>SUMIF(74:74,E14,75:75)-SUMIF(74:74,C14,75:75)+100</f>
        <v>100</v>
      </c>
      <c r="G14" s="913"/>
      <c r="H14" s="549">
        <f>SUMIF(74:74,G14,75:75)-SUMIF(74:74,C14,75:75)+100</f>
        <v>100</v>
      </c>
      <c r="I14" s="542"/>
      <c r="J14" s="549">
        <f>SUMIF(74:74,I14,75:75)-SUMIF(74:74,C14,75:75)+100</f>
        <v>100</v>
      </c>
      <c r="K14" s="583"/>
      <c r="L14" s="2143"/>
      <c r="M14" s="2135"/>
      <c r="N14" s="2135"/>
      <c r="O14" s="2142"/>
      <c r="P14" s="3517"/>
      <c r="Q14" s="1151">
        <f t="shared" si="6"/>
        <v>111</v>
      </c>
      <c r="R14" s="1568" t="s">
        <v>8</v>
      </c>
      <c r="S14" s="1569">
        <f t="shared" si="0"/>
        <v>100</v>
      </c>
      <c r="T14" s="1568" t="s">
        <v>8</v>
      </c>
      <c r="U14" s="1569">
        <f t="shared" si="1"/>
        <v>100</v>
      </c>
      <c r="V14" s="1568" t="s">
        <v>8</v>
      </c>
      <c r="W14" s="1569">
        <f t="shared" si="2"/>
        <v>100</v>
      </c>
      <c r="X14" s="1570"/>
      <c r="Y14" s="3474"/>
      <c r="Z14" s="1150">
        <f t="shared" si="7"/>
        <v>111</v>
      </c>
      <c r="AA14" s="1571">
        <f t="shared" si="3"/>
        <v>1</v>
      </c>
      <c r="AB14" s="1571">
        <f t="shared" si="4"/>
        <v>1</v>
      </c>
      <c r="AC14" s="1571">
        <f t="shared" si="5"/>
        <v>1</v>
      </c>
    </row>
    <row r="15" spans="1:29" ht="28.5">
      <c r="A15" s="2937" t="s">
        <v>2757</v>
      </c>
      <c r="B15" s="166" t="s">
        <v>542</v>
      </c>
      <c r="C15" s="869" t="str">
        <f>估价对象房地状况!C4</f>
        <v>XX商圈，周边商业氛围，人流量</v>
      </c>
      <c r="D15" s="552">
        <v>100</v>
      </c>
      <c r="E15" s="553"/>
      <c r="F15" s="554">
        <f>SUMIF(76:76,E16,77:77)-SUMIF(76:76,C16,77:77)+100</f>
        <v>100</v>
      </c>
      <c r="G15" s="555"/>
      <c r="H15" s="552">
        <f>SUMIF(76:76,G16,77:77)-SUMIF(76:76,C16,77:77)+100</f>
        <v>100</v>
      </c>
      <c r="I15" s="553"/>
      <c r="J15" s="552">
        <f>SUMIF(76:76,I16,77:77)-SUMIF(76:76,C16,77:77)+100</f>
        <v>100</v>
      </c>
      <c r="K15" s="899"/>
      <c r="L15" s="2143"/>
      <c r="M15" s="2135"/>
      <c r="N15" s="2135"/>
      <c r="O15" s="2142"/>
      <c r="P15" s="3519" t="s">
        <v>541</v>
      </c>
      <c r="Q15" s="1572" t="str">
        <f t="shared" si="6"/>
        <v>商业繁华度</v>
      </c>
      <c r="R15" s="1573" t="s">
        <v>8</v>
      </c>
      <c r="S15" s="1574">
        <f t="shared" si="0"/>
        <v>100</v>
      </c>
      <c r="T15" s="1573" t="s">
        <v>8</v>
      </c>
      <c r="U15" s="1574">
        <f t="shared" si="1"/>
        <v>100</v>
      </c>
      <c r="V15" s="1573" t="s">
        <v>8</v>
      </c>
      <c r="W15" s="1574">
        <f t="shared" si="2"/>
        <v>100</v>
      </c>
      <c r="X15" s="1567"/>
      <c r="Y15" s="3519" t="s">
        <v>541</v>
      </c>
      <c r="Z15" s="1575" t="str">
        <f t="shared" si="7"/>
        <v>商业繁华度</v>
      </c>
      <c r="AA15" s="1576">
        <f t="shared" si="3"/>
        <v>1</v>
      </c>
      <c r="AB15" s="1576">
        <f t="shared" si="4"/>
        <v>1</v>
      </c>
      <c r="AC15" s="1576">
        <f t="shared" si="5"/>
        <v>1</v>
      </c>
    </row>
    <row r="16" spans="1:29" ht="15">
      <c r="A16" s="535"/>
      <c r="B16" s="871"/>
      <c r="C16" s="578"/>
      <c r="D16" s="558"/>
      <c r="E16" s="578"/>
      <c r="F16" s="560"/>
      <c r="G16" s="578"/>
      <c r="H16" s="562"/>
      <c r="I16" s="578"/>
      <c r="J16" s="558"/>
      <c r="K16" s="900"/>
      <c r="L16" s="2143"/>
      <c r="M16" s="2135"/>
      <c r="N16" s="2135"/>
      <c r="O16" s="2142"/>
      <c r="P16" s="3520"/>
      <c r="Q16" s="1572"/>
      <c r="R16" s="1573"/>
      <c r="S16" s="1574"/>
      <c r="T16" s="1573"/>
      <c r="U16" s="1574"/>
      <c r="V16" s="1573"/>
      <c r="W16" s="1574"/>
      <c r="X16" s="1567"/>
      <c r="Y16" s="3520"/>
      <c r="Z16" s="1575"/>
      <c r="AA16" s="1576">
        <v>1</v>
      </c>
      <c r="AB16" s="1576">
        <v>1</v>
      </c>
      <c r="AC16" s="1576">
        <v>1</v>
      </c>
    </row>
    <row r="17" spans="1:29" ht="71.25">
      <c r="A17" s="535"/>
      <c r="B17" s="873" t="s">
        <v>296</v>
      </c>
      <c r="C17" s="874" t="str">
        <f>估价对象房地状况!C6</f>
        <v>周边道路状况、公共交通通达情况、停车便捷程度（大理荒草坝机场</v>
      </c>
      <c r="D17" s="562">
        <v>100</v>
      </c>
      <c r="E17" s="564"/>
      <c r="F17" s="565">
        <f>SUMIF(78:78,E18,79:79)-SUMIF(78:78,C18,79:79)+100</f>
        <v>100</v>
      </c>
      <c r="G17" s="566"/>
      <c r="H17" s="567">
        <f>SUMIF(78:78,G18,79:79)-SUMIF(78:78,C18,79:79)+100</f>
        <v>100</v>
      </c>
      <c r="I17" s="564"/>
      <c r="J17" s="567">
        <f>SUMIF(78:78,I18,79:79)-SUMIF(78:78,C18,79:79)+100</f>
        <v>100</v>
      </c>
      <c r="K17" s="899"/>
      <c r="L17" s="2143"/>
      <c r="M17" s="2135"/>
      <c r="N17" s="2135"/>
      <c r="O17" s="2142"/>
      <c r="P17" s="3520"/>
      <c r="Q17" s="1572" t="str">
        <f>B17</f>
        <v>交通便捷度</v>
      </c>
      <c r="R17" s="1573" t="s">
        <v>8</v>
      </c>
      <c r="S17" s="1574">
        <f>F17</f>
        <v>100</v>
      </c>
      <c r="T17" s="1573" t="s">
        <v>8</v>
      </c>
      <c r="U17" s="1574">
        <f>H17</f>
        <v>100</v>
      </c>
      <c r="V17" s="1573" t="s">
        <v>8</v>
      </c>
      <c r="W17" s="1574">
        <f>J17</f>
        <v>100</v>
      </c>
      <c r="X17" s="1567"/>
      <c r="Y17" s="3520"/>
      <c r="Z17" s="1575" t="str">
        <f>Q17</f>
        <v>交通便捷度</v>
      </c>
      <c r="AA17" s="1576">
        <f t="shared" si="3"/>
        <v>1</v>
      </c>
      <c r="AB17" s="1576">
        <f t="shared" si="4"/>
        <v>1</v>
      </c>
      <c r="AC17" s="1576">
        <f t="shared" si="5"/>
        <v>1</v>
      </c>
    </row>
    <row r="18" spans="1:29" ht="15">
      <c r="A18" s="535"/>
      <c r="B18" s="597"/>
      <c r="C18" s="875"/>
      <c r="D18" s="562"/>
      <c r="E18" s="570"/>
      <c r="F18" s="565"/>
      <c r="G18" s="571"/>
      <c r="H18" s="558"/>
      <c r="I18" s="570"/>
      <c r="J18" s="558"/>
      <c r="K18" s="900"/>
      <c r="L18" s="2143"/>
      <c r="M18" s="2135"/>
      <c r="N18" s="2135"/>
      <c r="O18" s="2142"/>
      <c r="P18" s="3520"/>
      <c r="Q18" s="1572"/>
      <c r="R18" s="1573"/>
      <c r="S18" s="1574"/>
      <c r="T18" s="1573"/>
      <c r="U18" s="1574"/>
      <c r="V18" s="1573"/>
      <c r="W18" s="1574"/>
      <c r="X18" s="1567"/>
      <c r="Y18" s="3520"/>
      <c r="Z18" s="1575"/>
      <c r="AA18" s="1576">
        <v>1</v>
      </c>
      <c r="AB18" s="1576">
        <v>1</v>
      </c>
      <c r="AC18" s="1576">
        <v>1</v>
      </c>
    </row>
    <row r="19" spans="1:29" ht="42.75">
      <c r="A19" s="535"/>
      <c r="B19" s="2625" t="s">
        <v>2548</v>
      </c>
      <c r="C19" s="874" t="str">
        <f>估价对象房地状况!C7</f>
        <v>大理技师学院 与较成熟区域距离5-6公里</v>
      </c>
      <c r="D19" s="567">
        <v>100</v>
      </c>
      <c r="E19" s="572"/>
      <c r="F19" s="573">
        <f>SUMIF(80:80,E20,81:81)-SUMIF(80:80,C20,81:81)+100</f>
        <v>100</v>
      </c>
      <c r="G19" s="574"/>
      <c r="H19" s="562">
        <f>SUMIF(80:80,G20,81:81)-SUMIF(80:80,C20,81:81)+100</f>
        <v>100</v>
      </c>
      <c r="I19" s="572"/>
      <c r="J19" s="562">
        <f>SUMIF(80:80,I20,81:81)-SUMIF(80:80,C20,81:81)+100</f>
        <v>100</v>
      </c>
      <c r="K19" s="899"/>
      <c r="L19" s="2143"/>
      <c r="M19" s="2135"/>
      <c r="N19" s="2135"/>
      <c r="O19" s="2142"/>
      <c r="P19" s="3520"/>
      <c r="Q19" s="1572" t="str">
        <f>B19</f>
        <v>公共配套设施</v>
      </c>
      <c r="R19" s="1573" t="s">
        <v>8</v>
      </c>
      <c r="S19" s="1574">
        <f>F19</f>
        <v>100</v>
      </c>
      <c r="T19" s="1573" t="s">
        <v>8</v>
      </c>
      <c r="U19" s="1574">
        <f>H19</f>
        <v>100</v>
      </c>
      <c r="V19" s="1573" t="s">
        <v>8</v>
      </c>
      <c r="W19" s="1574">
        <f>J19</f>
        <v>100</v>
      </c>
      <c r="X19" s="1567"/>
      <c r="Y19" s="3520"/>
      <c r="Z19" s="1575" t="str">
        <f>Q19</f>
        <v>公共配套设施</v>
      </c>
      <c r="AA19" s="1576">
        <f t="shared" si="3"/>
        <v>1</v>
      </c>
      <c r="AB19" s="1576">
        <f t="shared" si="4"/>
        <v>1</v>
      </c>
      <c r="AC19" s="1576">
        <f t="shared" si="5"/>
        <v>1</v>
      </c>
    </row>
    <row r="20" spans="1:29" ht="15">
      <c r="A20" s="535"/>
      <c r="B20" s="597"/>
      <c r="C20" s="578"/>
      <c r="D20" s="558"/>
      <c r="E20" s="559"/>
      <c r="F20" s="560"/>
      <c r="G20" s="561"/>
      <c r="H20" s="558"/>
      <c r="I20" s="559"/>
      <c r="J20" s="558"/>
      <c r="K20" s="900"/>
      <c r="L20" s="2143"/>
      <c r="M20" s="2135"/>
      <c r="N20" s="2135"/>
      <c r="O20" s="2142"/>
      <c r="P20" s="3520"/>
      <c r="Q20" s="1572"/>
      <c r="R20" s="1573"/>
      <c r="S20" s="1574"/>
      <c r="T20" s="1573"/>
      <c r="U20" s="1574"/>
      <c r="V20" s="1573"/>
      <c r="W20" s="1574"/>
      <c r="X20" s="1567"/>
      <c r="Y20" s="3520"/>
      <c r="Z20" s="1575"/>
      <c r="AA20" s="1576">
        <v>1</v>
      </c>
      <c r="AB20" s="1576">
        <v>1</v>
      </c>
      <c r="AC20" s="1576">
        <v>1</v>
      </c>
    </row>
    <row r="21" spans="1:29" ht="15">
      <c r="A21" s="535"/>
      <c r="B21" s="2618" t="s">
        <v>2560</v>
      </c>
      <c r="C21" s="874">
        <f>估价对象房地状况!C8</f>
        <v>0</v>
      </c>
      <c r="D21" s="567">
        <v>100</v>
      </c>
      <c r="E21" s="574"/>
      <c r="F21" s="573">
        <f>SUMIF(82:82,E22,83:83)-SUMIF(82:82,C22,83:83)+100</f>
        <v>100</v>
      </c>
      <c r="G21" s="574"/>
      <c r="H21" s="567">
        <f>SUMIF(82:82,G22,83:83)-SUMIF(82:82,C22,83:83)+100</f>
        <v>100</v>
      </c>
      <c r="I21" s="572"/>
      <c r="J21" s="567">
        <f>SUMIF(82:82,I22,83:83)-SUMIF(82:82,C22,83:83)+100</f>
        <v>100</v>
      </c>
      <c r="K21" s="899"/>
      <c r="L21" s="2143"/>
      <c r="M21" s="2135"/>
      <c r="N21" s="2135"/>
      <c r="O21" s="2142"/>
      <c r="P21" s="3520"/>
      <c r="Q21" s="2604" t="str">
        <f>B21</f>
        <v>基础设施水平</v>
      </c>
      <c r="R21" s="1573" t="s">
        <v>8</v>
      </c>
      <c r="S21" s="1574">
        <f>F21</f>
        <v>100</v>
      </c>
      <c r="T21" s="1573" t="s">
        <v>8</v>
      </c>
      <c r="U21" s="1574">
        <f>H21</f>
        <v>100</v>
      </c>
      <c r="V21" s="1573" t="s">
        <v>8</v>
      </c>
      <c r="W21" s="1574">
        <f>J21</f>
        <v>100</v>
      </c>
      <c r="X21" s="2606"/>
      <c r="Y21" s="3520"/>
      <c r="Z21" s="2605" t="str">
        <f>Q21</f>
        <v>基础设施水平</v>
      </c>
      <c r="AA21" s="1576">
        <f t="shared" ref="AA21" si="8">D21/F21</f>
        <v>1</v>
      </c>
      <c r="AB21" s="1576">
        <f t="shared" ref="AB21" si="9">D21/H21</f>
        <v>1</v>
      </c>
      <c r="AC21" s="1576">
        <f t="shared" ref="AC21" si="10">D21/J21</f>
        <v>1</v>
      </c>
    </row>
    <row r="22" spans="1:29" ht="15">
      <c r="A22" s="535"/>
      <c r="B22" s="923"/>
      <c r="C22" s="875"/>
      <c r="D22" s="558"/>
      <c r="E22" s="578"/>
      <c r="F22" s="560"/>
      <c r="G22" s="578"/>
      <c r="H22" s="558"/>
      <c r="I22" s="578"/>
      <c r="J22" s="558"/>
      <c r="K22" s="2627"/>
      <c r="L22" s="2143"/>
      <c r="M22" s="2135"/>
      <c r="N22" s="2135"/>
      <c r="O22" s="2142"/>
      <c r="P22" s="3520"/>
      <c r="Q22" s="2604"/>
      <c r="R22" s="1573"/>
      <c r="S22" s="1574"/>
      <c r="T22" s="1573"/>
      <c r="U22" s="1574"/>
      <c r="V22" s="1573"/>
      <c r="W22" s="1574"/>
      <c r="X22" s="2606"/>
      <c r="Y22" s="3520"/>
      <c r="Z22" s="2605"/>
      <c r="AA22" s="1576">
        <v>1</v>
      </c>
      <c r="AB22" s="1576">
        <v>1</v>
      </c>
      <c r="AC22" s="1576">
        <v>1</v>
      </c>
    </row>
    <row r="23" spans="1:29" ht="15">
      <c r="A23" s="535"/>
      <c r="B23" s="873" t="s">
        <v>297</v>
      </c>
      <c r="C23" s="901" t="str">
        <f>估价对象房地状况!C9</f>
        <v>洱海</v>
      </c>
      <c r="D23" s="562">
        <v>100</v>
      </c>
      <c r="E23" s="564"/>
      <c r="F23" s="565">
        <f>SUMIF(84:84,E24,85:85)-SUMIF(84:84,C24,85:85)+100</f>
        <v>100</v>
      </c>
      <c r="G23" s="566"/>
      <c r="H23" s="562">
        <f>SUMIF(84:84,G24,85:85)-SUMIF(84:84,C24,85:85)+100</f>
        <v>100</v>
      </c>
      <c r="I23" s="564"/>
      <c r="J23" s="562">
        <f>SUMIF(84:84,I24,85:85)-SUMIF(84:84,C24,85:85)+100</f>
        <v>100</v>
      </c>
      <c r="K23" s="899"/>
      <c r="L23" s="2143"/>
      <c r="M23" s="2135"/>
      <c r="N23" s="2135"/>
      <c r="O23" s="2142"/>
      <c r="P23" s="3520"/>
      <c r="Q23" s="1572" t="str">
        <f>B23</f>
        <v>自然及人文环境</v>
      </c>
      <c r="R23" s="1573" t="s">
        <v>8</v>
      </c>
      <c r="S23" s="1574">
        <f>F23</f>
        <v>100</v>
      </c>
      <c r="T23" s="1573" t="s">
        <v>8</v>
      </c>
      <c r="U23" s="1574">
        <f>H23</f>
        <v>100</v>
      </c>
      <c r="V23" s="1573" t="s">
        <v>8</v>
      </c>
      <c r="W23" s="1574">
        <f>J23</f>
        <v>100</v>
      </c>
      <c r="X23" s="1567"/>
      <c r="Y23" s="3520"/>
      <c r="Z23" s="1575" t="str">
        <f>Q23</f>
        <v>自然及人文环境</v>
      </c>
      <c r="AA23" s="1576">
        <f t="shared" si="3"/>
        <v>1</v>
      </c>
      <c r="AB23" s="1576">
        <f t="shared" si="4"/>
        <v>1</v>
      </c>
      <c r="AC23" s="1576">
        <f t="shared" si="5"/>
        <v>1</v>
      </c>
    </row>
    <row r="24" spans="1:29" ht="15">
      <c r="A24" s="535"/>
      <c r="B24" s="597"/>
      <c r="C24" s="578"/>
      <c r="D24" s="558"/>
      <c r="E24" s="559"/>
      <c r="F24" s="560"/>
      <c r="G24" s="561"/>
      <c r="H24" s="558"/>
      <c r="I24" s="559"/>
      <c r="J24" s="558"/>
      <c r="K24" s="900"/>
      <c r="L24" s="2143"/>
      <c r="M24" s="2135"/>
      <c r="N24" s="2135"/>
      <c r="O24" s="2142"/>
      <c r="P24" s="3520"/>
      <c r="Q24" s="1572"/>
      <c r="R24" s="1573"/>
      <c r="S24" s="1574"/>
      <c r="T24" s="1573"/>
      <c r="U24" s="1574"/>
      <c r="V24" s="1573"/>
      <c r="W24" s="1574"/>
      <c r="X24" s="1567"/>
      <c r="Y24" s="3520"/>
      <c r="Z24" s="1575"/>
      <c r="AA24" s="1576">
        <v>1</v>
      </c>
      <c r="AB24" s="1576">
        <v>1</v>
      </c>
      <c r="AC24" s="1576">
        <v>1</v>
      </c>
    </row>
    <row r="25" spans="1:29" ht="15">
      <c r="A25" s="535"/>
      <c r="B25" s="530" t="s">
        <v>548</v>
      </c>
      <c r="C25" s="585"/>
      <c r="D25" s="543">
        <v>100</v>
      </c>
      <c r="E25" s="585"/>
      <c r="F25" s="577">
        <f>SUMIF(86:86,E25,87:87)-SUMIF(86:86,C25,87:87)+100</f>
        <v>100</v>
      </c>
      <c r="G25" s="585"/>
      <c r="H25" s="543">
        <f>SUMIF(86:86,G25,87:87)-SUMIF(86:86,C25,87:87)+100</f>
        <v>100</v>
      </c>
      <c r="I25" s="585"/>
      <c r="J25" s="543">
        <f>SUMIF(86:86,I25,87:87)-SUMIF(86:86,C25,87:87)+100</f>
        <v>100</v>
      </c>
      <c r="K25" s="586"/>
      <c r="L25" s="2143"/>
      <c r="M25" s="2135"/>
      <c r="N25" s="2135"/>
      <c r="O25" s="2142"/>
      <c r="P25" s="3520"/>
      <c r="Q25" s="1572" t="str">
        <f t="shared" ref="Q25:Q46" si="11">B25</f>
        <v>临街状况</v>
      </c>
      <c r="R25" s="1573" t="s">
        <v>8</v>
      </c>
      <c r="S25" s="1574">
        <f>F25</f>
        <v>100</v>
      </c>
      <c r="T25" s="1573" t="s">
        <v>8</v>
      </c>
      <c r="U25" s="1574">
        <f>H25</f>
        <v>100</v>
      </c>
      <c r="V25" s="1573" t="s">
        <v>8</v>
      </c>
      <c r="W25" s="1574">
        <f>J25</f>
        <v>100</v>
      </c>
      <c r="X25" s="1567"/>
      <c r="Y25" s="3520"/>
      <c r="Z25" s="1575" t="str">
        <f>Q25</f>
        <v>临街状况</v>
      </c>
      <c r="AA25" s="1576">
        <f t="shared" si="3"/>
        <v>1</v>
      </c>
      <c r="AB25" s="1576">
        <f t="shared" si="4"/>
        <v>1</v>
      </c>
      <c r="AC25" s="1576">
        <f t="shared" si="5"/>
        <v>1</v>
      </c>
    </row>
    <row r="26" spans="1:29" ht="15">
      <c r="A26" s="535"/>
      <c r="B26" s="879" t="s">
        <v>758</v>
      </c>
      <c r="C26" s="542"/>
      <c r="D26" s="543">
        <v>100</v>
      </c>
      <c r="E26" s="542"/>
      <c r="F26" s="577">
        <f>SUMIF(88:88,E26,89:89)-SUMIF(88:88,C26,89:89)+100</f>
        <v>100</v>
      </c>
      <c r="G26" s="542"/>
      <c r="H26" s="543">
        <f>SUMIF(88:88,G26,89:89)-SUMIF(88:88,C26,89:89)+100</f>
        <v>100</v>
      </c>
      <c r="I26" s="542"/>
      <c r="J26" s="543">
        <f>SUMIF(88:88,I26,89:89)-SUMIF(88:88,C26,89:89)+100</f>
        <v>100</v>
      </c>
      <c r="K26" s="583"/>
      <c r="L26" s="2143"/>
      <c r="M26" s="2135"/>
      <c r="N26" s="2135"/>
      <c r="O26" s="2142"/>
      <c r="P26" s="3520"/>
      <c r="Q26" s="1572" t="str">
        <f t="shared" si="11"/>
        <v>平面位置/可视性</v>
      </c>
      <c r="R26" s="1573" t="s">
        <v>8</v>
      </c>
      <c r="S26" s="1574">
        <f>F26</f>
        <v>100</v>
      </c>
      <c r="T26" s="1573" t="s">
        <v>8</v>
      </c>
      <c r="U26" s="1574">
        <f>H26</f>
        <v>100</v>
      </c>
      <c r="V26" s="1573" t="s">
        <v>8</v>
      </c>
      <c r="W26" s="1574">
        <f>J26</f>
        <v>100</v>
      </c>
      <c r="X26" s="1567"/>
      <c r="Y26" s="3520"/>
      <c r="Z26" s="1575" t="str">
        <f>Q26</f>
        <v>平面位置/可视性</v>
      </c>
      <c r="AA26" s="1576">
        <f t="shared" si="3"/>
        <v>1</v>
      </c>
      <c r="AB26" s="1576">
        <f t="shared" si="4"/>
        <v>1</v>
      </c>
      <c r="AC26" s="1576">
        <f t="shared" si="5"/>
        <v>1</v>
      </c>
    </row>
    <row r="27" spans="1:29" s="1220" customFormat="1" ht="15">
      <c r="A27" s="539"/>
      <c r="B27" s="873" t="s">
        <v>759</v>
      </c>
      <c r="C27" s="902"/>
      <c r="D27" s="877">
        <v>100</v>
      </c>
      <c r="E27" s="902"/>
      <c r="F27" s="878">
        <f>SUMIF(90:90,E27,91:91)-SUMIF(90:90,C27,91:91)+100</f>
        <v>100</v>
      </c>
      <c r="G27" s="902"/>
      <c r="H27" s="877">
        <f>SUMIF(90:90,G27,91:91)-SUMIF(90:90,C27,91:91)+100</f>
        <v>100</v>
      </c>
      <c r="I27" s="902"/>
      <c r="J27" s="877">
        <f>SUMIF(90:90,I27,91:91)-SUMIF(90:90,C27,91:91)+100</f>
        <v>100</v>
      </c>
      <c r="K27" s="586"/>
      <c r="L27" s="2136"/>
      <c r="M27" s="2137"/>
      <c r="N27" s="2137"/>
      <c r="O27" s="2138"/>
      <c r="P27" s="3520"/>
      <c r="Q27" s="1151" t="str">
        <f t="shared" si="11"/>
        <v>人流量</v>
      </c>
      <c r="R27" s="1568" t="s">
        <v>8</v>
      </c>
      <c r="S27" s="1569">
        <f>F27</f>
        <v>100</v>
      </c>
      <c r="T27" s="1568" t="s">
        <v>8</v>
      </c>
      <c r="U27" s="1569">
        <f>H27</f>
        <v>100</v>
      </c>
      <c r="V27" s="1568" t="s">
        <v>8</v>
      </c>
      <c r="W27" s="1569">
        <f>J27</f>
        <v>100</v>
      </c>
      <c r="X27" s="1570"/>
      <c r="Y27" s="3520"/>
      <c r="Z27" s="1150" t="str">
        <f>Q27</f>
        <v>人流量</v>
      </c>
      <c r="AA27" s="1576">
        <f>D27/F27</f>
        <v>1</v>
      </c>
      <c r="AB27" s="1576">
        <f>D27/H27</f>
        <v>1</v>
      </c>
      <c r="AC27" s="1576">
        <f>D27/J27</f>
        <v>1</v>
      </c>
    </row>
    <row r="28" spans="1:29" ht="15">
      <c r="A28" s="535"/>
      <c r="B28" s="530" t="s">
        <v>761</v>
      </c>
      <c r="C28" s="585"/>
      <c r="D28" s="543">
        <v>100</v>
      </c>
      <c r="E28" s="585"/>
      <c r="F28" s="577">
        <f>SUMIF(92:92,E28,93:93)-SUMIF(92:92,C28,93:93)+100</f>
        <v>100</v>
      </c>
      <c r="G28" s="585"/>
      <c r="H28" s="543">
        <f>SUMIF(92:92,G28,93:93)-SUMIF(92:92,C28,93:93)+100</f>
        <v>100</v>
      </c>
      <c r="I28" s="585"/>
      <c r="J28" s="543">
        <f>SUMIF(92:92,I28,93:93)-SUMIF(92:92,C28,93:93)+100</f>
        <v>100</v>
      </c>
      <c r="K28" s="583"/>
      <c r="L28" s="2143"/>
      <c r="M28" s="2135"/>
      <c r="N28" s="2135"/>
      <c r="O28" s="2142"/>
      <c r="P28" s="3520"/>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520"/>
      <c r="Z28" s="1575" t="str">
        <f t="shared" ref="Z28:Z46" si="15">Q28</f>
        <v>楼层</v>
      </c>
      <c r="AA28" s="1576">
        <f t="shared" si="3"/>
        <v>1</v>
      </c>
      <c r="AB28" s="1576">
        <f t="shared" si="4"/>
        <v>1</v>
      </c>
      <c r="AC28" s="1576">
        <f t="shared" si="5"/>
        <v>1</v>
      </c>
    </row>
    <row r="29" spans="1:29" ht="15">
      <c r="A29" s="535"/>
      <c r="B29" s="879">
        <v>111</v>
      </c>
      <c r="C29" s="542"/>
      <c r="D29" s="543">
        <v>100</v>
      </c>
      <c r="E29" s="542"/>
      <c r="F29" s="577">
        <f>SUMIF(94:94,E29,95:95)-SUMIF(94:94,C29,95:95)+100</f>
        <v>100</v>
      </c>
      <c r="G29" s="542"/>
      <c r="H29" s="543">
        <f>SUMIF(94:94,G29,95:95)-SUMIF(94:94,C29,95:95)+100</f>
        <v>100</v>
      </c>
      <c r="I29" s="542"/>
      <c r="J29" s="543">
        <f>SUMIF(94:94,I29,95:95)-SUMIF(94:94,C29,95:95)+100</f>
        <v>100</v>
      </c>
      <c r="K29" s="583"/>
      <c r="L29" s="2143"/>
      <c r="M29" s="2135"/>
      <c r="N29" s="2135"/>
      <c r="O29" s="2142"/>
      <c r="P29" s="3520"/>
      <c r="Q29" s="1572">
        <f t="shared" si="11"/>
        <v>111</v>
      </c>
      <c r="R29" s="1573" t="s">
        <v>8</v>
      </c>
      <c r="S29" s="1574">
        <f t="shared" si="12"/>
        <v>100</v>
      </c>
      <c r="T29" s="1573" t="s">
        <v>8</v>
      </c>
      <c r="U29" s="1574">
        <f t="shared" si="13"/>
        <v>100</v>
      </c>
      <c r="V29" s="1573" t="s">
        <v>8</v>
      </c>
      <c r="W29" s="1574">
        <f t="shared" si="14"/>
        <v>100</v>
      </c>
      <c r="X29" s="1567"/>
      <c r="Y29" s="3520"/>
      <c r="Z29" s="1575">
        <f t="shared" si="15"/>
        <v>111</v>
      </c>
      <c r="AA29" s="1576">
        <f t="shared" si="3"/>
        <v>1</v>
      </c>
      <c r="AB29" s="1576">
        <f t="shared" si="4"/>
        <v>1</v>
      </c>
      <c r="AC29" s="1576">
        <f t="shared" si="5"/>
        <v>1</v>
      </c>
    </row>
    <row r="30" spans="1:29" ht="15">
      <c r="A30" s="535"/>
      <c r="B30" s="879">
        <v>111</v>
      </c>
      <c r="C30" s="542"/>
      <c r="D30" s="543">
        <v>100</v>
      </c>
      <c r="E30" s="542"/>
      <c r="F30" s="577">
        <f>SUMIF(96:96,E30,97:97)-SUMIF(96:96,C30,97:97)+100</f>
        <v>100</v>
      </c>
      <c r="G30" s="542"/>
      <c r="H30" s="543">
        <f>SUMIF(96:96,G30,97:97)-SUMIF(96:96,C30,97:97)+100</f>
        <v>100</v>
      </c>
      <c r="I30" s="542"/>
      <c r="J30" s="543">
        <f>SUMIF(96:96,I30,97:97)-SUMIF(96:96,C30,97:97)+100</f>
        <v>100</v>
      </c>
      <c r="K30" s="583"/>
      <c r="L30" s="2143"/>
      <c r="M30" s="2135"/>
      <c r="N30" s="2135"/>
      <c r="O30" s="2142"/>
      <c r="P30" s="3520"/>
      <c r="Q30" s="1572">
        <f t="shared" si="11"/>
        <v>111</v>
      </c>
      <c r="R30" s="1573" t="s">
        <v>8</v>
      </c>
      <c r="S30" s="1574">
        <f t="shared" si="12"/>
        <v>100</v>
      </c>
      <c r="T30" s="1573" t="s">
        <v>8</v>
      </c>
      <c r="U30" s="1574">
        <f t="shared" si="13"/>
        <v>100</v>
      </c>
      <c r="V30" s="1573" t="s">
        <v>8</v>
      </c>
      <c r="W30" s="1574">
        <f t="shared" si="14"/>
        <v>100</v>
      </c>
      <c r="X30" s="1567"/>
      <c r="Y30" s="3520"/>
      <c r="Z30" s="1575">
        <f t="shared" si="15"/>
        <v>111</v>
      </c>
      <c r="AA30" s="1576">
        <f t="shared" si="3"/>
        <v>1</v>
      </c>
      <c r="AB30" s="1576">
        <f t="shared" si="4"/>
        <v>1</v>
      </c>
      <c r="AC30" s="1576">
        <f t="shared" si="5"/>
        <v>1</v>
      </c>
    </row>
    <row r="31" spans="1:29" ht="15.75" thickBot="1">
      <c r="A31" s="546"/>
      <c r="B31" s="879">
        <v>111</v>
      </c>
      <c r="C31" s="548"/>
      <c r="D31" s="549">
        <v>100</v>
      </c>
      <c r="E31" s="542"/>
      <c r="F31" s="868">
        <f>SUMIF(98:98,E31,99:99)-SUMIF(98:98,C31,99:99)+100</f>
        <v>100</v>
      </c>
      <c r="G31" s="542"/>
      <c r="H31" s="549">
        <f>SUMIF(98:98,G31,99:99)-SUMIF(98:98,C31,99:99)+100</f>
        <v>100</v>
      </c>
      <c r="I31" s="542"/>
      <c r="J31" s="549">
        <f>SUMIF(98:98,I31,99:99)-SUMIF(98:98,C31,99:99)+100</f>
        <v>100</v>
      </c>
      <c r="K31" s="583"/>
      <c r="L31" s="2143"/>
      <c r="M31" s="2135"/>
      <c r="N31" s="2135"/>
      <c r="O31" s="2142"/>
      <c r="P31" s="3520"/>
      <c r="Q31" s="1572">
        <f t="shared" si="11"/>
        <v>111</v>
      </c>
      <c r="R31" s="1573" t="s">
        <v>8</v>
      </c>
      <c r="S31" s="1574">
        <f t="shared" si="12"/>
        <v>100</v>
      </c>
      <c r="T31" s="1573" t="s">
        <v>8</v>
      </c>
      <c r="U31" s="1574">
        <f t="shared" si="13"/>
        <v>100</v>
      </c>
      <c r="V31" s="1573" t="s">
        <v>8</v>
      </c>
      <c r="W31" s="1574">
        <f t="shared" si="14"/>
        <v>100</v>
      </c>
      <c r="X31" s="1567"/>
      <c r="Y31" s="3520"/>
      <c r="Z31" s="1575">
        <f t="shared" si="15"/>
        <v>111</v>
      </c>
      <c r="AA31" s="1576">
        <f t="shared" si="3"/>
        <v>1</v>
      </c>
      <c r="AB31" s="1576">
        <f t="shared" si="4"/>
        <v>1</v>
      </c>
      <c r="AC31" s="1576">
        <f t="shared" si="5"/>
        <v>1</v>
      </c>
    </row>
    <row r="32" spans="1:29" ht="15">
      <c r="A32" s="2934" t="s">
        <v>2758</v>
      </c>
      <c r="B32" s="172" t="s">
        <v>762</v>
      </c>
      <c r="C32" s="880"/>
      <c r="D32" s="599">
        <v>100</v>
      </c>
      <c r="E32" s="880"/>
      <c r="F32" s="577">
        <f>SUMIF(100:100,E32,101:101)-SUMIF(100:100,C32,101:101)+100</f>
        <v>100</v>
      </c>
      <c r="G32" s="880"/>
      <c r="H32" s="543">
        <f>SUMIF(100:100,G32,101:101)-SUMIF(100:100,C32,101:101)+100</f>
        <v>100</v>
      </c>
      <c r="I32" s="880"/>
      <c r="J32" s="599">
        <f>SUMIF(100:100,I32,101:101)-SUMIF(100:100,C32,101:101)+100</f>
        <v>100</v>
      </c>
      <c r="K32" s="586"/>
      <c r="L32" s="2143"/>
      <c r="M32" s="2135"/>
      <c r="N32" s="2135"/>
      <c r="O32" s="2142"/>
      <c r="P32" s="3521" t="s">
        <v>551</v>
      </c>
      <c r="Q32" s="1572" t="str">
        <f t="shared" si="11"/>
        <v>商业类型</v>
      </c>
      <c r="R32" s="1573" t="s">
        <v>8</v>
      </c>
      <c r="S32" s="1574">
        <f t="shared" si="12"/>
        <v>100</v>
      </c>
      <c r="T32" s="1573" t="s">
        <v>8</v>
      </c>
      <c r="U32" s="1574">
        <f t="shared" si="13"/>
        <v>100</v>
      </c>
      <c r="V32" s="1573" t="s">
        <v>8</v>
      </c>
      <c r="W32" s="1574">
        <f t="shared" si="14"/>
        <v>100</v>
      </c>
      <c r="X32" s="1567"/>
      <c r="Y32" s="3522" t="s">
        <v>551</v>
      </c>
      <c r="Z32" s="1575" t="str">
        <f t="shared" si="15"/>
        <v>商业类型</v>
      </c>
      <c r="AA32" s="1576">
        <f t="shared" si="3"/>
        <v>1</v>
      </c>
      <c r="AB32" s="1576">
        <f t="shared" si="4"/>
        <v>1</v>
      </c>
      <c r="AC32" s="1576">
        <f t="shared" si="5"/>
        <v>1</v>
      </c>
    </row>
    <row r="33" spans="1:29" s="1339" customFormat="1" ht="15">
      <c r="A33" s="605"/>
      <c r="B33" s="530" t="s">
        <v>726</v>
      </c>
      <c r="C33" s="881"/>
      <c r="D33" s="255">
        <v>100</v>
      </c>
      <c r="E33" s="537"/>
      <c r="F33" s="865" t="e">
        <f>LOOKUP(E33,103:103,104:104)-LOOKUP(C33,103:103,104:104)+100</f>
        <v>#N/A</v>
      </c>
      <c r="G33" s="536"/>
      <c r="H33" s="255" t="e">
        <f>LOOKUP(G33,103:103,104:104)-LOOKUP(C33,103:103,104:104)+100</f>
        <v>#N/A</v>
      </c>
      <c r="I33" s="536"/>
      <c r="J33" s="255" t="e">
        <f>LOOKUP(I33,103:103,104:104)-LOOKUP(C33,103:103,104:104)+100</f>
        <v>#N/A</v>
      </c>
      <c r="K33" s="583"/>
      <c r="L33" s="2141"/>
      <c r="M33" s="2172"/>
      <c r="N33" s="2172"/>
      <c r="O33" s="2144"/>
      <c r="P33" s="3522"/>
      <c r="Q33" s="1605" t="str">
        <f t="shared" si="11"/>
        <v>项目建筑规模</v>
      </c>
      <c r="R33" s="1577" t="s">
        <v>8</v>
      </c>
      <c r="S33" s="1578" t="e">
        <f t="shared" si="12"/>
        <v>#N/A</v>
      </c>
      <c r="T33" s="1577" t="s">
        <v>8</v>
      </c>
      <c r="U33" s="1578" t="e">
        <f t="shared" si="13"/>
        <v>#N/A</v>
      </c>
      <c r="V33" s="1577" t="s">
        <v>8</v>
      </c>
      <c r="W33" s="1578" t="e">
        <f t="shared" si="14"/>
        <v>#N/A</v>
      </c>
      <c r="X33" s="1579"/>
      <c r="Y33" s="3522"/>
      <c r="Z33" s="1580" t="str">
        <f t="shared" si="15"/>
        <v>项目建筑规模</v>
      </c>
      <c r="AA33" s="1576" t="e">
        <f t="shared" si="3"/>
        <v>#N/A</v>
      </c>
      <c r="AB33" s="1576" t="e">
        <f t="shared" si="4"/>
        <v>#N/A</v>
      </c>
      <c r="AC33" s="1576" t="e">
        <f t="shared" si="5"/>
        <v>#N/A</v>
      </c>
    </row>
    <row r="34" spans="1:29" ht="15">
      <c r="A34" s="596"/>
      <c r="B34" s="530" t="s">
        <v>727</v>
      </c>
      <c r="C34" s="882"/>
      <c r="D34" s="543">
        <v>100</v>
      </c>
      <c r="E34" s="883"/>
      <c r="F34" s="577">
        <f>SUMIF(105:105,E34,106:106)-SUMIF(105:105,C34,106:106)+100</f>
        <v>100</v>
      </c>
      <c r="G34" s="882"/>
      <c r="H34" s="543">
        <f>SUMIF(105:105,G34,106:106)-SUMIF(105:105,C34,106:106)+100</f>
        <v>100</v>
      </c>
      <c r="I34" s="882"/>
      <c r="J34" s="543">
        <f>SUMIF(105:105,I34,106:106)-SUMIF(105:105,C34,106:106)+100</f>
        <v>100</v>
      </c>
      <c r="K34" s="586"/>
      <c r="L34" s="2143"/>
      <c r="M34" s="2135"/>
      <c r="N34" s="2135"/>
      <c r="O34" s="2142"/>
      <c r="P34" s="3522"/>
      <c r="Q34" s="1572" t="str">
        <f t="shared" si="11"/>
        <v>建筑结构</v>
      </c>
      <c r="R34" s="1573" t="s">
        <v>8</v>
      </c>
      <c r="S34" s="1574">
        <f t="shared" si="12"/>
        <v>100</v>
      </c>
      <c r="T34" s="1573" t="s">
        <v>8</v>
      </c>
      <c r="U34" s="1574">
        <f t="shared" si="13"/>
        <v>100</v>
      </c>
      <c r="V34" s="1573" t="s">
        <v>8</v>
      </c>
      <c r="W34" s="1574">
        <f t="shared" si="14"/>
        <v>100</v>
      </c>
      <c r="X34" s="1567"/>
      <c r="Y34" s="3522"/>
      <c r="Z34" s="1575" t="str">
        <f t="shared" si="15"/>
        <v>建筑结构</v>
      </c>
      <c r="AA34" s="1576">
        <f t="shared" si="3"/>
        <v>1</v>
      </c>
      <c r="AB34" s="1576">
        <f t="shared" si="4"/>
        <v>1</v>
      </c>
      <c r="AC34" s="1576">
        <f t="shared" si="5"/>
        <v>1</v>
      </c>
    </row>
    <row r="35" spans="1:29" ht="15">
      <c r="A35" s="596"/>
      <c r="B35" s="530" t="s">
        <v>763</v>
      </c>
      <c r="C35" s="601"/>
      <c r="D35" s="543">
        <v>100</v>
      </c>
      <c r="E35" s="601"/>
      <c r="F35" s="577">
        <f>SUMIF(107:107,E35,108:108)-SUMIF(107:107,C35,108:108)+100</f>
        <v>100</v>
      </c>
      <c r="G35" s="601"/>
      <c r="H35" s="543">
        <f>SUMIF(107:107,G35,108:108)-SUMIF(107:107,C35,108:108)+100</f>
        <v>100</v>
      </c>
      <c r="I35" s="601"/>
      <c r="J35" s="543">
        <f>SUMIF(107:107,I35,108:108)-SUMIF(107:107,C35,108:108)+100</f>
        <v>100</v>
      </c>
      <c r="K35" s="586"/>
      <c r="L35" s="2143"/>
      <c r="M35" s="2135"/>
      <c r="N35" s="2135"/>
      <c r="O35" s="2142"/>
      <c r="P35" s="3522"/>
      <c r="Q35" s="1572" t="str">
        <f t="shared" si="11"/>
        <v>公共部分装修</v>
      </c>
      <c r="R35" s="1573" t="s">
        <v>8</v>
      </c>
      <c r="S35" s="1574">
        <f t="shared" si="12"/>
        <v>100</v>
      </c>
      <c r="T35" s="1573" t="s">
        <v>8</v>
      </c>
      <c r="U35" s="1574">
        <f t="shared" si="13"/>
        <v>100</v>
      </c>
      <c r="V35" s="1573" t="s">
        <v>8</v>
      </c>
      <c r="W35" s="1574">
        <f t="shared" si="14"/>
        <v>100</v>
      </c>
      <c r="X35" s="1567"/>
      <c r="Y35" s="3522"/>
      <c r="Z35" s="1575" t="str">
        <f t="shared" si="15"/>
        <v>公共部分装修</v>
      </c>
      <c r="AA35" s="1576">
        <f t="shared" si="3"/>
        <v>1</v>
      </c>
      <c r="AB35" s="1576">
        <f t="shared" si="4"/>
        <v>1</v>
      </c>
      <c r="AC35" s="1576">
        <f t="shared" si="5"/>
        <v>1</v>
      </c>
    </row>
    <row r="36" spans="1:29" ht="15">
      <c r="A36" s="596"/>
      <c r="B36" s="530" t="s">
        <v>764</v>
      </c>
      <c r="C36" s="884"/>
      <c r="D36" s="543">
        <v>100</v>
      </c>
      <c r="E36" s="884"/>
      <c r="F36" s="577" t="e">
        <f>LOOKUP(E36,110:110,111:111)-LOOKUP(C36,110:110,111:111)+100</f>
        <v>#N/A</v>
      </c>
      <c r="G36" s="884"/>
      <c r="H36" s="577" t="e">
        <f>LOOKUP(G36,110:110,111:111)-LOOKUP(C36,110:110,111:111)+100</f>
        <v>#N/A</v>
      </c>
      <c r="I36" s="884"/>
      <c r="J36" s="543" t="e">
        <f>LOOKUP(I36,110:110,111:111)-LOOKUP(C36,110:110,111:111)+100</f>
        <v>#N/A</v>
      </c>
      <c r="K36" s="586"/>
      <c r="L36" s="2143"/>
      <c r="M36" s="2135"/>
      <c r="N36" s="2135"/>
      <c r="O36" s="2142"/>
      <c r="P36" s="3522"/>
      <c r="Q36" s="1572" t="str">
        <f t="shared" si="11"/>
        <v>成新度</v>
      </c>
      <c r="R36" s="1573" t="s">
        <v>8</v>
      </c>
      <c r="S36" s="1574" t="e">
        <f t="shared" si="12"/>
        <v>#N/A</v>
      </c>
      <c r="T36" s="1573" t="s">
        <v>8</v>
      </c>
      <c r="U36" s="1574" t="e">
        <f t="shared" si="13"/>
        <v>#N/A</v>
      </c>
      <c r="V36" s="1573" t="s">
        <v>8</v>
      </c>
      <c r="W36" s="1574" t="e">
        <f t="shared" si="14"/>
        <v>#N/A</v>
      </c>
      <c r="X36" s="1567"/>
      <c r="Y36" s="3522"/>
      <c r="Z36" s="1575" t="str">
        <f t="shared" si="15"/>
        <v>成新度</v>
      </c>
      <c r="AA36" s="1576" t="e">
        <f t="shared" si="3"/>
        <v>#N/A</v>
      </c>
      <c r="AB36" s="1576" t="e">
        <f t="shared" si="4"/>
        <v>#N/A</v>
      </c>
      <c r="AC36" s="1576" t="e">
        <f t="shared" si="5"/>
        <v>#N/A</v>
      </c>
    </row>
    <row r="37" spans="1:29" s="1220" customFormat="1" ht="15">
      <c r="A37" s="602"/>
      <c r="B37" s="1896" t="s">
        <v>2567</v>
      </c>
      <c r="C37" s="601"/>
      <c r="D37" s="255">
        <v>100</v>
      </c>
      <c r="E37" s="601"/>
      <c r="F37" s="577">
        <f>SUMIF(112:112,E37,113:113)-SUMIF(112:112,C37,113:113)+100</f>
        <v>100</v>
      </c>
      <c r="G37" s="601"/>
      <c r="H37" s="543">
        <f>SUMIF(112:112,G37,113:113)-SUMIF(112:112,C37,113:113)+100</f>
        <v>100</v>
      </c>
      <c r="I37" s="601"/>
      <c r="J37" s="543">
        <f>SUMIF(112:112,I37,113:113)-SUMIF(112:112,C37,113:113)+100</f>
        <v>100</v>
      </c>
      <c r="K37" s="586"/>
      <c r="L37" s="2136"/>
      <c r="M37" s="2137"/>
      <c r="N37" s="2137"/>
      <c r="O37" s="2138"/>
      <c r="P37" s="3522"/>
      <c r="Q37" s="1151" t="str">
        <f t="shared" si="11"/>
        <v>市政基础设施</v>
      </c>
      <c r="R37" s="1568" t="s">
        <v>8</v>
      </c>
      <c r="S37" s="1569">
        <f t="shared" si="12"/>
        <v>100</v>
      </c>
      <c r="T37" s="1568" t="s">
        <v>8</v>
      </c>
      <c r="U37" s="1569">
        <f t="shared" si="13"/>
        <v>100</v>
      </c>
      <c r="V37" s="1568" t="s">
        <v>8</v>
      </c>
      <c r="W37" s="1569">
        <f t="shared" si="14"/>
        <v>100</v>
      </c>
      <c r="X37" s="1570"/>
      <c r="Y37" s="3522"/>
      <c r="Z37" s="1150" t="str">
        <f t="shared" si="15"/>
        <v>市政基础设施</v>
      </c>
      <c r="AA37" s="1571">
        <f t="shared" si="3"/>
        <v>1</v>
      </c>
      <c r="AB37" s="1571">
        <f t="shared" si="4"/>
        <v>1</v>
      </c>
      <c r="AC37" s="1571">
        <f t="shared" si="5"/>
        <v>1</v>
      </c>
    </row>
    <row r="38" spans="1:29" ht="15">
      <c r="A38" s="596"/>
      <c r="B38" s="530" t="s">
        <v>765</v>
      </c>
      <c r="C38" s="601"/>
      <c r="D38" s="543">
        <v>100</v>
      </c>
      <c r="E38" s="601"/>
      <c r="F38" s="577">
        <f>SUMIF(114:114,E38,115:115)-SUMIF(114:114,C38,115:115)+100</f>
        <v>100</v>
      </c>
      <c r="G38" s="601"/>
      <c r="H38" s="543">
        <f>SUMIF(114:114,G38,115:115)-SUMIF(114:114,C38,115:115)+100</f>
        <v>100</v>
      </c>
      <c r="I38" s="601"/>
      <c r="J38" s="543">
        <f>SUMIF(114:114,I38,115:115)-SUMIF(114:114,C38,115:115)+100</f>
        <v>100</v>
      </c>
      <c r="K38" s="586"/>
      <c r="L38" s="2143"/>
      <c r="M38" s="2135"/>
      <c r="N38" s="2135"/>
      <c r="O38" s="2142"/>
      <c r="P38" s="3522" t="s">
        <v>766</v>
      </c>
      <c r="Q38" s="1572" t="str">
        <f t="shared" si="11"/>
        <v>业态</v>
      </c>
      <c r="R38" s="1573" t="s">
        <v>8</v>
      </c>
      <c r="S38" s="1574">
        <f t="shared" si="12"/>
        <v>100</v>
      </c>
      <c r="T38" s="1573" t="s">
        <v>8</v>
      </c>
      <c r="U38" s="1574">
        <f t="shared" si="13"/>
        <v>100</v>
      </c>
      <c r="V38" s="1573" t="s">
        <v>8</v>
      </c>
      <c r="W38" s="1574">
        <f t="shared" si="14"/>
        <v>100</v>
      </c>
      <c r="X38" s="1567"/>
      <c r="Y38" s="3522" t="s">
        <v>766</v>
      </c>
      <c r="Z38" s="1575" t="str">
        <f t="shared" si="15"/>
        <v>业态</v>
      </c>
      <c r="AA38" s="1576">
        <f t="shared" si="3"/>
        <v>1</v>
      </c>
      <c r="AB38" s="1576">
        <f t="shared" si="4"/>
        <v>1</v>
      </c>
      <c r="AC38" s="1576">
        <f t="shared" si="5"/>
        <v>1</v>
      </c>
    </row>
    <row r="39" spans="1:29" ht="15">
      <c r="A39" s="596"/>
      <c r="B39" s="530" t="s">
        <v>767</v>
      </c>
      <c r="C39" s="601"/>
      <c r="D39" s="543">
        <v>100</v>
      </c>
      <c r="E39" s="601"/>
      <c r="F39" s="577">
        <f>SUMIF(116:116,E39,117:117)-SUMIF(116:116,C39,117:117)+100</f>
        <v>100</v>
      </c>
      <c r="G39" s="601"/>
      <c r="H39" s="543">
        <f>SUMIF(116:116,G39,117:117)-SUMIF(116:116,C39,117:117)+100</f>
        <v>100</v>
      </c>
      <c r="I39" s="601"/>
      <c r="J39" s="543">
        <f>SUMIF(116:116,I39,117:117)-SUMIF(116:116,C39,117:117)+100</f>
        <v>100</v>
      </c>
      <c r="K39" s="586"/>
      <c r="L39" s="2143"/>
      <c r="M39" s="2135"/>
      <c r="N39" s="2135"/>
      <c r="O39" s="2142"/>
      <c r="P39" s="3522"/>
      <c r="Q39" s="1572" t="str">
        <f t="shared" si="11"/>
        <v>层高</v>
      </c>
      <c r="R39" s="1573" t="s">
        <v>8</v>
      </c>
      <c r="S39" s="1574">
        <f t="shared" si="12"/>
        <v>100</v>
      </c>
      <c r="T39" s="1573" t="s">
        <v>8</v>
      </c>
      <c r="U39" s="1574">
        <f t="shared" si="13"/>
        <v>100</v>
      </c>
      <c r="V39" s="1573" t="s">
        <v>8</v>
      </c>
      <c r="W39" s="1574">
        <f t="shared" si="14"/>
        <v>100</v>
      </c>
      <c r="X39" s="1567"/>
      <c r="Y39" s="3522"/>
      <c r="Z39" s="1575" t="str">
        <f t="shared" si="15"/>
        <v>层高</v>
      </c>
      <c r="AA39" s="1576">
        <f t="shared" si="3"/>
        <v>1</v>
      </c>
      <c r="AB39" s="1576">
        <f t="shared" si="4"/>
        <v>1</v>
      </c>
      <c r="AC39" s="1576">
        <f t="shared" si="5"/>
        <v>1</v>
      </c>
    </row>
    <row r="40" spans="1:29" ht="15">
      <c r="A40" s="596"/>
      <c r="B40" s="530" t="s">
        <v>768</v>
      </c>
      <c r="C40" s="903"/>
      <c r="D40" s="543">
        <v>100</v>
      </c>
      <c r="E40" s="904"/>
      <c r="F40" s="577">
        <f>SUMIF(118:118,E40,119:119)-SUMIF(118:118,C40,119:119)+100</f>
        <v>100</v>
      </c>
      <c r="G40" s="904"/>
      <c r="H40" s="543">
        <f>SUMIF(118:118,G40,119:119)-SUMIF(118:118,C40,119:119)+100</f>
        <v>100</v>
      </c>
      <c r="I40" s="904"/>
      <c r="J40" s="543">
        <f>SUMIF(118:118,I40,119:119)-SUMIF(118:118,C40,119:119)+100</f>
        <v>100</v>
      </c>
      <c r="K40" s="583"/>
      <c r="L40" s="2143"/>
      <c r="M40" s="2135"/>
      <c r="N40" s="2135"/>
      <c r="O40" s="2142"/>
      <c r="P40" s="3522"/>
      <c r="Q40" s="1572" t="str">
        <f t="shared" si="11"/>
        <v>单套建筑面积</v>
      </c>
      <c r="R40" s="1573" t="s">
        <v>8</v>
      </c>
      <c r="S40" s="1574">
        <f t="shared" si="12"/>
        <v>100</v>
      </c>
      <c r="T40" s="1573" t="s">
        <v>8</v>
      </c>
      <c r="U40" s="1574">
        <f t="shared" si="13"/>
        <v>100</v>
      </c>
      <c r="V40" s="1573" t="s">
        <v>8</v>
      </c>
      <c r="W40" s="1574">
        <f t="shared" si="14"/>
        <v>100</v>
      </c>
      <c r="X40" s="1567"/>
      <c r="Y40" s="3522"/>
      <c r="Z40" s="1575" t="str">
        <f t="shared" si="15"/>
        <v>单套建筑面积</v>
      </c>
      <c r="AA40" s="1576">
        <f t="shared" si="3"/>
        <v>1</v>
      </c>
      <c r="AB40" s="1576">
        <f t="shared" si="4"/>
        <v>1</v>
      </c>
      <c r="AC40" s="1576">
        <f t="shared" si="5"/>
        <v>1</v>
      </c>
    </row>
    <row r="41" spans="1:29" s="1339" customFormat="1" ht="15">
      <c r="A41" s="605"/>
      <c r="B41" s="905" t="s">
        <v>769</v>
      </c>
      <c r="C41" s="585"/>
      <c r="D41" s="543">
        <v>100</v>
      </c>
      <c r="E41" s="585"/>
      <c r="F41" s="577">
        <f>SUMIF(120:120,E41,121:121)-SUMIF(120:120,C41,121:121)+100</f>
        <v>100</v>
      </c>
      <c r="G41" s="585"/>
      <c r="H41" s="543">
        <f>SUMIF(120:120,G41,121:121)-SUMIF(120:120,C41,121:121)+100</f>
        <v>100</v>
      </c>
      <c r="I41" s="585"/>
      <c r="J41" s="543">
        <f>SUMIF(120:120,I41,121:121)-SUMIF(120:120,C41,121:121)+100</f>
        <v>100</v>
      </c>
      <c r="K41" s="586"/>
      <c r="L41" s="2141"/>
      <c r="M41" s="2172"/>
      <c r="N41" s="2172"/>
      <c r="O41" s="2144"/>
      <c r="P41" s="3522"/>
      <c r="Q41" s="1605" t="str">
        <f t="shared" si="11"/>
        <v>进深比</v>
      </c>
      <c r="R41" s="1577" t="s">
        <v>8</v>
      </c>
      <c r="S41" s="1578">
        <f t="shared" si="12"/>
        <v>100</v>
      </c>
      <c r="T41" s="1577" t="s">
        <v>8</v>
      </c>
      <c r="U41" s="1578">
        <f t="shared" si="13"/>
        <v>100</v>
      </c>
      <c r="V41" s="1577" t="s">
        <v>8</v>
      </c>
      <c r="W41" s="1578">
        <f t="shared" si="14"/>
        <v>100</v>
      </c>
      <c r="X41" s="1579"/>
      <c r="Y41" s="3522"/>
      <c r="Z41" s="1580" t="str">
        <f t="shared" si="15"/>
        <v>进深比</v>
      </c>
      <c r="AA41" s="1576">
        <f t="shared" si="3"/>
        <v>1</v>
      </c>
      <c r="AB41" s="1576">
        <f t="shared" si="4"/>
        <v>1</v>
      </c>
      <c r="AC41" s="1576">
        <f t="shared" si="5"/>
        <v>1</v>
      </c>
    </row>
    <row r="42" spans="1:29" ht="15">
      <c r="A42" s="596"/>
      <c r="B42" s="530" t="s">
        <v>770</v>
      </c>
      <c r="C42" s="601"/>
      <c r="D42" s="543">
        <v>100</v>
      </c>
      <c r="E42" s="601"/>
      <c r="F42" s="577">
        <f>SUMIF(122:122,E42,123:123)-SUMIF(122:122,C42,123:123)+100</f>
        <v>100</v>
      </c>
      <c r="G42" s="601"/>
      <c r="H42" s="543">
        <f>SUMIF(122:122,G42,123:123)-SUMIF(122:122,C42,123:123)+100</f>
        <v>100</v>
      </c>
      <c r="I42" s="601"/>
      <c r="J42" s="543">
        <f>SUMIF(122:122,I42,123:123)-SUMIF(122:122,C42,123:123)+100</f>
        <v>100</v>
      </c>
      <c r="K42" s="586"/>
      <c r="L42" s="2143"/>
      <c r="M42" s="2135"/>
      <c r="N42" s="2135"/>
      <c r="O42" s="2142"/>
      <c r="P42" s="3522"/>
      <c r="Q42" s="1572" t="str">
        <f t="shared" si="11"/>
        <v>内部装修</v>
      </c>
      <c r="R42" s="1573" t="s">
        <v>8</v>
      </c>
      <c r="S42" s="1574">
        <f t="shared" si="12"/>
        <v>100</v>
      </c>
      <c r="T42" s="1573" t="s">
        <v>8</v>
      </c>
      <c r="U42" s="1574">
        <f t="shared" si="13"/>
        <v>100</v>
      </c>
      <c r="V42" s="1573" t="s">
        <v>8</v>
      </c>
      <c r="W42" s="1574">
        <f t="shared" si="14"/>
        <v>100</v>
      </c>
      <c r="X42" s="1567"/>
      <c r="Y42" s="3522"/>
      <c r="Z42" s="1575" t="str">
        <f t="shared" si="15"/>
        <v>内部装修</v>
      </c>
      <c r="AA42" s="1576">
        <f t="shared" si="3"/>
        <v>1</v>
      </c>
      <c r="AB42" s="1576">
        <f t="shared" si="4"/>
        <v>1</v>
      </c>
      <c r="AC42" s="1576">
        <f t="shared" si="5"/>
        <v>1</v>
      </c>
    </row>
    <row r="43" spans="1:29" ht="27">
      <c r="A43" s="596"/>
      <c r="B43" s="530" t="s">
        <v>735</v>
      </c>
      <c r="C43" s="601"/>
      <c r="D43" s="543">
        <v>100</v>
      </c>
      <c r="E43" s="601"/>
      <c r="F43" s="577">
        <f>SUMIF(124:124,E43,125:125)-SUMIF(124:124,C43,125:125)+100</f>
        <v>100</v>
      </c>
      <c r="G43" s="601"/>
      <c r="H43" s="543">
        <f>SUMIF(124:124,G43,125:125)-SUMIF(124:124,C43,125:125)+100</f>
        <v>100</v>
      </c>
      <c r="I43" s="601"/>
      <c r="J43" s="543">
        <f>SUMIF(124:124,I43,125:125)-SUMIF(124:124,C43,125:125)+100</f>
        <v>100</v>
      </c>
      <c r="K43" s="586"/>
      <c r="L43" s="2143"/>
      <c r="M43" s="2135"/>
      <c r="N43" s="2135"/>
      <c r="O43" s="2142"/>
      <c r="P43" s="3522"/>
      <c r="Q43" s="1572" t="str">
        <f t="shared" si="11"/>
        <v>内部装修维护情况</v>
      </c>
      <c r="R43" s="1573" t="s">
        <v>8</v>
      </c>
      <c r="S43" s="1574">
        <f t="shared" si="12"/>
        <v>100</v>
      </c>
      <c r="T43" s="1573" t="s">
        <v>8</v>
      </c>
      <c r="U43" s="1574">
        <f t="shared" si="13"/>
        <v>100</v>
      </c>
      <c r="V43" s="1573" t="s">
        <v>8</v>
      </c>
      <c r="W43" s="1574">
        <f t="shared" si="14"/>
        <v>100</v>
      </c>
      <c r="X43" s="1567"/>
      <c r="Y43" s="3522"/>
      <c r="Z43" s="1575" t="str">
        <f t="shared" si="15"/>
        <v>内部装修维护情况</v>
      </c>
      <c r="AA43" s="1576">
        <f t="shared" si="3"/>
        <v>1</v>
      </c>
      <c r="AB43" s="1576">
        <f t="shared" si="4"/>
        <v>1</v>
      </c>
      <c r="AC43" s="1576">
        <f t="shared" si="5"/>
        <v>1</v>
      </c>
    </row>
    <row r="44" spans="1:29" s="1220" customFormat="1" ht="15">
      <c r="A44" s="602"/>
      <c r="B44" s="879">
        <v>111</v>
      </c>
      <c r="C44" s="881"/>
      <c r="D44" s="255">
        <v>100</v>
      </c>
      <c r="E44" s="542"/>
      <c r="F44" s="865">
        <f>SUMIF(126:126,E44,127:127)-SUMIF(126:126,C44,127:127)+100</f>
        <v>100</v>
      </c>
      <c r="G44" s="542"/>
      <c r="H44" s="255">
        <f>SUMIF(126:126,G44,127:127)-SUMIF(126:126,C44,127:127)+100</f>
        <v>100</v>
      </c>
      <c r="I44" s="542"/>
      <c r="J44" s="255">
        <f>SUMIF(126:126,I44,127:127)-SUMIF(126:126,C44,127:127)+100</f>
        <v>100</v>
      </c>
      <c r="K44" s="583"/>
      <c r="L44" s="2136"/>
      <c r="M44" s="2137"/>
      <c r="N44" s="2137"/>
      <c r="O44" s="2138"/>
      <c r="P44" s="3522"/>
      <c r="Q44" s="1151">
        <f t="shared" si="11"/>
        <v>111</v>
      </c>
      <c r="R44" s="1568" t="s">
        <v>8</v>
      </c>
      <c r="S44" s="1569">
        <f t="shared" si="12"/>
        <v>100</v>
      </c>
      <c r="T44" s="1568" t="s">
        <v>8</v>
      </c>
      <c r="U44" s="1569">
        <f t="shared" si="13"/>
        <v>100</v>
      </c>
      <c r="V44" s="1568" t="s">
        <v>8</v>
      </c>
      <c r="W44" s="1569">
        <f t="shared" si="14"/>
        <v>100</v>
      </c>
      <c r="X44" s="1570"/>
      <c r="Y44" s="3522"/>
      <c r="Z44" s="1150">
        <f t="shared" si="15"/>
        <v>111</v>
      </c>
      <c r="AA44" s="1571">
        <f t="shared" si="3"/>
        <v>1</v>
      </c>
      <c r="AB44" s="1571">
        <f t="shared" si="4"/>
        <v>1</v>
      </c>
      <c r="AC44" s="1571">
        <f t="shared" si="5"/>
        <v>1</v>
      </c>
    </row>
    <row r="45" spans="1:29" ht="15">
      <c r="A45" s="596"/>
      <c r="B45" s="879">
        <v>111</v>
      </c>
      <c r="C45" s="542"/>
      <c r="D45" s="543">
        <v>100</v>
      </c>
      <c r="E45" s="542"/>
      <c r="F45" s="577">
        <f>SUMIF(128:128,E45,129:129)-SUMIF(128:128,C45,129:129)+100</f>
        <v>100</v>
      </c>
      <c r="G45" s="542"/>
      <c r="H45" s="543">
        <f>SUMIF(128:128,G45,129:129)-SUMIF(128:128,C45,129:129)+100</f>
        <v>100</v>
      </c>
      <c r="I45" s="542"/>
      <c r="J45" s="543">
        <f>SUMIF(128:128,I45,129:129)-SUMIF(128:128,C45,129:129)+100</f>
        <v>100</v>
      </c>
      <c r="K45" s="583"/>
      <c r="L45" s="2143"/>
      <c r="M45" s="2135"/>
      <c r="N45" s="2135"/>
      <c r="O45" s="2142"/>
      <c r="P45" s="3522"/>
      <c r="Q45" s="1572">
        <f t="shared" si="11"/>
        <v>111</v>
      </c>
      <c r="R45" s="1573" t="s">
        <v>8</v>
      </c>
      <c r="S45" s="1574">
        <f t="shared" si="12"/>
        <v>100</v>
      </c>
      <c r="T45" s="1573" t="s">
        <v>8</v>
      </c>
      <c r="U45" s="1574">
        <f t="shared" si="13"/>
        <v>100</v>
      </c>
      <c r="V45" s="1573" t="s">
        <v>8</v>
      </c>
      <c r="W45" s="1574">
        <f t="shared" si="14"/>
        <v>100</v>
      </c>
      <c r="X45" s="1567"/>
      <c r="Y45" s="3522"/>
      <c r="Z45" s="1575">
        <f t="shared" si="15"/>
        <v>111</v>
      </c>
      <c r="AA45" s="1576">
        <f t="shared" si="3"/>
        <v>1</v>
      </c>
      <c r="AB45" s="1576">
        <f t="shared" si="4"/>
        <v>1</v>
      </c>
      <c r="AC45" s="1576">
        <f t="shared" si="5"/>
        <v>1</v>
      </c>
    </row>
    <row r="46" spans="1:29" ht="15.75" thickBot="1">
      <c r="A46" s="887"/>
      <c r="B46" s="547">
        <v>111</v>
      </c>
      <c r="C46" s="548"/>
      <c r="D46" s="549">
        <v>100</v>
      </c>
      <c r="E46" s="542"/>
      <c r="F46" s="868">
        <f>SUMIF(130:130,E46,131:131)-SUMIF(130:130,C46,131:131)+100</f>
        <v>100</v>
      </c>
      <c r="G46" s="542"/>
      <c r="H46" s="549">
        <f>SUMIF(130:130,G46,131:131)-SUMIF(130:130,C46,131:131)+100</f>
        <v>100</v>
      </c>
      <c r="I46" s="542"/>
      <c r="J46" s="549">
        <f>SUMIF(130:130,I46,131:131)-SUMIF(130:130,C46,131:131)+100</f>
        <v>100</v>
      </c>
      <c r="K46" s="583"/>
      <c r="L46" s="2143"/>
      <c r="M46" s="2135"/>
      <c r="N46" s="2135"/>
      <c r="O46" s="2142"/>
      <c r="P46" s="3620"/>
      <c r="Q46" s="1572">
        <f t="shared" si="11"/>
        <v>111</v>
      </c>
      <c r="R46" s="1573" t="s">
        <v>8</v>
      </c>
      <c r="S46" s="1574">
        <f t="shared" si="12"/>
        <v>100</v>
      </c>
      <c r="T46" s="1573" t="s">
        <v>8</v>
      </c>
      <c r="U46" s="1574">
        <f t="shared" si="13"/>
        <v>100</v>
      </c>
      <c r="V46" s="1573" t="s">
        <v>8</v>
      </c>
      <c r="W46" s="1574">
        <f t="shared" si="14"/>
        <v>100</v>
      </c>
      <c r="X46" s="1567"/>
      <c r="Y46" s="3620"/>
      <c r="Z46" s="1575">
        <f t="shared" si="15"/>
        <v>111</v>
      </c>
      <c r="AA46" s="1576">
        <f t="shared" si="3"/>
        <v>1</v>
      </c>
      <c r="AB46" s="1576">
        <f t="shared" si="4"/>
        <v>1</v>
      </c>
      <c r="AC46" s="1576">
        <f t="shared" si="5"/>
        <v>1</v>
      </c>
    </row>
    <row r="47" spans="1:29" ht="15">
      <c r="A47" s="609" t="s">
        <v>736</v>
      </c>
      <c r="B47" s="888"/>
      <c r="C47" s="2652" t="s">
        <v>1</v>
      </c>
      <c r="D47" s="2653"/>
      <c r="E47" s="2654"/>
      <c r="F47" s="2655"/>
      <c r="G47" s="2656"/>
      <c r="H47" s="2657"/>
      <c r="I47" s="2654"/>
      <c r="J47" s="2657"/>
      <c r="K47" s="1611"/>
      <c r="L47" s="2145"/>
      <c r="M47" s="2146"/>
      <c r="N47" s="2135"/>
      <c r="O47" s="2146"/>
      <c r="P47" s="3517" t="str">
        <f>A47</f>
        <v>成交单价（元/平方米）</v>
      </c>
      <c r="Q47" s="3517"/>
      <c r="R47" s="3621">
        <f>E47</f>
        <v>0</v>
      </c>
      <c r="S47" s="3621"/>
      <c r="T47" s="3621">
        <f>G47</f>
        <v>0</v>
      </c>
      <c r="U47" s="3621"/>
      <c r="V47" s="3621">
        <f>I47</f>
        <v>0</v>
      </c>
      <c r="W47" s="3621"/>
      <c r="X47" s="1559"/>
      <c r="Y47" s="1581"/>
      <c r="Z47" s="1559"/>
      <c r="AA47" s="1559"/>
      <c r="AB47" s="1559"/>
      <c r="AC47" s="1559"/>
    </row>
    <row r="48" spans="1:29" ht="15.75" thickBot="1">
      <c r="A48" s="617" t="s">
        <v>2763</v>
      </c>
      <c r="B48" s="889"/>
      <c r="C48" s="2658" t="e">
        <f>R49</f>
        <v>#DIV/0!</v>
      </c>
      <c r="D48" s="2659"/>
      <c r="E48" s="2660" t="e">
        <f>R48</f>
        <v>#DIV/0!</v>
      </c>
      <c r="F48" s="2660"/>
      <c r="G48" s="2658" t="e">
        <f>T48</f>
        <v>#DIV/0!</v>
      </c>
      <c r="H48" s="2659"/>
      <c r="I48" s="2660" t="e">
        <f>V48</f>
        <v>#DIV/0!</v>
      </c>
      <c r="J48" s="2659"/>
      <c r="K48" s="1612"/>
      <c r="L48" s="2145"/>
      <c r="M48" s="2146"/>
      <c r="N48" s="2135"/>
      <c r="O48" s="2146"/>
      <c r="P48" s="3517" t="str">
        <f>A48</f>
        <v>比较价格（元/平方米）</v>
      </c>
      <c r="Q48" s="3517"/>
      <c r="R48" s="3621" t="e">
        <f>IF(F1="售价",ROUND(PRODUCT(R47,AA7:AA46),0),ROUND(PRODUCT(R47,AA7:AA46),1))</f>
        <v>#DIV/0!</v>
      </c>
      <c r="S48" s="3621"/>
      <c r="T48" s="3621" t="e">
        <f>IF(F1="售价",ROUND(PRODUCT(T47,AB7:AB46),0),ROUND(PRODUCT(T47,AB7:AB46),1))</f>
        <v>#DIV/0!</v>
      </c>
      <c r="U48" s="3621"/>
      <c r="V48" s="3621" t="e">
        <f>IF(F1="售价",ROUND(PRODUCT(V47,AC7:AC46),0),ROUND(PRODUCT(V47,AC7:AC46),1))</f>
        <v>#DIV/0!</v>
      </c>
      <c r="W48" s="3621"/>
      <c r="X48" s="1559"/>
      <c r="Y48" s="1559"/>
      <c r="Z48" s="1559"/>
      <c r="AA48" s="1559"/>
      <c r="AB48" s="1559"/>
      <c r="AC48" s="1559"/>
    </row>
    <row r="49" spans="1:29" ht="15.75" thickBot="1">
      <c r="A49" s="623" t="s">
        <v>2930</v>
      </c>
      <c r="B49" s="624"/>
      <c r="C49" s="2661" t="e">
        <f>R49</f>
        <v>#DIV/0!</v>
      </c>
      <c r="D49" s="2661"/>
      <c r="E49" s="2661"/>
      <c r="F49" s="2661"/>
      <c r="G49" s="2661"/>
      <c r="H49" s="2661"/>
      <c r="I49" s="2661"/>
      <c r="J49" s="2661"/>
      <c r="K49" s="1613"/>
      <c r="L49" s="2145"/>
      <c r="M49" s="2146"/>
      <c r="N49" s="2135"/>
      <c r="O49" s="2146"/>
      <c r="P49" s="3539" t="str">
        <f>A49</f>
        <v>估价对象XX用房的比较价格（楼面单价，元/平方米）</v>
      </c>
      <c r="Q49" s="3540"/>
      <c r="R49" s="3622" t="e">
        <f>IF(F1="售价",ROUND(AVERAGE(R48:V48),0),ROUND(AVERAGE(R48:V48),1))</f>
        <v>#DIV/0!</v>
      </c>
      <c r="S49" s="3622"/>
      <c r="T49" s="3622"/>
      <c r="U49" s="3622"/>
      <c r="V49" s="3622"/>
      <c r="W49" s="362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7" t="s">
        <v>530</v>
      </c>
      <c r="B58" s="648"/>
      <c r="C58" s="2829" t="str">
        <f>YEAR(C7)&amp;"-"&amp;MONTH(C7)</f>
        <v>2017-11</v>
      </c>
      <c r="D58" s="2831">
        <f>EDATE(C58,-1)</f>
        <v>43009</v>
      </c>
      <c r="E58" s="2831">
        <f t="shared" ref="E58:O58" si="16">EDATE(D58,-1)</f>
        <v>42979</v>
      </c>
      <c r="F58" s="2831">
        <f t="shared" si="16"/>
        <v>42948</v>
      </c>
      <c r="G58" s="2831">
        <f t="shared" si="16"/>
        <v>42917</v>
      </c>
      <c r="H58" s="2831">
        <f t="shared" si="16"/>
        <v>42887</v>
      </c>
      <c r="I58" s="2831">
        <f t="shared" si="16"/>
        <v>42856</v>
      </c>
      <c r="J58" s="2831">
        <f t="shared" si="16"/>
        <v>42826</v>
      </c>
      <c r="K58" s="2831">
        <f t="shared" si="16"/>
        <v>42795</v>
      </c>
      <c r="L58" s="2831">
        <f t="shared" si="16"/>
        <v>42767</v>
      </c>
      <c r="M58" s="2831">
        <f t="shared" si="16"/>
        <v>42736</v>
      </c>
      <c r="N58" s="2831">
        <f t="shared" si="16"/>
        <v>42705</v>
      </c>
      <c r="O58" s="2831">
        <f t="shared" si="16"/>
        <v>42675</v>
      </c>
      <c r="P58" s="2161"/>
      <c r="Q58" s="2162"/>
      <c r="R58" s="2162"/>
      <c r="S58" s="2162"/>
      <c r="T58" s="2162"/>
      <c r="U58" s="2162"/>
      <c r="V58" s="2162"/>
      <c r="W58" s="2162"/>
      <c r="X58" s="2162"/>
      <c r="Y58" s="2162"/>
      <c r="Z58" s="2162"/>
      <c r="AA58" s="2162"/>
      <c r="AB58" s="2162"/>
      <c r="AC58" s="2162"/>
    </row>
    <row r="59" spans="1:29" s="1220" customFormat="1" ht="15">
      <c r="A59" s="649"/>
      <c r="B59" s="650"/>
      <c r="C59" s="651">
        <v>100</v>
      </c>
      <c r="D59" s="652"/>
      <c r="E59" s="652"/>
      <c r="F59" s="652"/>
      <c r="G59" s="652"/>
      <c r="H59" s="652"/>
      <c r="I59" s="652"/>
      <c r="J59" s="652"/>
      <c r="K59" s="652"/>
      <c r="L59" s="652"/>
      <c r="M59" s="653"/>
      <c r="N59" s="652"/>
      <c r="O59" s="654"/>
      <c r="P59" s="2159"/>
      <c r="Q59" s="1994"/>
      <c r="R59" s="1994"/>
      <c r="S59" s="1994"/>
      <c r="T59" s="1994"/>
      <c r="U59" s="1994"/>
      <c r="V59" s="1994"/>
      <c r="W59" s="1994"/>
      <c r="X59" s="1994"/>
      <c r="Y59" s="1994"/>
      <c r="Z59" s="1994"/>
      <c r="AA59" s="1994"/>
      <c r="AB59" s="1994"/>
      <c r="AC59" s="1994"/>
    </row>
    <row r="60" spans="1:29" s="1220" customFormat="1" ht="15.75" thickBot="1">
      <c r="A60" s="655" t="s">
        <v>576</v>
      </c>
      <c r="B60" s="656"/>
      <c r="C60" s="657"/>
      <c r="D60" s="658"/>
      <c r="E60" s="658"/>
      <c r="F60" s="658"/>
      <c r="G60" s="658"/>
      <c r="H60" s="658"/>
      <c r="I60" s="658"/>
      <c r="J60" s="658"/>
      <c r="K60" s="658"/>
      <c r="L60" s="658"/>
      <c r="M60" s="659"/>
      <c r="N60" s="658"/>
      <c r="O60" s="660"/>
      <c r="P60" s="2159"/>
      <c r="Q60" s="2159"/>
      <c r="R60" s="1994"/>
      <c r="S60" s="1994"/>
      <c r="T60" s="1994"/>
      <c r="U60" s="1994"/>
      <c r="V60" s="1994"/>
      <c r="W60" s="1994"/>
      <c r="X60" s="1994"/>
      <c r="Y60" s="1994"/>
      <c r="Z60" s="1994"/>
      <c r="AA60" s="1994"/>
      <c r="AB60" s="1994"/>
      <c r="AC60" s="1994"/>
    </row>
    <row r="61" spans="1:29" s="1220" customFormat="1" ht="15">
      <c r="A61" s="661" t="s">
        <v>532</v>
      </c>
      <c r="B61" s="650"/>
      <c r="C61" s="662" t="s">
        <v>577</v>
      </c>
      <c r="D61" s="663"/>
      <c r="E61" s="663"/>
      <c r="F61" s="663"/>
      <c r="G61" s="663"/>
      <c r="H61" s="663"/>
      <c r="I61" s="663"/>
      <c r="J61" s="663"/>
      <c r="K61" s="663"/>
      <c r="L61" s="664"/>
      <c r="M61" s="665"/>
      <c r="N61" s="2163"/>
      <c r="O61" s="2163"/>
      <c r="P61" s="2164"/>
      <c r="Q61" s="2159"/>
      <c r="R61" s="1994"/>
      <c r="S61" s="1994"/>
      <c r="T61" s="1994"/>
      <c r="U61" s="1994"/>
      <c r="V61" s="1994"/>
      <c r="W61" s="1994"/>
      <c r="X61" s="1994"/>
      <c r="Y61" s="1994"/>
      <c r="Z61" s="1994"/>
      <c r="AA61" s="1994"/>
      <c r="AB61" s="1994"/>
      <c r="AC61" s="1994"/>
    </row>
    <row r="62" spans="1:29" s="1220" customFormat="1" ht="15.75" thickBot="1">
      <c r="A62" s="661"/>
      <c r="B62" s="650"/>
      <c r="C62" s="890">
        <v>100</v>
      </c>
      <c r="D62" s="652"/>
      <c r="E62" s="652"/>
      <c r="F62" s="652"/>
      <c r="G62" s="652"/>
      <c r="H62" s="652"/>
      <c r="I62" s="652"/>
      <c r="J62" s="652"/>
      <c r="K62" s="652"/>
      <c r="L62" s="652"/>
      <c r="M62" s="654"/>
      <c r="N62" s="2163"/>
      <c r="O62" s="2163"/>
      <c r="P62" s="2159"/>
      <c r="Q62" s="2159"/>
      <c r="R62" s="1994"/>
      <c r="S62" s="1994"/>
      <c r="T62" s="1994"/>
      <c r="U62" s="1994"/>
      <c r="V62" s="1994"/>
      <c r="W62" s="1994"/>
      <c r="X62" s="1994"/>
      <c r="Y62" s="1994"/>
      <c r="Z62" s="1994"/>
      <c r="AA62" s="1994"/>
      <c r="AB62" s="1994"/>
      <c r="AC62" s="1205"/>
    </row>
    <row r="63" spans="1:29">
      <c r="A63" s="666" t="s">
        <v>578</v>
      </c>
      <c r="B63" s="667" t="s">
        <v>535</v>
      </c>
      <c r="C63" s="706">
        <f>C9</f>
        <v>0</v>
      </c>
      <c r="D63" s="600"/>
      <c r="E63" s="600"/>
      <c r="F63" s="600"/>
      <c r="G63" s="600"/>
      <c r="H63" s="600"/>
      <c r="I63" s="600"/>
      <c r="J63" s="600"/>
      <c r="K63" s="668"/>
      <c r="L63" s="669"/>
      <c r="M63" s="670"/>
      <c r="N63" s="2165"/>
      <c r="O63" s="2165"/>
      <c r="P63" s="2166"/>
      <c r="Q63" s="2159"/>
      <c r="R63" s="2146"/>
      <c r="S63" s="2146"/>
      <c r="T63" s="2146"/>
      <c r="U63" s="2146"/>
      <c r="V63" s="2146"/>
      <c r="W63" s="2146"/>
      <c r="X63" s="2146"/>
      <c r="Y63" s="2146"/>
      <c r="Z63" s="2146"/>
      <c r="AA63" s="2146"/>
      <c r="AB63" s="2146"/>
      <c r="AC63" s="2146"/>
    </row>
    <row r="64" spans="1:29" ht="15.75" thickBot="1">
      <c r="A64" s="671"/>
      <c r="B64" s="672"/>
      <c r="C64" s="673"/>
      <c r="D64" s="673"/>
      <c r="E64" s="673"/>
      <c r="F64" s="673"/>
      <c r="G64" s="673"/>
      <c r="H64" s="673"/>
      <c r="I64" s="673"/>
      <c r="J64" s="673"/>
      <c r="K64" s="673"/>
      <c r="L64" s="673"/>
      <c r="M64" s="674"/>
      <c r="N64" s="2167"/>
      <c r="O64" s="2167"/>
      <c r="P64" s="2166"/>
      <c r="Q64" s="2159"/>
      <c r="R64" s="2146"/>
      <c r="S64" s="2146"/>
      <c r="T64" s="2146"/>
      <c r="U64" s="2146"/>
      <c r="V64" s="2146"/>
      <c r="W64" s="2146"/>
      <c r="X64" s="2146"/>
      <c r="Y64" s="2146"/>
      <c r="Z64" s="2146"/>
      <c r="AA64" s="2146"/>
      <c r="AB64" s="2146"/>
      <c r="AC64" s="2146"/>
    </row>
    <row r="65" spans="1:29" ht="27.75" thickTop="1">
      <c r="A65" s="671"/>
      <c r="B65" s="675" t="s">
        <v>538</v>
      </c>
      <c r="C65" s="676" t="s">
        <v>737</v>
      </c>
      <c r="D65" s="676" t="s">
        <v>738</v>
      </c>
      <c r="E65" s="676" t="s">
        <v>739</v>
      </c>
      <c r="F65" s="676" t="s">
        <v>740</v>
      </c>
      <c r="G65" s="676" t="s">
        <v>741</v>
      </c>
      <c r="H65" s="676" t="s">
        <v>742</v>
      </c>
      <c r="I65" s="676" t="s">
        <v>743</v>
      </c>
      <c r="J65" s="676"/>
      <c r="K65" s="677"/>
      <c r="L65" s="678"/>
      <c r="M65" s="679"/>
      <c r="N65" s="2165"/>
      <c r="O65" s="2165"/>
      <c r="P65" s="2166"/>
      <c r="Q65" s="2159"/>
      <c r="R65" s="2146"/>
      <c r="S65" s="2146"/>
      <c r="T65" s="2146"/>
      <c r="U65" s="2146"/>
      <c r="V65" s="2146"/>
      <c r="W65" s="2146"/>
      <c r="X65" s="2146"/>
      <c r="Y65" s="2146"/>
      <c r="Z65" s="2146"/>
      <c r="AA65" s="2146"/>
      <c r="AB65" s="2146"/>
      <c r="AC65" s="2146"/>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67"/>
      <c r="O66" s="2167"/>
      <c r="P66" s="2166"/>
      <c r="Q66" s="2159"/>
      <c r="R66" s="2146"/>
      <c r="S66" s="2146"/>
      <c r="T66" s="2146"/>
      <c r="U66" s="2146"/>
      <c r="V66" s="2146"/>
      <c r="W66" s="2146"/>
      <c r="X66" s="2146"/>
      <c r="Y66" s="2146"/>
      <c r="Z66" s="2146"/>
      <c r="AA66" s="2146"/>
      <c r="AB66" s="2146"/>
      <c r="AC66" s="2146"/>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8"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1"/>
      <c r="B68" s="685"/>
      <c r="C68" s="544"/>
      <c r="D68" s="544"/>
      <c r="E68" s="544"/>
      <c r="F68" s="544"/>
      <c r="G68" s="544"/>
      <c r="H68" s="544"/>
      <c r="I68" s="544"/>
      <c r="J68" s="544"/>
      <c r="K68" s="686"/>
      <c r="L68" s="687"/>
      <c r="M68" s="688"/>
      <c r="N68" s="2165"/>
      <c r="O68" s="2165"/>
      <c r="P68" s="2166"/>
      <c r="Q68" s="2159"/>
      <c r="R68" s="2146"/>
      <c r="S68" s="2146"/>
      <c r="T68" s="2146"/>
      <c r="U68" s="2146"/>
      <c r="V68" s="2146"/>
      <c r="W68" s="2146"/>
      <c r="X68" s="2146"/>
      <c r="Y68" s="2146"/>
      <c r="Z68" s="2146"/>
      <c r="AA68" s="2146"/>
      <c r="AB68" s="2146"/>
      <c r="AC68" s="2146"/>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9"/>
      <c r="B70" s="675">
        <f>B12</f>
        <v>111</v>
      </c>
      <c r="C70" s="690"/>
      <c r="D70" s="690"/>
      <c r="E70" s="690"/>
      <c r="F70" s="690"/>
      <c r="G70" s="690"/>
      <c r="H70" s="691"/>
      <c r="I70" s="691"/>
      <c r="J70" s="691"/>
      <c r="K70" s="691"/>
      <c r="L70" s="692"/>
      <c r="M70" s="693"/>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9"/>
      <c r="B71" s="680"/>
      <c r="C71" s="694"/>
      <c r="D71" s="673"/>
      <c r="E71" s="673"/>
      <c r="F71" s="673"/>
      <c r="G71" s="673"/>
      <c r="H71" s="673"/>
      <c r="I71" s="673"/>
      <c r="J71" s="673"/>
      <c r="K71" s="673"/>
      <c r="L71" s="673"/>
      <c r="M71" s="674"/>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9"/>
      <c r="B72" s="675">
        <f>B13</f>
        <v>111</v>
      </c>
      <c r="C72" s="690"/>
      <c r="D72" s="690"/>
      <c r="E72" s="690"/>
      <c r="F72" s="690"/>
      <c r="G72" s="690"/>
      <c r="H72" s="691"/>
      <c r="I72" s="691"/>
      <c r="J72" s="691"/>
      <c r="K72" s="691"/>
      <c r="L72" s="692"/>
      <c r="M72" s="693"/>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9"/>
      <c r="B73" s="680"/>
      <c r="C73" s="694"/>
      <c r="D73" s="673"/>
      <c r="E73" s="673"/>
      <c r="F73" s="673"/>
      <c r="G73" s="694"/>
      <c r="H73" s="695"/>
      <c r="I73" s="695"/>
      <c r="J73" s="695"/>
      <c r="K73" s="695"/>
      <c r="L73" s="695"/>
      <c r="M73" s="696"/>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9"/>
      <c r="B74" s="683">
        <f>B14</f>
        <v>111</v>
      </c>
      <c r="C74" s="690"/>
      <c r="D74" s="690"/>
      <c r="E74" s="690"/>
      <c r="F74" s="690"/>
      <c r="G74" s="663"/>
      <c r="H74" s="697"/>
      <c r="I74" s="697"/>
      <c r="J74" s="697"/>
      <c r="K74" s="697"/>
      <c r="L74" s="698"/>
      <c r="M74" s="699"/>
      <c r="N74" s="2168"/>
      <c r="O74" s="2168"/>
      <c r="P74" s="2174"/>
      <c r="Q74" s="2170"/>
      <c r="R74" s="2171"/>
      <c r="S74" s="2171"/>
      <c r="T74" s="2171"/>
      <c r="U74" s="2171"/>
      <c r="V74" s="2171"/>
      <c r="W74" s="2171"/>
      <c r="X74" s="2171"/>
      <c r="Y74" s="2171"/>
      <c r="Z74" s="2171"/>
      <c r="AA74" s="2171"/>
      <c r="AB74" s="2171"/>
      <c r="AC74" s="2171"/>
    </row>
    <row r="75" spans="1:29" s="1339" customFormat="1" ht="15.75" thickBot="1">
      <c r="A75" s="700"/>
      <c r="B75" s="701"/>
      <c r="C75" s="702"/>
      <c r="D75" s="702"/>
      <c r="E75" s="702"/>
      <c r="F75" s="702"/>
      <c r="G75" s="702"/>
      <c r="H75" s="703"/>
      <c r="I75" s="703"/>
      <c r="J75" s="703"/>
      <c r="K75" s="703"/>
      <c r="L75" s="703"/>
      <c r="M75" s="704"/>
      <c r="N75" s="2168"/>
      <c r="O75" s="2168"/>
      <c r="P75" s="2169"/>
      <c r="Q75" s="2170"/>
      <c r="R75" s="2171"/>
      <c r="S75" s="2171"/>
      <c r="T75" s="2171"/>
      <c r="U75" s="2171"/>
      <c r="V75" s="2171"/>
      <c r="W75" s="2171"/>
      <c r="X75" s="2171"/>
      <c r="Y75" s="2171"/>
      <c r="Z75" s="2171"/>
      <c r="AA75" s="2171"/>
      <c r="AB75" s="2171"/>
      <c r="AC75" s="2171"/>
    </row>
    <row r="76" spans="1:29">
      <c r="A76" s="666" t="s">
        <v>540</v>
      </c>
      <c r="B76" s="667" t="s">
        <v>579</v>
      </c>
      <c r="C76" s="705" t="s">
        <v>580</v>
      </c>
      <c r="D76" s="705" t="s">
        <v>581</v>
      </c>
      <c r="E76" s="705" t="s">
        <v>582</v>
      </c>
      <c r="F76" s="705" t="s">
        <v>583</v>
      </c>
      <c r="G76" s="705" t="s">
        <v>584</v>
      </c>
      <c r="H76" s="706"/>
      <c r="I76" s="706"/>
      <c r="J76" s="706"/>
      <c r="K76" s="707"/>
      <c r="L76" s="708"/>
      <c r="M76" s="709"/>
      <c r="N76" s="2165"/>
      <c r="O76" s="2165"/>
      <c r="P76" s="2175"/>
      <c r="Q76" s="2159"/>
      <c r="R76" s="2146"/>
      <c r="S76" s="2146"/>
      <c r="T76" s="2146"/>
      <c r="U76" s="2146"/>
      <c r="V76" s="2146"/>
      <c r="W76" s="2146"/>
      <c r="X76" s="2146"/>
      <c r="Y76" s="2146"/>
      <c r="Z76" s="2146"/>
      <c r="AA76" s="2146"/>
      <c r="AB76" s="2146"/>
      <c r="AC76" s="2146"/>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67"/>
      <c r="O77" s="2167"/>
      <c r="P77" s="2166"/>
      <c r="Q77" s="2159"/>
      <c r="R77" s="2146"/>
      <c r="S77" s="2146"/>
      <c r="T77" s="2146"/>
      <c r="U77" s="2146"/>
      <c r="V77" s="2146"/>
      <c r="W77" s="2146"/>
      <c r="X77" s="2146"/>
      <c r="Y77" s="2146"/>
      <c r="Z77" s="2146"/>
      <c r="AA77" s="2146"/>
      <c r="AB77" s="2146"/>
      <c r="AC77" s="2146"/>
    </row>
    <row r="78" spans="1:29" ht="15.75" thickTop="1">
      <c r="A78" s="671"/>
      <c r="B78" s="675" t="s">
        <v>587</v>
      </c>
      <c r="C78" s="710" t="s">
        <v>580</v>
      </c>
      <c r="D78" s="710" t="s">
        <v>581</v>
      </c>
      <c r="E78" s="710" t="s">
        <v>582</v>
      </c>
      <c r="F78" s="710" t="s">
        <v>583</v>
      </c>
      <c r="G78" s="710" t="s">
        <v>584</v>
      </c>
      <c r="H78" s="676"/>
      <c r="I78" s="676"/>
      <c r="J78" s="676"/>
      <c r="K78" s="677"/>
      <c r="L78" s="678"/>
      <c r="M78" s="679"/>
      <c r="N78" s="2165"/>
      <c r="O78" s="2165"/>
      <c r="P78" s="2166"/>
      <c r="Q78" s="2159"/>
      <c r="R78" s="2146"/>
      <c r="S78" s="2146"/>
      <c r="T78" s="2146"/>
      <c r="U78" s="2146"/>
      <c r="V78" s="2146"/>
      <c r="W78" s="2146"/>
      <c r="X78" s="2146"/>
      <c r="Y78" s="2146"/>
      <c r="Z78" s="2146"/>
      <c r="AA78" s="2146"/>
      <c r="AB78" s="2146"/>
      <c r="AC78" s="2146"/>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67"/>
      <c r="O79" s="2167"/>
      <c r="P79" s="2166"/>
      <c r="Q79" s="2159"/>
      <c r="R79" s="2146"/>
      <c r="S79" s="2146"/>
      <c r="T79" s="2146"/>
      <c r="U79" s="2146"/>
      <c r="V79" s="2146"/>
      <c r="W79" s="2146"/>
      <c r="X79" s="2146"/>
      <c r="Y79" s="2146"/>
      <c r="Z79" s="2146"/>
      <c r="AA79" s="2146"/>
      <c r="AB79" s="2146"/>
      <c r="AC79" s="2146"/>
    </row>
    <row r="80" spans="1:29" ht="15.75" thickTop="1">
      <c r="A80" s="671"/>
      <c r="B80" s="1897" t="s">
        <v>2559</v>
      </c>
      <c r="C80" s="710" t="s">
        <v>580</v>
      </c>
      <c r="D80" s="710" t="s">
        <v>581</v>
      </c>
      <c r="E80" s="710" t="s">
        <v>582</v>
      </c>
      <c r="F80" s="710" t="s">
        <v>583</v>
      </c>
      <c r="G80" s="710" t="s">
        <v>584</v>
      </c>
      <c r="H80" s="676"/>
      <c r="I80" s="676"/>
      <c r="J80" s="676"/>
      <c r="K80" s="677"/>
      <c r="L80" s="678"/>
      <c r="M80" s="679"/>
      <c r="N80" s="2165"/>
      <c r="O80" s="2165"/>
      <c r="P80" s="2166"/>
      <c r="Q80" s="2159"/>
      <c r="R80" s="2146"/>
      <c r="S80" s="2146"/>
      <c r="T80" s="2146"/>
      <c r="U80" s="2146"/>
      <c r="V80" s="2146"/>
      <c r="W80" s="2146"/>
      <c r="X80" s="2146"/>
      <c r="Y80" s="2146"/>
      <c r="Z80" s="2146"/>
      <c r="AA80" s="2146"/>
      <c r="AB80" s="2146"/>
      <c r="AC80" s="2146"/>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67"/>
      <c r="O81" s="2167"/>
      <c r="P81" s="2166"/>
      <c r="Q81" s="2159"/>
      <c r="R81" s="2146"/>
      <c r="S81" s="2146"/>
      <c r="T81" s="2146"/>
      <c r="U81" s="2146"/>
      <c r="V81" s="2146"/>
      <c r="W81" s="2146"/>
      <c r="X81" s="2146"/>
      <c r="Y81" s="2146"/>
      <c r="Z81" s="2146"/>
      <c r="AA81" s="2146"/>
      <c r="AB81" s="2146"/>
      <c r="AC81" s="2146"/>
    </row>
    <row r="82" spans="1:29" ht="15.75" thickTop="1">
      <c r="A82" s="671"/>
      <c r="B82" s="2622" t="s">
        <v>2560</v>
      </c>
      <c r="C82" s="2623" t="s">
        <v>2561</v>
      </c>
      <c r="D82" s="2623" t="s">
        <v>2562</v>
      </c>
      <c r="E82" s="2623" t="s">
        <v>2563</v>
      </c>
      <c r="F82" s="2623" t="s">
        <v>2564</v>
      </c>
      <c r="G82" s="2623" t="s">
        <v>2565</v>
      </c>
      <c r="H82" s="676"/>
      <c r="I82" s="676"/>
      <c r="J82" s="676"/>
      <c r="K82" s="676"/>
      <c r="L82" s="676"/>
      <c r="M82" s="2626"/>
      <c r="N82" s="2167"/>
      <c r="O82" s="2167"/>
      <c r="P82" s="2166"/>
      <c r="Q82" s="2159"/>
      <c r="R82" s="2146"/>
      <c r="S82" s="2146"/>
      <c r="T82" s="2146"/>
      <c r="U82" s="2146"/>
      <c r="V82" s="2146"/>
      <c r="W82" s="2146"/>
      <c r="X82" s="2146"/>
      <c r="Y82" s="2146"/>
      <c r="Z82" s="2146"/>
      <c r="AA82" s="2146"/>
      <c r="AB82" s="2146"/>
      <c r="AC82" s="2146"/>
    </row>
    <row r="83" spans="1:29" ht="15.75" thickBot="1">
      <c r="A83" s="671"/>
      <c r="B83" s="683"/>
      <c r="C83" s="681">
        <v>100</v>
      </c>
      <c r="D83" s="681">
        <f>C83-$K21</f>
        <v>100</v>
      </c>
      <c r="E83" s="681">
        <f>D83-$K21</f>
        <v>100</v>
      </c>
      <c r="F83" s="681">
        <f>E83-$K21</f>
        <v>100</v>
      </c>
      <c r="G83" s="681">
        <f>F83-$K21</f>
        <v>100</v>
      </c>
      <c r="H83" s="936"/>
      <c r="I83" s="936"/>
      <c r="J83" s="936"/>
      <c r="K83" s="936"/>
      <c r="L83" s="936"/>
      <c r="M83" s="562"/>
      <c r="N83" s="2167"/>
      <c r="O83" s="2167"/>
      <c r="P83" s="2166"/>
      <c r="Q83" s="2159"/>
      <c r="R83" s="2146"/>
      <c r="S83" s="2146"/>
      <c r="T83" s="2146"/>
      <c r="U83" s="2146"/>
      <c r="V83" s="2146"/>
      <c r="W83" s="2146"/>
      <c r="X83" s="2146"/>
      <c r="Y83" s="2146"/>
      <c r="Z83" s="2146"/>
      <c r="AA83" s="2146"/>
      <c r="AB83" s="2146"/>
      <c r="AC83" s="2146"/>
    </row>
    <row r="84" spans="1:29" ht="15.75" thickTop="1">
      <c r="A84" s="671"/>
      <c r="B84" s="675" t="s">
        <v>744</v>
      </c>
      <c r="C84" s="710" t="s">
        <v>580</v>
      </c>
      <c r="D84" s="710" t="s">
        <v>581</v>
      </c>
      <c r="E84" s="710" t="s">
        <v>582</v>
      </c>
      <c r="F84" s="710" t="s">
        <v>583</v>
      </c>
      <c r="G84" s="710" t="s">
        <v>584</v>
      </c>
      <c r="H84" s="676"/>
      <c r="I84" s="676"/>
      <c r="J84" s="676"/>
      <c r="K84" s="677"/>
      <c r="L84" s="678"/>
      <c r="M84" s="679"/>
      <c r="N84" s="2165"/>
      <c r="O84" s="2165"/>
      <c r="P84" s="2166"/>
      <c r="Q84" s="2159"/>
      <c r="R84" s="2146"/>
      <c r="S84" s="2146"/>
      <c r="T84" s="2146"/>
      <c r="U84" s="2146"/>
      <c r="V84" s="2146"/>
      <c r="W84" s="2146"/>
      <c r="X84" s="2146"/>
      <c r="Y84" s="2146"/>
      <c r="Z84" s="2146"/>
      <c r="AA84" s="2146"/>
      <c r="AB84" s="2146"/>
      <c r="AC84" s="2146"/>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67"/>
      <c r="O85" s="2167"/>
      <c r="P85" s="2166"/>
      <c r="Q85" s="2159"/>
      <c r="R85" s="2146"/>
      <c r="S85" s="2146"/>
      <c r="T85" s="2146"/>
      <c r="U85" s="2146"/>
      <c r="V85" s="2146"/>
      <c r="W85" s="2146"/>
      <c r="X85" s="2146"/>
      <c r="Y85" s="2146"/>
      <c r="Z85" s="2146"/>
      <c r="AA85" s="2146"/>
      <c r="AB85" s="2146"/>
      <c r="AC85" s="2146"/>
    </row>
    <row r="86" spans="1:29" s="1220" customFormat="1" ht="15.75" thickTop="1">
      <c r="A86" s="711"/>
      <c r="B86" s="675" t="s">
        <v>771</v>
      </c>
      <c r="C86" s="690"/>
      <c r="D86" s="690"/>
      <c r="E86" s="690"/>
      <c r="F86" s="690"/>
      <c r="G86" s="690"/>
      <c r="H86" s="690"/>
      <c r="I86" s="690"/>
      <c r="J86" s="690"/>
      <c r="K86" s="690"/>
      <c r="L86" s="891"/>
      <c r="M86" s="892"/>
      <c r="N86" s="2163"/>
      <c r="O86" s="2163"/>
      <c r="P86" s="2166"/>
      <c r="Q86" s="2159"/>
      <c r="R86" s="1994"/>
      <c r="S86" s="1994"/>
      <c r="T86" s="1994"/>
      <c r="U86" s="1994"/>
      <c r="V86" s="1994"/>
      <c r="W86" s="1994"/>
      <c r="X86" s="1994"/>
      <c r="Y86" s="1994"/>
      <c r="Z86" s="1994"/>
      <c r="AA86" s="1994"/>
      <c r="AB86" s="1994"/>
      <c r="AC86" s="1994"/>
    </row>
    <row r="87" spans="1:29" s="1220"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11"/>
      <c r="B88" s="675" t="str">
        <f>B26</f>
        <v>平面位置/可视性</v>
      </c>
      <c r="C88" s="690"/>
      <c r="D88" s="690"/>
      <c r="E88" s="690"/>
      <c r="F88" s="893"/>
      <c r="G88" s="690"/>
      <c r="H88" s="690"/>
      <c r="I88" s="690"/>
      <c r="J88" s="690"/>
      <c r="K88" s="690"/>
      <c r="L88" s="690"/>
      <c r="M88" s="892"/>
      <c r="N88" s="2163"/>
      <c r="O88" s="2163"/>
      <c r="P88" s="2166"/>
      <c r="Q88" s="2159"/>
      <c r="R88" s="1994"/>
      <c r="S88" s="1994"/>
      <c r="T88" s="1994"/>
      <c r="U88" s="1994"/>
      <c r="V88" s="1994"/>
      <c r="W88" s="1994"/>
      <c r="X88" s="1994"/>
      <c r="Y88" s="1994"/>
      <c r="Z88" s="1994"/>
      <c r="AA88" s="1994"/>
      <c r="AB88" s="1994"/>
      <c r="AC88" s="1994"/>
    </row>
    <row r="89" spans="1:29" s="1220" customFormat="1" ht="15.75" thickBot="1">
      <c r="A89" s="711"/>
      <c r="B89" s="680"/>
      <c r="C89" s="694"/>
      <c r="D89" s="673"/>
      <c r="E89" s="673"/>
      <c r="F89" s="673"/>
      <c r="G89" s="673"/>
      <c r="H89" s="673"/>
      <c r="I89" s="673"/>
      <c r="J89" s="673"/>
      <c r="K89" s="673"/>
      <c r="L89" s="673"/>
      <c r="M89" s="673"/>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9"/>
      <c r="B90" s="675" t="str">
        <f>B27</f>
        <v>人流量</v>
      </c>
      <c r="C90" s="690"/>
      <c r="D90" s="690"/>
      <c r="E90" s="690"/>
      <c r="F90" s="690"/>
      <c r="G90" s="690"/>
      <c r="H90" s="691"/>
      <c r="I90" s="691"/>
      <c r="J90" s="691"/>
      <c r="K90" s="691"/>
      <c r="L90" s="692"/>
      <c r="M90" s="693"/>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71"/>
      <c r="B92" s="675" t="str">
        <f>B28</f>
        <v>楼层</v>
      </c>
      <c r="C92" s="690"/>
      <c r="D92" s="690"/>
      <c r="E92" s="690"/>
      <c r="F92" s="690"/>
      <c r="G92" s="690"/>
      <c r="H92" s="690"/>
      <c r="I92" s="690"/>
      <c r="J92" s="690"/>
      <c r="K92" s="690"/>
      <c r="L92" s="891"/>
      <c r="M92" s="892"/>
      <c r="N92" s="2165"/>
      <c r="O92" s="2165"/>
      <c r="P92" s="2166"/>
      <c r="Q92" s="2159"/>
      <c r="R92" s="2146"/>
      <c r="S92" s="2146"/>
      <c r="T92" s="2146"/>
      <c r="U92" s="2146"/>
      <c r="V92" s="2146"/>
      <c r="W92" s="2146"/>
      <c r="X92" s="2146"/>
      <c r="Y92" s="2146"/>
      <c r="Z92" s="2146"/>
      <c r="AA92" s="2146"/>
      <c r="AB92" s="2146"/>
      <c r="AC92" s="2146"/>
    </row>
    <row r="93" spans="1:29" ht="15.75" thickBot="1">
      <c r="A93" s="671"/>
      <c r="B93" s="680"/>
      <c r="C93" s="673"/>
      <c r="D93" s="673"/>
      <c r="E93" s="673"/>
      <c r="F93" s="673"/>
      <c r="G93" s="673"/>
      <c r="H93" s="673"/>
      <c r="I93" s="673"/>
      <c r="J93" s="673"/>
      <c r="K93" s="673"/>
      <c r="L93" s="673"/>
      <c r="M93" s="674"/>
      <c r="N93" s="2167"/>
      <c r="O93" s="2167"/>
      <c r="P93" s="2166"/>
      <c r="Q93" s="2159"/>
      <c r="R93" s="2146"/>
      <c r="S93" s="2146"/>
      <c r="T93" s="2146"/>
      <c r="U93" s="2146"/>
      <c r="V93" s="2146"/>
      <c r="W93" s="2146"/>
      <c r="X93" s="2146"/>
      <c r="Y93" s="2146"/>
      <c r="Z93" s="2146"/>
      <c r="AA93" s="2146"/>
      <c r="AB93" s="2146"/>
      <c r="AC93" s="2146"/>
    </row>
    <row r="94" spans="1:29" ht="15.75" thickTop="1">
      <c r="A94" s="671"/>
      <c r="B94" s="675">
        <f>B29</f>
        <v>111</v>
      </c>
      <c r="C94" s="690"/>
      <c r="D94" s="690"/>
      <c r="E94" s="690"/>
      <c r="F94" s="690"/>
      <c r="G94" s="720"/>
      <c r="H94" s="720"/>
      <c r="I94" s="720"/>
      <c r="J94" s="720"/>
      <c r="K94" s="721"/>
      <c r="L94" s="722"/>
      <c r="M94" s="723"/>
      <c r="N94" s="2165"/>
      <c r="O94" s="2165"/>
      <c r="P94" s="2166"/>
      <c r="Q94" s="2159"/>
      <c r="R94" s="2146"/>
      <c r="S94" s="2146"/>
      <c r="T94" s="2146"/>
      <c r="U94" s="2146"/>
      <c r="V94" s="2146"/>
      <c r="W94" s="2146"/>
      <c r="X94" s="2146"/>
      <c r="Y94" s="2146"/>
      <c r="Z94" s="2146"/>
      <c r="AA94" s="2146"/>
      <c r="AB94" s="2146"/>
      <c r="AC94" s="2146"/>
    </row>
    <row r="95" spans="1:29" ht="15.75" thickBot="1">
      <c r="A95" s="671"/>
      <c r="B95" s="680"/>
      <c r="C95" s="694"/>
      <c r="D95" s="673"/>
      <c r="E95" s="673"/>
      <c r="F95" s="673"/>
      <c r="G95" s="673"/>
      <c r="H95" s="673"/>
      <c r="I95" s="673"/>
      <c r="J95" s="673"/>
      <c r="K95" s="673"/>
      <c r="L95" s="673"/>
      <c r="M95" s="674"/>
      <c r="N95" s="2167"/>
      <c r="O95" s="2167"/>
      <c r="P95" s="2166"/>
      <c r="Q95" s="2159"/>
      <c r="R95" s="2146"/>
      <c r="S95" s="2146"/>
      <c r="T95" s="2146"/>
      <c r="U95" s="2146"/>
      <c r="V95" s="2146"/>
      <c r="W95" s="2146"/>
      <c r="X95" s="2146"/>
      <c r="Y95" s="2146"/>
      <c r="Z95" s="2146"/>
      <c r="AA95" s="2146"/>
      <c r="AB95" s="2146"/>
      <c r="AC95" s="2146"/>
    </row>
    <row r="96" spans="1:29" ht="15.75" thickTop="1">
      <c r="A96" s="671"/>
      <c r="B96" s="675">
        <f>B30</f>
        <v>111</v>
      </c>
      <c r="C96" s="690"/>
      <c r="D96" s="690"/>
      <c r="E96" s="690"/>
      <c r="F96" s="690"/>
      <c r="G96" s="720"/>
      <c r="H96" s="720"/>
      <c r="I96" s="720"/>
      <c r="J96" s="720"/>
      <c r="K96" s="721"/>
      <c r="L96" s="722"/>
      <c r="M96" s="723"/>
      <c r="N96" s="2165"/>
      <c r="O96" s="2165"/>
      <c r="P96" s="2166"/>
      <c r="Q96" s="2159"/>
      <c r="R96" s="2146"/>
      <c r="S96" s="2146"/>
      <c r="T96" s="2146"/>
      <c r="U96" s="2146"/>
      <c r="V96" s="2146"/>
      <c r="W96" s="2146"/>
      <c r="X96" s="2146"/>
      <c r="Y96" s="2146"/>
      <c r="Z96" s="2146"/>
      <c r="AA96" s="2146"/>
      <c r="AB96" s="2146"/>
      <c r="AC96" s="2146"/>
    </row>
    <row r="97" spans="1:29" ht="15.75" thickBot="1">
      <c r="A97" s="671"/>
      <c r="B97" s="680"/>
      <c r="C97" s="694"/>
      <c r="D97" s="673"/>
      <c r="E97" s="673"/>
      <c r="F97" s="673"/>
      <c r="G97" s="673"/>
      <c r="H97" s="673"/>
      <c r="I97" s="673"/>
      <c r="J97" s="673"/>
      <c r="K97" s="673"/>
      <c r="L97" s="673"/>
      <c r="M97" s="674"/>
      <c r="N97" s="2167"/>
      <c r="O97" s="2167"/>
      <c r="P97" s="2166"/>
      <c r="Q97" s="2159"/>
      <c r="R97" s="2146"/>
      <c r="S97" s="2146"/>
      <c r="T97" s="2146"/>
      <c r="U97" s="2146"/>
      <c r="V97" s="2146"/>
      <c r="W97" s="2146"/>
      <c r="X97" s="2146"/>
      <c r="Y97" s="2146"/>
      <c r="Z97" s="2146"/>
      <c r="AA97" s="2146"/>
      <c r="AB97" s="2146"/>
      <c r="AC97" s="2146"/>
    </row>
    <row r="98" spans="1:29" ht="15.75" thickTop="1">
      <c r="A98" s="671"/>
      <c r="B98" s="683">
        <f>B31</f>
        <v>111</v>
      </c>
      <c r="C98" s="690"/>
      <c r="D98" s="690"/>
      <c r="E98" s="690"/>
      <c r="F98" s="690"/>
      <c r="G98" s="724"/>
      <c r="H98" s="724"/>
      <c r="I98" s="724"/>
      <c r="J98" s="724"/>
      <c r="K98" s="725"/>
      <c r="L98" s="726"/>
      <c r="M98" s="727"/>
      <c r="N98" s="2165"/>
      <c r="O98" s="2165"/>
      <c r="P98" s="2166"/>
      <c r="Q98" s="2159"/>
      <c r="R98" s="2146"/>
      <c r="S98" s="2146"/>
      <c r="T98" s="2146"/>
      <c r="U98" s="2146"/>
      <c r="V98" s="2146"/>
      <c r="W98" s="2146"/>
      <c r="X98" s="2146"/>
      <c r="Y98" s="2146"/>
      <c r="Z98" s="2146"/>
      <c r="AA98" s="2146"/>
      <c r="AB98" s="2146"/>
      <c r="AC98" s="2146"/>
    </row>
    <row r="99" spans="1:29" ht="15.75" thickBot="1">
      <c r="A99" s="894"/>
      <c r="B99" s="701"/>
      <c r="C99" s="702"/>
      <c r="D99" s="702"/>
      <c r="E99" s="702"/>
      <c r="F99" s="702"/>
      <c r="G99" s="728"/>
      <c r="H99" s="728"/>
      <c r="I99" s="728"/>
      <c r="J99" s="728"/>
      <c r="K99" s="728"/>
      <c r="L99" s="728"/>
      <c r="M99" s="729"/>
      <c r="N99" s="2167"/>
      <c r="O99" s="2167"/>
      <c r="P99" s="2166"/>
      <c r="Q99" s="2159"/>
      <c r="R99" s="2146"/>
      <c r="S99" s="2146"/>
      <c r="T99" s="2146"/>
      <c r="U99" s="2146"/>
      <c r="V99" s="2146"/>
      <c r="W99" s="2146"/>
      <c r="X99" s="2146"/>
      <c r="Y99" s="2146"/>
      <c r="Z99" s="2146"/>
      <c r="AA99" s="2146"/>
      <c r="AB99" s="2146"/>
      <c r="AC99" s="2146"/>
    </row>
    <row r="100" spans="1:29">
      <c r="A100" s="666" t="s">
        <v>552</v>
      </c>
      <c r="B100" s="667" t="s">
        <v>772</v>
      </c>
      <c r="C100" s="600"/>
      <c r="D100" s="600"/>
      <c r="E100" s="600"/>
      <c r="F100" s="600"/>
      <c r="G100" s="600"/>
      <c r="H100" s="600"/>
      <c r="I100" s="600"/>
      <c r="J100" s="600"/>
      <c r="K100" s="668"/>
      <c r="L100" s="669"/>
      <c r="M100" s="670"/>
      <c r="N100" s="2165"/>
      <c r="O100" s="2165"/>
      <c r="P100" s="2166"/>
      <c r="Q100" s="2159"/>
      <c r="R100" s="2146"/>
      <c r="S100" s="2146"/>
      <c r="T100" s="2146"/>
      <c r="U100" s="2146"/>
      <c r="V100" s="2146"/>
      <c r="W100" s="2146"/>
      <c r="X100" s="2146"/>
      <c r="Y100" s="2146"/>
      <c r="Z100" s="2146"/>
      <c r="AA100" s="2146"/>
      <c r="AB100" s="2146"/>
      <c r="AC100" s="2146"/>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71"/>
      <c r="B102" s="675" t="s">
        <v>748</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30"/>
      <c r="B103" s="731"/>
      <c r="C103" s="732"/>
      <c r="D103" s="732"/>
      <c r="E103" s="732"/>
      <c r="F103" s="732"/>
      <c r="G103" s="732"/>
      <c r="H103" s="732"/>
      <c r="I103" s="732"/>
      <c r="J103" s="733"/>
      <c r="K103" s="733"/>
      <c r="L103" s="734"/>
      <c r="M103" s="735"/>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9"/>
      <c r="B104" s="680"/>
      <c r="C104" s="694"/>
      <c r="D104" s="673"/>
      <c r="E104" s="673"/>
      <c r="F104" s="673"/>
      <c r="G104" s="673"/>
      <c r="H104" s="673"/>
      <c r="I104" s="673"/>
      <c r="J104" s="673"/>
      <c r="K104" s="673"/>
      <c r="L104" s="673"/>
      <c r="M104" s="674"/>
      <c r="N104" s="2167"/>
      <c r="O104" s="2167"/>
      <c r="P104" s="2169"/>
      <c r="Q104" s="2170"/>
      <c r="R104" s="2171"/>
      <c r="S104" s="2171"/>
      <c r="T104" s="2171"/>
      <c r="U104" s="2171"/>
      <c r="V104" s="2171"/>
      <c r="W104" s="2171"/>
      <c r="X104" s="2171"/>
      <c r="Y104" s="2171"/>
      <c r="Z104" s="2171"/>
      <c r="AA104" s="2171"/>
      <c r="AB104" s="2171"/>
      <c r="AC104" s="2171"/>
    </row>
    <row r="105" spans="1:29" ht="15" thickTop="1">
      <c r="A105" s="737"/>
      <c r="B105" s="675" t="s">
        <v>749</v>
      </c>
      <c r="C105" s="690"/>
      <c r="D105" s="690"/>
      <c r="E105" s="720"/>
      <c r="F105" s="720"/>
      <c r="G105" s="720"/>
      <c r="H105" s="720"/>
      <c r="I105" s="720"/>
      <c r="J105" s="720"/>
      <c r="K105" s="721"/>
      <c r="L105" s="722"/>
      <c r="M105" s="723"/>
      <c r="N105" s="2165"/>
      <c r="O105" s="2165"/>
      <c r="P105" s="2166"/>
      <c r="Q105" s="2159"/>
      <c r="R105" s="2146"/>
      <c r="S105" s="2146"/>
      <c r="T105" s="2146"/>
      <c r="U105" s="2146"/>
      <c r="V105" s="2146"/>
      <c r="W105" s="2146"/>
      <c r="X105" s="2146"/>
      <c r="Y105" s="2146"/>
      <c r="Z105" s="2146"/>
      <c r="AA105" s="2146"/>
      <c r="AB105" s="2146"/>
      <c r="AC105" s="2146"/>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7"/>
      <c r="B107" s="675" t="s">
        <v>751</v>
      </c>
      <c r="C107" s="690"/>
      <c r="D107" s="690"/>
      <c r="E107" s="690"/>
      <c r="F107" s="720"/>
      <c r="G107" s="720"/>
      <c r="H107" s="720"/>
      <c r="I107" s="720"/>
      <c r="J107" s="720"/>
      <c r="K107" s="721"/>
      <c r="L107" s="722"/>
      <c r="M107" s="723"/>
      <c r="N107" s="2165"/>
      <c r="O107" s="2165"/>
      <c r="P107" s="2166"/>
      <c r="Q107" s="2159"/>
      <c r="R107" s="2146"/>
      <c r="S107" s="2146"/>
      <c r="T107" s="2146"/>
      <c r="U107" s="2146"/>
      <c r="V107" s="2146"/>
      <c r="W107" s="2146"/>
      <c r="X107" s="2146"/>
      <c r="Y107" s="2146"/>
      <c r="Z107" s="2146"/>
      <c r="AA107" s="2146"/>
      <c r="AB107" s="2146"/>
      <c r="AC107" s="2146"/>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7"/>
      <c r="B109" s="675" t="s">
        <v>752</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5"/>
      <c r="O109" s="2165"/>
      <c r="P109" s="2166"/>
      <c r="Q109" s="2159"/>
      <c r="R109" s="2146"/>
      <c r="S109" s="2146"/>
      <c r="T109" s="2146"/>
      <c r="U109" s="2146"/>
      <c r="V109" s="2146"/>
      <c r="W109" s="2146"/>
      <c r="X109" s="2146"/>
      <c r="Y109" s="2146"/>
      <c r="Z109" s="2146"/>
      <c r="AA109" s="2146"/>
      <c r="AB109" s="2146"/>
      <c r="AC109" s="2146"/>
    </row>
    <row r="110" spans="1:29">
      <c r="A110" s="737"/>
      <c r="B110" s="683"/>
      <c r="C110" s="895">
        <v>0.5</v>
      </c>
      <c r="D110" s="895">
        <v>0.6</v>
      </c>
      <c r="E110" s="895">
        <v>0.7</v>
      </c>
      <c r="F110" s="895">
        <v>0.8</v>
      </c>
      <c r="G110" s="895">
        <v>0.9</v>
      </c>
      <c r="H110" s="895">
        <v>1.0001</v>
      </c>
      <c r="I110" s="906"/>
      <c r="J110" s="906"/>
      <c r="K110" s="907"/>
      <c r="L110" s="908"/>
      <c r="M110" s="909"/>
      <c r="N110" s="2165"/>
      <c r="O110" s="2165"/>
      <c r="P110" s="2166"/>
      <c r="Q110" s="2159"/>
      <c r="R110" s="2146"/>
      <c r="S110" s="2146"/>
      <c r="T110" s="2146"/>
      <c r="U110" s="2146"/>
      <c r="V110" s="2146"/>
      <c r="W110" s="2146"/>
      <c r="X110" s="2146"/>
      <c r="Y110" s="2146"/>
      <c r="Z110" s="2146"/>
      <c r="AA110" s="2146"/>
      <c r="AB110" s="2146"/>
      <c r="AC110" s="2146"/>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30"/>
      <c r="B112" s="1897" t="s">
        <v>2558</v>
      </c>
      <c r="C112" s="690"/>
      <c r="D112" s="690"/>
      <c r="E112" s="690"/>
      <c r="F112" s="690"/>
      <c r="G112" s="690"/>
      <c r="H112" s="720"/>
      <c r="I112" s="720"/>
      <c r="J112" s="720"/>
      <c r="K112" s="721"/>
      <c r="L112" s="722"/>
      <c r="M112" s="723"/>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7"/>
      <c r="B114" s="675" t="s">
        <v>773</v>
      </c>
      <c r="C114" s="690"/>
      <c r="D114" s="690"/>
      <c r="E114" s="720"/>
      <c r="F114" s="720"/>
      <c r="G114" s="720"/>
      <c r="H114" s="720"/>
      <c r="I114" s="720"/>
      <c r="J114" s="720"/>
      <c r="K114" s="721"/>
      <c r="L114" s="722"/>
      <c r="M114" s="723"/>
      <c r="N114" s="2165"/>
      <c r="O114" s="2165"/>
      <c r="P114" s="2166"/>
      <c r="Q114" s="2159"/>
      <c r="R114" s="2146"/>
      <c r="S114" s="2146"/>
      <c r="T114" s="2146"/>
      <c r="U114" s="2146"/>
      <c r="V114" s="2146"/>
      <c r="W114" s="2146"/>
      <c r="X114" s="2146"/>
      <c r="Y114" s="2146"/>
      <c r="Z114" s="2146"/>
      <c r="AA114" s="2146"/>
      <c r="AB114" s="2146"/>
      <c r="AC114" s="2146"/>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7"/>
      <c r="B116" s="675" t="s">
        <v>774</v>
      </c>
      <c r="C116" s="690"/>
      <c r="D116" s="690"/>
      <c r="E116" s="690"/>
      <c r="F116" s="690"/>
      <c r="G116" s="690"/>
      <c r="H116" s="720"/>
      <c r="I116" s="720"/>
      <c r="J116" s="720"/>
      <c r="K116" s="721"/>
      <c r="L116" s="722"/>
      <c r="M116" s="723"/>
      <c r="N116" s="2165"/>
      <c r="O116" s="2165"/>
      <c r="P116" s="2166"/>
      <c r="Q116" s="2159"/>
      <c r="R116" s="2146"/>
      <c r="S116" s="2146"/>
      <c r="T116" s="2146"/>
      <c r="U116" s="2146"/>
      <c r="V116" s="2146"/>
      <c r="W116" s="2146"/>
      <c r="X116" s="2146"/>
      <c r="Y116" s="2146"/>
      <c r="Z116" s="2146"/>
      <c r="AA116" s="2146"/>
      <c r="AB116" s="2146"/>
      <c r="AC116" s="2146"/>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67"/>
      <c r="O117" s="2167"/>
      <c r="P117" s="2166"/>
      <c r="Q117" s="2159"/>
      <c r="R117" s="2146"/>
      <c r="S117" s="2146"/>
      <c r="T117" s="2146"/>
      <c r="U117" s="2146"/>
      <c r="V117" s="2146"/>
      <c r="W117" s="2146"/>
      <c r="X117" s="2146"/>
      <c r="Y117" s="2146"/>
      <c r="Z117" s="2146"/>
      <c r="AA117" s="2146"/>
      <c r="AB117" s="2146"/>
      <c r="AC117" s="2146"/>
    </row>
    <row r="118" spans="1:29" ht="15" thickTop="1">
      <c r="A118" s="737"/>
      <c r="B118" s="675" t="s">
        <v>775</v>
      </c>
      <c r="C118" s="910"/>
      <c r="D118" s="910"/>
      <c r="E118" s="910"/>
      <c r="F118" s="910"/>
      <c r="G118" s="910"/>
      <c r="H118" s="691"/>
      <c r="I118" s="691"/>
      <c r="J118" s="691"/>
      <c r="K118" s="691"/>
      <c r="L118" s="692"/>
      <c r="M118" s="693"/>
      <c r="N118" s="2165"/>
      <c r="O118" s="2165"/>
      <c r="P118" s="2166"/>
      <c r="Q118" s="2159"/>
      <c r="R118" s="2146"/>
      <c r="S118" s="2146"/>
      <c r="T118" s="2146"/>
      <c r="U118" s="2146"/>
      <c r="V118" s="2146"/>
      <c r="W118" s="2146"/>
      <c r="X118" s="2146"/>
      <c r="Y118" s="2146"/>
      <c r="Z118" s="2146"/>
      <c r="AA118" s="2146"/>
      <c r="AB118" s="2146"/>
      <c r="AC118" s="2146"/>
    </row>
    <row r="119" spans="1:29" ht="15.75" thickBot="1">
      <c r="A119" s="671"/>
      <c r="B119" s="680"/>
      <c r="C119" s="694"/>
      <c r="D119" s="673"/>
      <c r="E119" s="673"/>
      <c r="F119" s="673"/>
      <c r="G119" s="673"/>
      <c r="H119" s="673"/>
      <c r="I119" s="673"/>
      <c r="J119" s="673"/>
      <c r="K119" s="673"/>
      <c r="L119" s="673"/>
      <c r="M119" s="674"/>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30"/>
      <c r="B120" s="675" t="s">
        <v>776</v>
      </c>
      <c r="C120" s="720"/>
      <c r="D120" s="720"/>
      <c r="E120" s="720"/>
      <c r="F120" s="720"/>
      <c r="G120" s="691"/>
      <c r="H120" s="691"/>
      <c r="I120" s="691"/>
      <c r="J120" s="691"/>
      <c r="K120" s="691"/>
      <c r="L120" s="692"/>
      <c r="M120" s="693"/>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7"/>
      <c r="B122" s="675" t="s">
        <v>755</v>
      </c>
      <c r="C122" s="690"/>
      <c r="D122" s="690"/>
      <c r="E122" s="690"/>
      <c r="F122" s="720"/>
      <c r="G122" s="720"/>
      <c r="H122" s="720"/>
      <c r="I122" s="720"/>
      <c r="J122" s="720"/>
      <c r="K122" s="721"/>
      <c r="L122" s="722"/>
      <c r="M122" s="723"/>
      <c r="N122" s="2165"/>
      <c r="O122" s="2165"/>
      <c r="P122" s="2166"/>
      <c r="Q122" s="2159"/>
      <c r="R122" s="2146"/>
      <c r="S122" s="2146"/>
      <c r="T122" s="2146"/>
      <c r="U122" s="2146"/>
      <c r="V122" s="2146"/>
      <c r="W122" s="2146"/>
      <c r="X122" s="2146"/>
      <c r="Y122" s="2146"/>
      <c r="Z122" s="2146"/>
      <c r="AA122" s="2146"/>
      <c r="AB122" s="2146"/>
      <c r="AC122" s="2146"/>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7"/>
      <c r="B124" s="675" t="s">
        <v>756</v>
      </c>
      <c r="C124" s="710" t="s">
        <v>580</v>
      </c>
      <c r="D124" s="710" t="s">
        <v>581</v>
      </c>
      <c r="E124" s="710" t="s">
        <v>582</v>
      </c>
      <c r="F124" s="710" t="s">
        <v>583</v>
      </c>
      <c r="G124" s="710" t="s">
        <v>584</v>
      </c>
      <c r="H124" s="676"/>
      <c r="I124" s="676"/>
      <c r="J124" s="676"/>
      <c r="K124" s="677"/>
      <c r="L124" s="678"/>
      <c r="M124" s="679"/>
      <c r="N124" s="2165"/>
      <c r="O124" s="2165"/>
      <c r="P124" s="2169"/>
      <c r="Q124" s="2159"/>
      <c r="R124" s="2146"/>
      <c r="S124" s="2146"/>
      <c r="T124" s="2146"/>
      <c r="U124" s="2146"/>
      <c r="V124" s="2146"/>
      <c r="W124" s="2146"/>
      <c r="X124" s="2146"/>
      <c r="Y124" s="2146"/>
      <c r="Z124" s="2146"/>
      <c r="AA124" s="2146"/>
      <c r="AB124" s="2146"/>
      <c r="AC124" s="2146"/>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30"/>
      <c r="B126" s="675">
        <f>B44</f>
        <v>111</v>
      </c>
      <c r="C126" s="690"/>
      <c r="D126" s="690"/>
      <c r="E126" s="690"/>
      <c r="F126" s="690"/>
      <c r="G126" s="690"/>
      <c r="H126" s="691"/>
      <c r="I126" s="691"/>
      <c r="J126" s="691"/>
      <c r="K126" s="691"/>
      <c r="L126" s="692"/>
      <c r="M126" s="693"/>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9"/>
      <c r="B127" s="680"/>
      <c r="C127" s="694"/>
      <c r="D127" s="673"/>
      <c r="E127" s="673"/>
      <c r="F127" s="673"/>
      <c r="G127" s="694"/>
      <c r="H127" s="695"/>
      <c r="I127" s="695"/>
      <c r="J127" s="695"/>
      <c r="K127" s="695"/>
      <c r="L127" s="695"/>
      <c r="M127" s="696"/>
      <c r="N127" s="2168"/>
      <c r="O127" s="2168"/>
      <c r="P127" s="2169"/>
      <c r="Q127" s="2170"/>
      <c r="R127" s="2171"/>
      <c r="S127" s="2171"/>
      <c r="T127" s="2171"/>
      <c r="U127" s="2171"/>
      <c r="V127" s="2171"/>
      <c r="W127" s="2171"/>
      <c r="X127" s="2171"/>
      <c r="Y127" s="2171"/>
      <c r="Z127" s="2171"/>
      <c r="AA127" s="2171"/>
      <c r="AB127" s="2171"/>
      <c r="AC127" s="2171"/>
    </row>
    <row r="128" spans="1:29" ht="15" thickTop="1">
      <c r="A128" s="737"/>
      <c r="B128" s="675">
        <f>B45</f>
        <v>111</v>
      </c>
      <c r="C128" s="690"/>
      <c r="D128" s="690"/>
      <c r="E128" s="690"/>
      <c r="F128" s="690"/>
      <c r="G128" s="720"/>
      <c r="H128" s="720"/>
      <c r="I128" s="720"/>
      <c r="J128" s="720"/>
      <c r="K128" s="721"/>
      <c r="L128" s="722"/>
      <c r="M128" s="723"/>
      <c r="N128" s="2165"/>
      <c r="O128" s="2165"/>
      <c r="P128" s="2166"/>
      <c r="Q128" s="2159"/>
      <c r="R128" s="2146"/>
      <c r="S128" s="2146"/>
      <c r="T128" s="2146"/>
      <c r="U128" s="2146"/>
      <c r="V128" s="2146"/>
      <c r="W128" s="2146"/>
      <c r="X128" s="2146"/>
      <c r="Y128" s="2146"/>
      <c r="Z128" s="2146"/>
      <c r="AA128" s="2146"/>
      <c r="AB128" s="2146"/>
      <c r="AC128" s="2146"/>
    </row>
    <row r="129" spans="1:29" ht="15.75" thickBot="1">
      <c r="A129" s="671"/>
      <c r="B129" s="680"/>
      <c r="C129" s="694"/>
      <c r="D129" s="673"/>
      <c r="E129" s="673"/>
      <c r="F129" s="673"/>
      <c r="G129" s="673"/>
      <c r="H129" s="673"/>
      <c r="I129" s="673"/>
      <c r="J129" s="673"/>
      <c r="K129" s="673"/>
      <c r="L129" s="673"/>
      <c r="M129" s="674"/>
      <c r="N129" s="2167"/>
      <c r="O129" s="2167"/>
      <c r="P129" s="2166"/>
      <c r="Q129" s="2159"/>
      <c r="R129" s="2146"/>
      <c r="S129" s="2146"/>
      <c r="T129" s="2146"/>
      <c r="U129" s="2146"/>
      <c r="V129" s="2146"/>
      <c r="W129" s="2146"/>
      <c r="X129" s="2146"/>
      <c r="Y129" s="2146"/>
      <c r="Z129" s="2146"/>
      <c r="AA129" s="2146"/>
      <c r="AB129" s="2146"/>
      <c r="AC129" s="2146"/>
    </row>
    <row r="130" spans="1:29" ht="15" thickTop="1">
      <c r="A130" s="737"/>
      <c r="B130" s="683">
        <f>B46</f>
        <v>111</v>
      </c>
      <c r="C130" s="690"/>
      <c r="D130" s="690"/>
      <c r="E130" s="690"/>
      <c r="F130" s="690"/>
      <c r="G130" s="724"/>
      <c r="H130" s="724"/>
      <c r="I130" s="724"/>
      <c r="J130" s="724"/>
      <c r="K130" s="663"/>
      <c r="L130" s="664"/>
      <c r="M130" s="727"/>
      <c r="N130" s="2165"/>
      <c r="O130" s="2165"/>
      <c r="P130" s="2166"/>
      <c r="Q130" s="2159"/>
      <c r="R130" s="2146"/>
      <c r="S130" s="2146"/>
      <c r="T130" s="2146"/>
      <c r="U130" s="2146"/>
      <c r="V130" s="2146"/>
      <c r="W130" s="2146"/>
      <c r="X130" s="2146"/>
      <c r="Y130" s="2146"/>
      <c r="Z130" s="2146"/>
      <c r="AA130" s="2146"/>
      <c r="AB130" s="2146"/>
      <c r="AC130" s="2146"/>
    </row>
    <row r="131" spans="1:29" ht="15.75" thickBot="1">
      <c r="A131" s="894"/>
      <c r="B131" s="701"/>
      <c r="C131" s="702"/>
      <c r="D131" s="702"/>
      <c r="E131" s="702"/>
      <c r="F131" s="702"/>
      <c r="G131" s="728"/>
      <c r="H131" s="728"/>
      <c r="I131" s="728"/>
      <c r="J131" s="728"/>
      <c r="K131" s="728"/>
      <c r="L131" s="728"/>
      <c r="M131" s="729"/>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719</v>
      </c>
      <c r="B1" s="506" t="s">
        <v>777</v>
      </c>
      <c r="C1" s="507" t="s">
        <v>721</v>
      </c>
      <c r="D1" s="851"/>
      <c r="E1" s="509"/>
      <c r="F1" s="2834"/>
      <c r="G1" s="1601" t="s">
        <v>722</v>
      </c>
      <c r="H1" s="509"/>
      <c r="I1" s="509"/>
      <c r="J1" s="509"/>
      <c r="K1" s="510"/>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6" t="s">
        <v>467</v>
      </c>
      <c r="B2" s="852"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12" t="s">
        <v>520</v>
      </c>
      <c r="B3" s="513" t="e">
        <f>C50</f>
        <v>#DIV/0!</v>
      </c>
      <c r="C3" s="854" t="s">
        <v>723</v>
      </c>
      <c r="D3" s="853">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5" t="s">
        <v>522</v>
      </c>
      <c r="B4" s="516"/>
      <c r="C4" s="3523" t="s">
        <v>523</v>
      </c>
      <c r="D4" s="3524"/>
      <c r="E4" s="3548" t="s">
        <v>524</v>
      </c>
      <c r="F4" s="3549"/>
      <c r="G4" s="3523" t="s">
        <v>525</v>
      </c>
      <c r="H4" s="3524"/>
      <c r="I4" s="3523" t="s">
        <v>526</v>
      </c>
      <c r="J4" s="3524"/>
      <c r="K4" s="517" t="s">
        <v>527</v>
      </c>
      <c r="L4" s="2134"/>
      <c r="M4" s="2135"/>
      <c r="N4" s="2135"/>
      <c r="O4" s="2135"/>
      <c r="P4" s="3623" t="s">
        <v>528</v>
      </c>
      <c r="Q4" s="3526"/>
      <c r="R4" s="3511" t="s">
        <v>524</v>
      </c>
      <c r="S4" s="3512"/>
      <c r="T4" s="3511" t="s">
        <v>525</v>
      </c>
      <c r="U4" s="3512"/>
      <c r="V4" s="3531" t="s">
        <v>526</v>
      </c>
      <c r="W4" s="3531"/>
      <c r="X4" s="1567"/>
      <c r="Y4" s="3511" t="s">
        <v>528</v>
      </c>
      <c r="Z4" s="3512"/>
      <c r="AA4" s="3506" t="s">
        <v>524</v>
      </c>
      <c r="AB4" s="3506" t="s">
        <v>525</v>
      </c>
      <c r="AC4" s="3506" t="s">
        <v>526</v>
      </c>
    </row>
    <row r="5" spans="1:29" ht="15">
      <c r="A5" s="518"/>
      <c r="B5" s="519"/>
      <c r="C5" s="3534" t="s">
        <v>2924</v>
      </c>
      <c r="D5" s="3535"/>
      <c r="E5" s="3550" t="s">
        <v>2925</v>
      </c>
      <c r="F5" s="3551"/>
      <c r="G5" s="3534" t="s">
        <v>2926</v>
      </c>
      <c r="H5" s="3535"/>
      <c r="I5" s="3534" t="s">
        <v>2927</v>
      </c>
      <c r="J5" s="3535"/>
      <c r="K5" s="517"/>
      <c r="L5" s="2134"/>
      <c r="M5" s="2135"/>
      <c r="N5" s="2135"/>
      <c r="O5" s="2135"/>
      <c r="P5" s="3624"/>
      <c r="Q5" s="3528"/>
      <c r="R5" s="3513"/>
      <c r="S5" s="3514"/>
      <c r="T5" s="3513"/>
      <c r="U5" s="3514"/>
      <c r="V5" s="3531"/>
      <c r="W5" s="3531"/>
      <c r="X5" s="1567"/>
      <c r="Y5" s="3513"/>
      <c r="Z5" s="3514"/>
      <c r="AA5" s="3507"/>
      <c r="AB5" s="3507"/>
      <c r="AC5" s="3507"/>
    </row>
    <row r="6" spans="1:29" ht="15.75" thickBot="1">
      <c r="A6" s="520"/>
      <c r="B6" s="521"/>
      <c r="C6" s="3532" t="s">
        <v>2928</v>
      </c>
      <c r="D6" s="3533"/>
      <c r="E6" s="3552" t="s">
        <v>2928</v>
      </c>
      <c r="F6" s="3553"/>
      <c r="G6" s="3532" t="s">
        <v>2928</v>
      </c>
      <c r="H6" s="3533"/>
      <c r="I6" s="3532" t="s">
        <v>2928</v>
      </c>
      <c r="J6" s="3533"/>
      <c r="K6" s="517" t="s">
        <v>529</v>
      </c>
      <c r="L6" s="2134"/>
      <c r="M6" s="2135"/>
      <c r="N6" s="2135"/>
      <c r="O6" s="2135"/>
      <c r="P6" s="3625"/>
      <c r="Q6" s="3530"/>
      <c r="R6" s="3513"/>
      <c r="S6" s="3514"/>
      <c r="T6" s="3515"/>
      <c r="U6" s="3516"/>
      <c r="V6" s="3531"/>
      <c r="W6" s="3531"/>
      <c r="X6" s="1567"/>
      <c r="Y6" s="3515"/>
      <c r="Z6" s="3516"/>
      <c r="AA6" s="3508"/>
      <c r="AB6" s="3508"/>
      <c r="AC6" s="3508"/>
    </row>
    <row r="7" spans="1:29" s="1220" customFormat="1" ht="15.75" thickBot="1">
      <c r="A7" s="2939"/>
      <c r="B7" s="2946" t="s">
        <v>530</v>
      </c>
      <c r="C7" s="522">
        <f>'数据-取费表'!B2</f>
        <v>43052</v>
      </c>
      <c r="D7" s="523">
        <v>100</v>
      </c>
      <c r="E7" s="524"/>
      <c r="F7" s="525">
        <f>SUMIF(59:59,YEAR(E7)&amp;"-"&amp;MONTH(E7),60:60)</f>
        <v>0</v>
      </c>
      <c r="G7" s="524"/>
      <c r="H7" s="523">
        <f>SUMIF(59:59,YEAR(G7)&amp;"-"&amp;MONTH(G7),60:60)</f>
        <v>0</v>
      </c>
      <c r="I7" s="524"/>
      <c r="J7" s="523">
        <f>SUMIF(59:59,YEAR(I7)&amp;"-"&amp;MONTH(I7),60:60)</f>
        <v>0</v>
      </c>
      <c r="K7" s="527"/>
      <c r="L7" s="2136"/>
      <c r="M7" s="2137"/>
      <c r="N7" s="2137"/>
      <c r="O7" s="2137"/>
      <c r="P7" s="3518" t="s">
        <v>531</v>
      </c>
      <c r="Q7" s="3518"/>
      <c r="R7" s="1568" t="s">
        <v>8</v>
      </c>
      <c r="S7" s="1569">
        <f t="shared" ref="S7:S15" si="0">F7</f>
        <v>0</v>
      </c>
      <c r="T7" s="1568" t="s">
        <v>8</v>
      </c>
      <c r="U7" s="1569">
        <f t="shared" ref="U7:U15" si="1">H7</f>
        <v>0</v>
      </c>
      <c r="V7" s="1568" t="s">
        <v>8</v>
      </c>
      <c r="W7" s="1569">
        <f t="shared" ref="W7:W15" si="2">J7</f>
        <v>0</v>
      </c>
      <c r="X7" s="1570"/>
      <c r="Y7" s="3509" t="s">
        <v>531</v>
      </c>
      <c r="Z7" s="3510"/>
      <c r="AA7" s="1571" t="e">
        <f>D7/F7</f>
        <v>#DIV/0!</v>
      </c>
      <c r="AB7" s="1571" t="e">
        <f>D7/H7</f>
        <v>#DIV/0!</v>
      </c>
      <c r="AC7" s="1571" t="e">
        <f>D7/J7</f>
        <v>#DIV/0!</v>
      </c>
    </row>
    <row r="8" spans="1:29" s="1220" customFormat="1" ht="15.75" thickBot="1">
      <c r="A8" s="2940"/>
      <c r="B8" s="2947" t="s">
        <v>532</v>
      </c>
      <c r="C8" s="528" t="s">
        <v>577</v>
      </c>
      <c r="D8" s="523">
        <v>100</v>
      </c>
      <c r="E8" s="528"/>
      <c r="F8" s="525">
        <f>SUMIF(62:62,E8,63:63)-SUMIF(62:62,C8,63:63)+100</f>
        <v>0</v>
      </c>
      <c r="G8" s="528"/>
      <c r="H8" s="523">
        <f>SUMIF(62:62,G8,63:63)-SUMIF(62:62,C8,63:63)+100</f>
        <v>0</v>
      </c>
      <c r="I8" s="528"/>
      <c r="J8" s="523">
        <f>SUMIF(62:62,I8,63:63)-SUMIF(62:62,C8,63:63)+100</f>
        <v>0</v>
      </c>
      <c r="K8" s="527"/>
      <c r="L8" s="2136"/>
      <c r="M8" s="2137"/>
      <c r="N8" s="2137"/>
      <c r="O8" s="2137"/>
      <c r="P8" s="3518" t="s">
        <v>534</v>
      </c>
      <c r="Q8" s="3510"/>
      <c r="R8" s="1568" t="s">
        <v>8</v>
      </c>
      <c r="S8" s="1569">
        <f t="shared" si="0"/>
        <v>0</v>
      </c>
      <c r="T8" s="1568" t="s">
        <v>8</v>
      </c>
      <c r="U8" s="1569">
        <f t="shared" si="1"/>
        <v>0</v>
      </c>
      <c r="V8" s="1568" t="s">
        <v>8</v>
      </c>
      <c r="W8" s="1569">
        <f t="shared" si="2"/>
        <v>0</v>
      </c>
      <c r="X8" s="1570"/>
      <c r="Y8" s="3509" t="s">
        <v>534</v>
      </c>
      <c r="Z8" s="3510"/>
      <c r="AA8" s="1571" t="e">
        <f t="shared" ref="AA8:AA47" si="3">D8/F8</f>
        <v>#DIV/0!</v>
      </c>
      <c r="AB8" s="1571" t="e">
        <f t="shared" ref="AB8:AB47" si="4">D8/H8</f>
        <v>#DIV/0!</v>
      </c>
      <c r="AC8" s="1571" t="e">
        <f t="shared" ref="AC8:AC47" si="5">D8/J8</f>
        <v>#DIV/0!</v>
      </c>
    </row>
    <row r="9" spans="1:29" s="1220" customFormat="1" ht="15">
      <c r="A9" s="2941"/>
      <c r="B9" s="2948" t="s">
        <v>2759</v>
      </c>
      <c r="C9" s="859"/>
      <c r="D9" s="254">
        <v>100</v>
      </c>
      <c r="E9" s="862"/>
      <c r="F9" s="254">
        <f>SUMIF(64:64,E9,65:65)-SUMIF(64:64,C9,65:65)+100</f>
        <v>100</v>
      </c>
      <c r="G9" s="860"/>
      <c r="H9" s="254">
        <f>SUMIF(64:64,G9,65:65)-SUMIF(64:64,C9,65:65)+100</f>
        <v>100</v>
      </c>
      <c r="I9" s="860"/>
      <c r="J9" s="254">
        <f>SUMIF(64:64,I9,65:65)-SUMIF(64:64,C9,65:65)+100</f>
        <v>100</v>
      </c>
      <c r="K9" s="527"/>
      <c r="L9" s="2136"/>
      <c r="M9" s="2137"/>
      <c r="N9" s="2137"/>
      <c r="O9" s="2137"/>
      <c r="P9" s="3517" t="s">
        <v>536</v>
      </c>
      <c r="Q9" s="1151" t="str">
        <f t="shared" ref="Q9:Q15" si="6">B9</f>
        <v>用途</v>
      </c>
      <c r="R9" s="1568" t="s">
        <v>8</v>
      </c>
      <c r="S9" s="1569">
        <f t="shared" si="0"/>
        <v>100</v>
      </c>
      <c r="T9" s="1568" t="s">
        <v>8</v>
      </c>
      <c r="U9" s="1569">
        <f t="shared" si="1"/>
        <v>100</v>
      </c>
      <c r="V9" s="1568" t="s">
        <v>8</v>
      </c>
      <c r="W9" s="1569">
        <f t="shared" si="2"/>
        <v>100</v>
      </c>
      <c r="X9" s="1570"/>
      <c r="Y9" s="3474" t="s">
        <v>537</v>
      </c>
      <c r="Z9" s="1150" t="str">
        <f t="shared" ref="Z9:Z15" si="7">Q9</f>
        <v>用途</v>
      </c>
      <c r="AA9" s="1571">
        <f t="shared" si="3"/>
        <v>1</v>
      </c>
      <c r="AB9" s="1571">
        <f t="shared" si="4"/>
        <v>1</v>
      </c>
      <c r="AC9" s="1571">
        <f t="shared" si="5"/>
        <v>1</v>
      </c>
    </row>
    <row r="10" spans="1:29" s="1338" customFormat="1" ht="27">
      <c r="A10" s="2942"/>
      <c r="B10" s="2947" t="s">
        <v>2760</v>
      </c>
      <c r="C10" s="863"/>
      <c r="D10" s="255">
        <v>100</v>
      </c>
      <c r="E10" s="863"/>
      <c r="F10" s="255">
        <f>SUMIF(66:66,E10,67:67)-SUMIF(66:66,C10,67:67)+100</f>
        <v>100</v>
      </c>
      <c r="G10" s="864"/>
      <c r="H10" s="255">
        <f>SUMIF(66:66,G10,67:67)-SUMIF(66:66,C10,67:67)+100</f>
        <v>100</v>
      </c>
      <c r="I10" s="863"/>
      <c r="J10" s="255">
        <f>SUMIF(66:66,I10,67:67)-SUMIF(66:66,C10,67:67)+100</f>
        <v>100</v>
      </c>
      <c r="K10" s="586"/>
      <c r="L10" s="2139"/>
      <c r="M10" s="2179"/>
      <c r="N10" s="2179"/>
      <c r="O10" s="2179"/>
      <c r="P10" s="3517"/>
      <c r="Q10" s="1151" t="str">
        <f t="shared" si="6"/>
        <v>土地使用年限（年）</v>
      </c>
      <c r="R10" s="1568" t="s">
        <v>8</v>
      </c>
      <c r="S10" s="1569">
        <f t="shared" si="0"/>
        <v>100</v>
      </c>
      <c r="T10" s="1568" t="s">
        <v>8</v>
      </c>
      <c r="U10" s="1569">
        <f t="shared" si="1"/>
        <v>100</v>
      </c>
      <c r="V10" s="1568" t="s">
        <v>8</v>
      </c>
      <c r="W10" s="1569">
        <f t="shared" si="2"/>
        <v>100</v>
      </c>
      <c r="X10" s="1570"/>
      <c r="Y10" s="3474"/>
      <c r="Z10" s="1150" t="str">
        <f t="shared" si="7"/>
        <v>土地使用年限（年）</v>
      </c>
      <c r="AA10" s="1571">
        <f t="shared" si="3"/>
        <v>1</v>
      </c>
      <c r="AB10" s="1571">
        <f t="shared" si="4"/>
        <v>1</v>
      </c>
      <c r="AC10" s="1571">
        <f t="shared" si="5"/>
        <v>1</v>
      </c>
    </row>
    <row r="11" spans="1:29" ht="15">
      <c r="A11" s="2943"/>
      <c r="B11" s="2947" t="s">
        <v>2761</v>
      </c>
      <c r="C11" s="536"/>
      <c r="D11" s="255">
        <v>100</v>
      </c>
      <c r="E11" s="536"/>
      <c r="F11" s="255" t="e">
        <f>LOOKUP(E11,69:69,70:70)-LOOKUP(C11,69:69,70:70)+100</f>
        <v>#N/A</v>
      </c>
      <c r="G11" s="537"/>
      <c r="H11" s="255" t="e">
        <f>LOOKUP(G11,69:69,70:70)-LOOKUP(C11,69:69,70:70)+100</f>
        <v>#N/A</v>
      </c>
      <c r="I11" s="536"/>
      <c r="J11" s="255" t="e">
        <f>LOOKUP(I11,69:69,70:70)-LOOKUP(C11,69:69,70:70)+100</f>
        <v>#N/A</v>
      </c>
      <c r="K11" s="586"/>
      <c r="L11" s="2141"/>
      <c r="M11" s="2135"/>
      <c r="N11" s="2135"/>
      <c r="O11" s="2135"/>
      <c r="P11" s="3517"/>
      <c r="Q11" s="1151" t="str">
        <f t="shared" si="6"/>
        <v>容积率</v>
      </c>
      <c r="R11" s="1568" t="s">
        <v>8</v>
      </c>
      <c r="S11" s="1569" t="e">
        <f t="shared" si="0"/>
        <v>#N/A</v>
      </c>
      <c r="T11" s="1568" t="s">
        <v>8</v>
      </c>
      <c r="U11" s="1569" t="e">
        <f t="shared" si="1"/>
        <v>#N/A</v>
      </c>
      <c r="V11" s="1568" t="s">
        <v>8</v>
      </c>
      <c r="W11" s="1569" t="e">
        <f t="shared" si="2"/>
        <v>#N/A</v>
      </c>
      <c r="X11" s="1570"/>
      <c r="Y11" s="3474"/>
      <c r="Z11" s="1150" t="str">
        <f t="shared" si="7"/>
        <v>容积率</v>
      </c>
      <c r="AA11" s="1571" t="e">
        <f t="shared" si="3"/>
        <v>#N/A</v>
      </c>
      <c r="AB11" s="1571" t="e">
        <f t="shared" si="4"/>
        <v>#N/A</v>
      </c>
      <c r="AC11" s="1571" t="e">
        <f t="shared" si="5"/>
        <v>#N/A</v>
      </c>
    </row>
    <row r="12" spans="1:29" s="1220" customFormat="1" ht="15">
      <c r="A12" s="2944"/>
      <c r="B12" s="2950">
        <v>111</v>
      </c>
      <c r="C12" s="531"/>
      <c r="D12" s="541">
        <v>100</v>
      </c>
      <c r="E12" s="531"/>
      <c r="F12" s="255">
        <f>SUMIF(71:71,E12,72:72)-SUMIF(71:71,C12,72:72)+100</f>
        <v>100</v>
      </c>
      <c r="G12" s="911"/>
      <c r="H12" s="255">
        <f>SUMIF(71:71,G12,72:72)-SUMIF(71:71,C12,72:72)+100</f>
        <v>100</v>
      </c>
      <c r="I12" s="531"/>
      <c r="J12" s="255">
        <f>SUMIF(71:71,I12,72:72)-SUMIF(71:71,C12,72:72)+100</f>
        <v>100</v>
      </c>
      <c r="K12" s="583"/>
      <c r="L12" s="2136"/>
      <c r="M12" s="2137"/>
      <c r="N12" s="2137"/>
      <c r="O12" s="2137"/>
      <c r="P12" s="3517"/>
      <c r="Q12" s="1151">
        <f t="shared" si="6"/>
        <v>111</v>
      </c>
      <c r="R12" s="1568" t="s">
        <v>8</v>
      </c>
      <c r="S12" s="1569">
        <f t="shared" si="0"/>
        <v>100</v>
      </c>
      <c r="T12" s="1568" t="s">
        <v>8</v>
      </c>
      <c r="U12" s="1569">
        <f t="shared" si="1"/>
        <v>100</v>
      </c>
      <c r="V12" s="1568" t="s">
        <v>8</v>
      </c>
      <c r="W12" s="1569">
        <f t="shared" si="2"/>
        <v>100</v>
      </c>
      <c r="X12" s="1570"/>
      <c r="Y12" s="3474"/>
      <c r="Z12" s="1150">
        <f t="shared" si="7"/>
        <v>111</v>
      </c>
      <c r="AA12" s="1571">
        <f>D12/F12</f>
        <v>1</v>
      </c>
      <c r="AB12" s="1571">
        <f>D12/H12</f>
        <v>1</v>
      </c>
      <c r="AC12" s="1571">
        <f>D12/J12</f>
        <v>1</v>
      </c>
    </row>
    <row r="13" spans="1:29" ht="15">
      <c r="A13" s="2944"/>
      <c r="B13" s="2950">
        <v>111</v>
      </c>
      <c r="C13" s="542"/>
      <c r="D13" s="543">
        <v>100</v>
      </c>
      <c r="E13" s="531"/>
      <c r="F13" s="255">
        <f>SUMIF(73:73,E13,74:74)-SUMIF(73:73,C13,74:74)+100</f>
        <v>100</v>
      </c>
      <c r="G13" s="911"/>
      <c r="H13" s="543">
        <f>SUMIF(73:73,G13,74:74)-SUMIF(73:73,C13,74:74)+100</f>
        <v>100</v>
      </c>
      <c r="I13" s="531"/>
      <c r="J13" s="543">
        <f>SUMIF(73:73,I13,74:74)-SUMIF(73:73,C13,74:74)+100</f>
        <v>100</v>
      </c>
      <c r="K13" s="583"/>
      <c r="L13" s="2143"/>
      <c r="M13" s="2135"/>
      <c r="N13" s="2135"/>
      <c r="O13" s="2135"/>
      <c r="P13" s="3517"/>
      <c r="Q13" s="1151">
        <f t="shared" si="6"/>
        <v>111</v>
      </c>
      <c r="R13" s="1568" t="s">
        <v>8</v>
      </c>
      <c r="S13" s="1569">
        <f t="shared" si="0"/>
        <v>100</v>
      </c>
      <c r="T13" s="1568" t="s">
        <v>8</v>
      </c>
      <c r="U13" s="1569">
        <f t="shared" si="1"/>
        <v>100</v>
      </c>
      <c r="V13" s="1568" t="s">
        <v>8</v>
      </c>
      <c r="W13" s="1569">
        <f t="shared" si="2"/>
        <v>100</v>
      </c>
      <c r="X13" s="1570"/>
      <c r="Y13" s="3474"/>
      <c r="Z13" s="1150">
        <f t="shared" si="7"/>
        <v>111</v>
      </c>
      <c r="AA13" s="1571">
        <f t="shared" si="3"/>
        <v>1</v>
      </c>
      <c r="AB13" s="1571">
        <f t="shared" si="4"/>
        <v>1</v>
      </c>
      <c r="AC13" s="1571">
        <f t="shared" si="5"/>
        <v>1</v>
      </c>
    </row>
    <row r="14" spans="1:29" ht="15.75" thickBot="1">
      <c r="A14" s="2945"/>
      <c r="B14" s="2951">
        <v>111</v>
      </c>
      <c r="C14" s="548"/>
      <c r="D14" s="549">
        <v>100</v>
      </c>
      <c r="E14" s="912"/>
      <c r="F14" s="549">
        <f>SUMIF(75:75,E14,76:76)-SUMIF(75:75,C14,76:76)+100</f>
        <v>100</v>
      </c>
      <c r="G14" s="911"/>
      <c r="H14" s="549">
        <f>SUMIF(75:75,G14,76:76)-SUMIF(75:75,C14,76:76)+100</f>
        <v>100</v>
      </c>
      <c r="I14" s="531"/>
      <c r="J14" s="549">
        <f>SUMIF(75:75,I14,76:76)-SUMIF(75:75,C14,76:76)+100</f>
        <v>100</v>
      </c>
      <c r="K14" s="583"/>
      <c r="L14" s="2143"/>
      <c r="M14" s="2135"/>
      <c r="N14" s="2135"/>
      <c r="O14" s="2135"/>
      <c r="P14" s="3517"/>
      <c r="Q14" s="1151">
        <f t="shared" si="6"/>
        <v>111</v>
      </c>
      <c r="R14" s="1568" t="s">
        <v>8</v>
      </c>
      <c r="S14" s="1569">
        <f t="shared" si="0"/>
        <v>100</v>
      </c>
      <c r="T14" s="1568" t="s">
        <v>8</v>
      </c>
      <c r="U14" s="1569">
        <f t="shared" si="1"/>
        <v>100</v>
      </c>
      <c r="V14" s="1568" t="s">
        <v>8</v>
      </c>
      <c r="W14" s="1569">
        <f t="shared" si="2"/>
        <v>100</v>
      </c>
      <c r="X14" s="1570"/>
      <c r="Y14" s="3474"/>
      <c r="Z14" s="1150">
        <f t="shared" si="7"/>
        <v>111</v>
      </c>
      <c r="AA14" s="1571">
        <f t="shared" si="3"/>
        <v>1</v>
      </c>
      <c r="AB14" s="1571">
        <f t="shared" si="4"/>
        <v>1</v>
      </c>
      <c r="AC14" s="1571">
        <f t="shared" si="5"/>
        <v>1</v>
      </c>
    </row>
    <row r="15" spans="1:29" ht="15">
      <c r="A15" s="2937" t="s">
        <v>2757</v>
      </c>
      <c r="B15" s="550" t="s">
        <v>543</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899"/>
      <c r="L15" s="2143"/>
      <c r="M15" s="2135"/>
      <c r="N15" s="2135"/>
      <c r="O15" s="2135"/>
      <c r="P15" s="3519" t="s">
        <v>541</v>
      </c>
      <c r="Q15" s="1572" t="str">
        <f t="shared" si="6"/>
        <v>办公集聚程度</v>
      </c>
      <c r="R15" s="1573" t="s">
        <v>8</v>
      </c>
      <c r="S15" s="1574">
        <f t="shared" si="0"/>
        <v>100</v>
      </c>
      <c r="T15" s="1573" t="s">
        <v>8</v>
      </c>
      <c r="U15" s="1574">
        <f t="shared" si="1"/>
        <v>100</v>
      </c>
      <c r="V15" s="1573" t="s">
        <v>8</v>
      </c>
      <c r="W15" s="1574">
        <f t="shared" si="2"/>
        <v>100</v>
      </c>
      <c r="X15" s="1567"/>
      <c r="Y15" s="3519" t="s">
        <v>541</v>
      </c>
      <c r="Z15" s="1575" t="str">
        <f t="shared" si="7"/>
        <v>办公集聚程度</v>
      </c>
      <c r="AA15" s="1576">
        <f t="shared" si="3"/>
        <v>1</v>
      </c>
      <c r="AB15" s="1576">
        <f t="shared" si="4"/>
        <v>1</v>
      </c>
      <c r="AC15" s="1576">
        <f t="shared" si="5"/>
        <v>1</v>
      </c>
    </row>
    <row r="16" spans="1:29" ht="15">
      <c r="A16" s="535"/>
      <c r="B16" s="556"/>
      <c r="C16" s="557"/>
      <c r="D16" s="558"/>
      <c r="E16" s="578"/>
      <c r="F16" s="558"/>
      <c r="G16" s="557"/>
      <c r="H16" s="562"/>
      <c r="I16" s="578"/>
      <c r="J16" s="558"/>
      <c r="K16" s="900"/>
      <c r="L16" s="2143"/>
      <c r="M16" s="2135"/>
      <c r="N16" s="2135"/>
      <c r="O16" s="2135"/>
      <c r="P16" s="3520"/>
      <c r="Q16" s="1572"/>
      <c r="R16" s="1573"/>
      <c r="S16" s="1574"/>
      <c r="T16" s="1573"/>
      <c r="U16" s="1574"/>
      <c r="V16" s="1573"/>
      <c r="W16" s="1574"/>
      <c r="X16" s="1567"/>
      <c r="Y16" s="3520"/>
      <c r="Z16" s="1575"/>
      <c r="AA16" s="1576">
        <v>1</v>
      </c>
      <c r="AB16" s="1576">
        <v>1</v>
      </c>
      <c r="AC16" s="1576">
        <v>1</v>
      </c>
    </row>
    <row r="17" spans="1:29" ht="71.25">
      <c r="A17" s="535"/>
      <c r="B17" s="563" t="s">
        <v>296</v>
      </c>
      <c r="C17" s="575" t="str">
        <f>估价对象房地状况!C6</f>
        <v>周边道路状况、公共交通通达情况、停车便捷程度（大理荒草坝机场</v>
      </c>
      <c r="D17" s="562">
        <v>100</v>
      </c>
      <c r="E17" s="566"/>
      <c r="F17" s="562">
        <f>SUMIF(79:79,E18,80:80)-SUMIF(79:79,C18,80:80)+100</f>
        <v>100</v>
      </c>
      <c r="G17" s="564"/>
      <c r="H17" s="567">
        <f>SUMIF(79:79,G18,80:80)-SUMIF(79:79,C18,80:80)+100</f>
        <v>100</v>
      </c>
      <c r="I17" s="564"/>
      <c r="J17" s="567">
        <f>SUMIF(79:79,I18,80:80)-SUMIF(79:79,C18,80:80)+100</f>
        <v>100</v>
      </c>
      <c r="K17" s="899"/>
      <c r="L17" s="2143"/>
      <c r="M17" s="2135"/>
      <c r="N17" s="2135"/>
      <c r="O17" s="2135"/>
      <c r="P17" s="3520"/>
      <c r="Q17" s="1572" t="str">
        <f>B17</f>
        <v>交通便捷度</v>
      </c>
      <c r="R17" s="1573" t="s">
        <v>8</v>
      </c>
      <c r="S17" s="1574">
        <f>F17</f>
        <v>100</v>
      </c>
      <c r="T17" s="1573" t="s">
        <v>8</v>
      </c>
      <c r="U17" s="1574">
        <f>H17</f>
        <v>100</v>
      </c>
      <c r="V17" s="1573" t="s">
        <v>8</v>
      </c>
      <c r="W17" s="1574">
        <f>J17</f>
        <v>100</v>
      </c>
      <c r="X17" s="1567"/>
      <c r="Y17" s="3520"/>
      <c r="Z17" s="1575" t="str">
        <f>Q17</f>
        <v>交通便捷度</v>
      </c>
      <c r="AA17" s="1576">
        <f t="shared" si="3"/>
        <v>1</v>
      </c>
      <c r="AB17" s="1576">
        <f t="shared" si="4"/>
        <v>1</v>
      </c>
      <c r="AC17" s="1576">
        <f t="shared" si="5"/>
        <v>1</v>
      </c>
    </row>
    <row r="18" spans="1:29" ht="15">
      <c r="A18" s="535"/>
      <c r="B18" s="568"/>
      <c r="C18" s="569"/>
      <c r="D18" s="562"/>
      <c r="E18" s="571"/>
      <c r="F18" s="562"/>
      <c r="G18" s="570"/>
      <c r="H18" s="558"/>
      <c r="I18" s="570"/>
      <c r="J18" s="558"/>
      <c r="K18" s="900"/>
      <c r="L18" s="2143"/>
      <c r="M18" s="2135"/>
      <c r="N18" s="2135"/>
      <c r="O18" s="2135"/>
      <c r="P18" s="3520"/>
      <c r="Q18" s="1572"/>
      <c r="R18" s="1573"/>
      <c r="S18" s="1574"/>
      <c r="T18" s="1573"/>
      <c r="U18" s="1574"/>
      <c r="V18" s="1573"/>
      <c r="W18" s="1574"/>
      <c r="X18" s="1567"/>
      <c r="Y18" s="3520"/>
      <c r="Z18" s="1575"/>
      <c r="AA18" s="1576">
        <v>1</v>
      </c>
      <c r="AB18" s="1576">
        <v>1</v>
      </c>
      <c r="AC18" s="1576">
        <v>1</v>
      </c>
    </row>
    <row r="19" spans="1:29" ht="42.75">
      <c r="A19" s="535"/>
      <c r="B19" s="2628" t="s">
        <v>2548</v>
      </c>
      <c r="C19" s="575" t="str">
        <f>估价对象房地状况!C7</f>
        <v>大理技师学院 与较成熟区域距离5-6公里</v>
      </c>
      <c r="D19" s="567">
        <v>100</v>
      </c>
      <c r="E19" s="574"/>
      <c r="F19" s="567">
        <f>SUMIF(81:81,E20,82:82)-SUMIF(81:81,C20,82:82)+100</f>
        <v>100</v>
      </c>
      <c r="G19" s="572"/>
      <c r="H19" s="562">
        <f>SUMIF(81:81,G20,82:82)-SUMIF(81:81,C20,82:82)+100</f>
        <v>100</v>
      </c>
      <c r="I19" s="572"/>
      <c r="J19" s="562">
        <f>SUMIF(81:81,I20,82:82)-SUMIF(81:81,C20,82:82)+100</f>
        <v>100</v>
      </c>
      <c r="K19" s="899"/>
      <c r="L19" s="2143"/>
      <c r="M19" s="2135"/>
      <c r="N19" s="2135"/>
      <c r="O19" s="2135"/>
      <c r="P19" s="3520"/>
      <c r="Q19" s="1572" t="str">
        <f>B19</f>
        <v>公共配套设施</v>
      </c>
      <c r="R19" s="1573" t="s">
        <v>8</v>
      </c>
      <c r="S19" s="1574">
        <f>F19</f>
        <v>100</v>
      </c>
      <c r="T19" s="1573" t="s">
        <v>8</v>
      </c>
      <c r="U19" s="1574">
        <f>H19</f>
        <v>100</v>
      </c>
      <c r="V19" s="1573" t="s">
        <v>8</v>
      </c>
      <c r="W19" s="1574">
        <f>J19</f>
        <v>100</v>
      </c>
      <c r="X19" s="1567"/>
      <c r="Y19" s="3520"/>
      <c r="Z19" s="1575" t="str">
        <f>Q19</f>
        <v>公共配套设施</v>
      </c>
      <c r="AA19" s="1576">
        <f t="shared" si="3"/>
        <v>1</v>
      </c>
      <c r="AB19" s="1576">
        <f t="shared" si="4"/>
        <v>1</v>
      </c>
      <c r="AC19" s="1576">
        <f t="shared" si="5"/>
        <v>1</v>
      </c>
    </row>
    <row r="20" spans="1:29" ht="15">
      <c r="A20" s="535"/>
      <c r="B20" s="568"/>
      <c r="C20" s="557"/>
      <c r="D20" s="558"/>
      <c r="E20" s="561"/>
      <c r="F20" s="558"/>
      <c r="G20" s="559"/>
      <c r="H20" s="558"/>
      <c r="I20" s="559"/>
      <c r="J20" s="558"/>
      <c r="K20" s="900"/>
      <c r="L20" s="2143"/>
      <c r="M20" s="2135"/>
      <c r="N20" s="2135"/>
      <c r="O20" s="2135"/>
      <c r="P20" s="3520"/>
      <c r="Q20" s="1572"/>
      <c r="R20" s="1573"/>
      <c r="S20" s="1574"/>
      <c r="T20" s="1573"/>
      <c r="U20" s="1574"/>
      <c r="V20" s="1573"/>
      <c r="W20" s="1574"/>
      <c r="X20" s="1567"/>
      <c r="Y20" s="3520"/>
      <c r="Z20" s="1575"/>
      <c r="AA20" s="1576">
        <v>1</v>
      </c>
      <c r="AB20" s="1576">
        <v>1</v>
      </c>
      <c r="AC20" s="1576">
        <v>1</v>
      </c>
    </row>
    <row r="21" spans="1:29" ht="15">
      <c r="A21" s="535"/>
      <c r="B21" s="2616" t="s">
        <v>2560</v>
      </c>
      <c r="C21" s="575">
        <f>估价对象房地状况!C8</f>
        <v>0</v>
      </c>
      <c r="D21" s="567">
        <v>100</v>
      </c>
      <c r="E21" s="574"/>
      <c r="F21" s="567">
        <f>SUMIF(83:83,E22,84:84)-SUMIF(83:83,C22,84:84)+100</f>
        <v>100</v>
      </c>
      <c r="G21" s="572"/>
      <c r="H21" s="567">
        <f>SUMIF(83:83,G22,84:84)-SUMIF(83:83,C22,84:84)+100</f>
        <v>100</v>
      </c>
      <c r="I21" s="572"/>
      <c r="J21" s="567">
        <f>SUMIF(83:83,I22,84:84)-SUMIF(83:83,C22,84:84)+100</f>
        <v>100</v>
      </c>
      <c r="K21" s="899"/>
      <c r="L21" s="2143"/>
      <c r="M21" s="2135"/>
      <c r="N21" s="2135"/>
      <c r="O21" s="2135"/>
      <c r="P21" s="3520"/>
      <c r="Q21" s="2604" t="str">
        <f>B21</f>
        <v>基础设施水平</v>
      </c>
      <c r="R21" s="1573" t="s">
        <v>8</v>
      </c>
      <c r="S21" s="1574">
        <f>F21</f>
        <v>100</v>
      </c>
      <c r="T21" s="1573" t="s">
        <v>8</v>
      </c>
      <c r="U21" s="1574">
        <f>H21</f>
        <v>100</v>
      </c>
      <c r="V21" s="1573" t="s">
        <v>8</v>
      </c>
      <c r="W21" s="1574">
        <f>J21</f>
        <v>100</v>
      </c>
      <c r="X21" s="2606"/>
      <c r="Y21" s="3520"/>
      <c r="Z21" s="2605" t="str">
        <f>Q21</f>
        <v>基础设施水平</v>
      </c>
      <c r="AA21" s="1576">
        <f t="shared" ref="AA21" si="8">D21/F21</f>
        <v>1</v>
      </c>
      <c r="AB21" s="1576">
        <f t="shared" ref="AB21" si="9">D21/H21</f>
        <v>1</v>
      </c>
      <c r="AC21" s="1576">
        <f t="shared" ref="AC21" si="10">D21/J21</f>
        <v>1</v>
      </c>
    </row>
    <row r="22" spans="1:29" ht="15">
      <c r="A22" s="535"/>
      <c r="B22" s="580"/>
      <c r="C22" s="569"/>
      <c r="D22" s="558"/>
      <c r="E22" s="578"/>
      <c r="F22" s="558"/>
      <c r="G22" s="557"/>
      <c r="H22" s="558"/>
      <c r="I22" s="557"/>
      <c r="J22" s="558"/>
      <c r="K22" s="2627"/>
      <c r="L22" s="2143"/>
      <c r="M22" s="2135"/>
      <c r="N22" s="2135"/>
      <c r="O22" s="2135"/>
      <c r="P22" s="3520"/>
      <c r="Q22" s="2604"/>
      <c r="R22" s="1573"/>
      <c r="S22" s="1574"/>
      <c r="T22" s="1573"/>
      <c r="U22" s="1574"/>
      <c r="V22" s="1573"/>
      <c r="W22" s="1574"/>
      <c r="X22" s="2606"/>
      <c r="Y22" s="3520"/>
      <c r="Z22" s="2605"/>
      <c r="AA22" s="1576">
        <v>1</v>
      </c>
      <c r="AB22" s="1576">
        <v>1</v>
      </c>
      <c r="AC22" s="1576">
        <v>1</v>
      </c>
    </row>
    <row r="23" spans="1:29" ht="15">
      <c r="A23" s="535"/>
      <c r="B23" s="563" t="s">
        <v>778</v>
      </c>
      <c r="C23" s="575" t="str">
        <f>估价对象房地状况!C9</f>
        <v>洱海</v>
      </c>
      <c r="D23" s="562">
        <v>100</v>
      </c>
      <c r="E23" s="566"/>
      <c r="F23" s="562">
        <f>SUMIF(85:85,E24,86:86)-SUMIF(85:85,C24,86:86)+100</f>
        <v>100</v>
      </c>
      <c r="G23" s="564"/>
      <c r="H23" s="562">
        <f>SUMIF(85:85,G24,86:86)-SUMIF(85:85,C24,86:86)+100</f>
        <v>100</v>
      </c>
      <c r="I23" s="564"/>
      <c r="J23" s="562">
        <f>SUMIF(85:85,I24,86:86)-SUMIF(85:85,C24,86:86)+100</f>
        <v>100</v>
      </c>
      <c r="K23" s="899"/>
      <c r="L23" s="2143"/>
      <c r="M23" s="2135"/>
      <c r="N23" s="2135"/>
      <c r="O23" s="2135"/>
      <c r="P23" s="3520"/>
      <c r="Q23" s="1572" t="str">
        <f>B23</f>
        <v>环境质量</v>
      </c>
      <c r="R23" s="1573" t="s">
        <v>8</v>
      </c>
      <c r="S23" s="1574">
        <f>F23</f>
        <v>100</v>
      </c>
      <c r="T23" s="1573" t="s">
        <v>8</v>
      </c>
      <c r="U23" s="1574">
        <f>H23</f>
        <v>100</v>
      </c>
      <c r="V23" s="1573" t="s">
        <v>8</v>
      </c>
      <c r="W23" s="1574">
        <f>J23</f>
        <v>100</v>
      </c>
      <c r="X23" s="1567"/>
      <c r="Y23" s="3520"/>
      <c r="Z23" s="1575" t="str">
        <f>Q23</f>
        <v>环境质量</v>
      </c>
      <c r="AA23" s="1576">
        <f t="shared" si="3"/>
        <v>1</v>
      </c>
      <c r="AB23" s="1576">
        <f t="shared" si="4"/>
        <v>1</v>
      </c>
      <c r="AC23" s="1576">
        <f t="shared" si="5"/>
        <v>1</v>
      </c>
    </row>
    <row r="24" spans="1:29" ht="15">
      <c r="A24" s="535"/>
      <c r="B24" s="580"/>
      <c r="C24" s="557"/>
      <c r="D24" s="558"/>
      <c r="E24" s="561"/>
      <c r="F24" s="558"/>
      <c r="G24" s="559"/>
      <c r="H24" s="558"/>
      <c r="I24" s="559"/>
      <c r="J24" s="558"/>
      <c r="K24" s="900"/>
      <c r="L24" s="2143"/>
      <c r="M24" s="2135"/>
      <c r="N24" s="2135"/>
      <c r="O24" s="2135"/>
      <c r="P24" s="3520"/>
      <c r="Q24" s="1572"/>
      <c r="R24" s="1573"/>
      <c r="S24" s="1574"/>
      <c r="T24" s="1573"/>
      <c r="U24" s="1574"/>
      <c r="V24" s="1573"/>
      <c r="W24" s="1574"/>
      <c r="X24" s="1567"/>
      <c r="Y24" s="3520"/>
      <c r="Z24" s="1575"/>
      <c r="AA24" s="1576">
        <v>1</v>
      </c>
      <c r="AB24" s="1576">
        <v>1</v>
      </c>
      <c r="AC24" s="1576">
        <v>1</v>
      </c>
    </row>
    <row r="25" spans="1:29" ht="27">
      <c r="A25" s="518"/>
      <c r="B25" s="563" t="s">
        <v>549</v>
      </c>
      <c r="C25" s="913"/>
      <c r="D25" s="543">
        <v>100</v>
      </c>
      <c r="E25" s="542"/>
      <c r="F25" s="543">
        <f>SUMIF(87:87,E26,88:88)-SUMIF(87:87,C26,88:88)+100</f>
        <v>100</v>
      </c>
      <c r="G25" s="913"/>
      <c r="H25" s="543">
        <f>SUMIF(87:87,G26,88:88)-SUMIF(87:87,C26,88:88)+100</f>
        <v>100</v>
      </c>
      <c r="I25" s="542"/>
      <c r="J25" s="543">
        <f>SUMIF(87:87,I26,88:88)-SUMIF(87:87,C26,88:88)+100</f>
        <v>100</v>
      </c>
      <c r="K25" s="899"/>
      <c r="L25" s="2143"/>
      <c r="M25" s="2135"/>
      <c r="N25" s="2135"/>
      <c r="O25" s="2135"/>
      <c r="P25" s="3520"/>
      <c r="Q25" s="1572" t="str">
        <f>B25</f>
        <v>毗邻道路的类型与等级</v>
      </c>
      <c r="R25" s="1573" t="s">
        <v>8</v>
      </c>
      <c r="S25" s="1574">
        <f>F25</f>
        <v>100</v>
      </c>
      <c r="T25" s="1573" t="s">
        <v>8</v>
      </c>
      <c r="U25" s="1574">
        <f>H25</f>
        <v>100</v>
      </c>
      <c r="V25" s="1573" t="s">
        <v>8</v>
      </c>
      <c r="W25" s="1574">
        <f>J25</f>
        <v>100</v>
      </c>
      <c r="X25" s="1567"/>
      <c r="Y25" s="3520"/>
      <c r="Z25" s="1575" t="str">
        <f>Q25</f>
        <v>毗邻道路的类型与等级</v>
      </c>
      <c r="AA25" s="1576">
        <f t="shared" si="3"/>
        <v>1</v>
      </c>
      <c r="AB25" s="1576">
        <f t="shared" si="4"/>
        <v>1</v>
      </c>
      <c r="AC25" s="1576">
        <f t="shared" si="5"/>
        <v>1</v>
      </c>
    </row>
    <row r="26" spans="1:29" ht="15">
      <c r="A26" s="518"/>
      <c r="B26" s="568"/>
      <c r="C26" s="582"/>
      <c r="D26" s="543"/>
      <c r="E26" s="585"/>
      <c r="F26" s="543"/>
      <c r="G26" s="582"/>
      <c r="H26" s="543"/>
      <c r="I26" s="585"/>
      <c r="J26" s="543"/>
      <c r="K26" s="900"/>
      <c r="L26" s="2143"/>
      <c r="M26" s="2135"/>
      <c r="N26" s="2135"/>
      <c r="O26" s="2135"/>
      <c r="P26" s="3520"/>
      <c r="Q26" s="1572"/>
      <c r="R26" s="1573"/>
      <c r="S26" s="1574"/>
      <c r="T26" s="1573"/>
      <c r="U26" s="1574"/>
      <c r="V26" s="1573"/>
      <c r="W26" s="1574"/>
      <c r="X26" s="1567"/>
      <c r="Y26" s="3520"/>
      <c r="Z26" s="1575"/>
      <c r="AA26" s="1576">
        <v>1</v>
      </c>
      <c r="AB26" s="1576">
        <v>1</v>
      </c>
      <c r="AC26" s="1576">
        <v>1</v>
      </c>
    </row>
    <row r="27" spans="1:29" ht="15">
      <c r="A27" s="535"/>
      <c r="B27" s="568" t="s">
        <v>761</v>
      </c>
      <c r="C27" s="582"/>
      <c r="D27" s="543">
        <v>100</v>
      </c>
      <c r="E27" s="585"/>
      <c r="F27" s="543">
        <f>SUMIF(89:89,E27,90:90)-SUMIF(89:89,C27,90:90)+100</f>
        <v>100</v>
      </c>
      <c r="G27" s="582"/>
      <c r="H27" s="543">
        <f>SUMIF(89:89,G27,90:90)-SUMIF(89:89,C27,90:90)+100</f>
        <v>100</v>
      </c>
      <c r="I27" s="585"/>
      <c r="J27" s="543">
        <f>SUMIF(89:89,I27,90:90)-SUMIF(89:89,C27,90:90)+100</f>
        <v>100</v>
      </c>
      <c r="K27" s="586"/>
      <c r="L27" s="2143"/>
      <c r="M27" s="2135"/>
      <c r="N27" s="2135"/>
      <c r="O27" s="2135"/>
      <c r="P27" s="3520"/>
      <c r="Q27" s="1572" t="str">
        <f t="shared" ref="Q27:Q47" si="11">B27</f>
        <v>楼层</v>
      </c>
      <c r="R27" s="1573" t="s">
        <v>8</v>
      </c>
      <c r="S27" s="1574">
        <f>F27</f>
        <v>100</v>
      </c>
      <c r="T27" s="1573" t="s">
        <v>8</v>
      </c>
      <c r="U27" s="1574">
        <f>H27</f>
        <v>100</v>
      </c>
      <c r="V27" s="1573" t="s">
        <v>8</v>
      </c>
      <c r="W27" s="1574">
        <f>J27</f>
        <v>100</v>
      </c>
      <c r="X27" s="1567"/>
      <c r="Y27" s="3520"/>
      <c r="Z27" s="1575" t="str">
        <f>Q27</f>
        <v>楼层</v>
      </c>
      <c r="AA27" s="1576">
        <f t="shared" si="3"/>
        <v>1</v>
      </c>
      <c r="AB27" s="1576">
        <f t="shared" si="4"/>
        <v>1</v>
      </c>
      <c r="AC27" s="1576">
        <f t="shared" si="5"/>
        <v>1</v>
      </c>
    </row>
    <row r="28" spans="1:29" s="1220" customFormat="1" ht="15">
      <c r="A28" s="539"/>
      <c r="B28" s="563" t="s">
        <v>779</v>
      </c>
      <c r="C28" s="914"/>
      <c r="D28" s="877">
        <v>100</v>
      </c>
      <c r="E28" s="902"/>
      <c r="F28" s="877">
        <f>SUMIF(91:91,E28,92:92)-SUMIF(91:91,C28,92:92)+100</f>
        <v>100</v>
      </c>
      <c r="G28" s="914"/>
      <c r="H28" s="877">
        <f>SUMIF(91:91,G28,92:92)-SUMIF(91:91,C28,92:92)+100</f>
        <v>100</v>
      </c>
      <c r="I28" s="902"/>
      <c r="J28" s="877">
        <f>SUMIF(91:91,I28,92:92)-SUMIF(91:91,C28,92:92)+100</f>
        <v>100</v>
      </c>
      <c r="K28" s="586"/>
      <c r="L28" s="2136"/>
      <c r="M28" s="2137"/>
      <c r="N28" s="2137"/>
      <c r="O28" s="2137"/>
      <c r="P28" s="3520"/>
      <c r="Q28" s="1151" t="str">
        <f t="shared" si="11"/>
        <v>朝向</v>
      </c>
      <c r="R28" s="1568" t="s">
        <v>8</v>
      </c>
      <c r="S28" s="1569">
        <f>F28</f>
        <v>100</v>
      </c>
      <c r="T28" s="1568" t="s">
        <v>8</v>
      </c>
      <c r="U28" s="1569">
        <f>H28</f>
        <v>100</v>
      </c>
      <c r="V28" s="1568" t="s">
        <v>8</v>
      </c>
      <c r="W28" s="1569">
        <f>J28</f>
        <v>100</v>
      </c>
      <c r="X28" s="1570"/>
      <c r="Y28" s="3520"/>
      <c r="Z28" s="1150" t="str">
        <f>Q28</f>
        <v>朝向</v>
      </c>
      <c r="AA28" s="1576">
        <f>D28/F28</f>
        <v>1</v>
      </c>
      <c r="AB28" s="1576">
        <f>D28/H28</f>
        <v>1</v>
      </c>
      <c r="AC28" s="1576">
        <f>D28/J28</f>
        <v>1</v>
      </c>
    </row>
    <row r="29" spans="1:29" ht="15">
      <c r="A29" s="535"/>
      <c r="B29" s="587">
        <v>111</v>
      </c>
      <c r="C29" s="913"/>
      <c r="D29" s="543">
        <v>100</v>
      </c>
      <c r="E29" s="531"/>
      <c r="F29" s="543">
        <f>SUMIF(93:93,E29,94:94)-SUMIF(93:93,C29,94:94)+100</f>
        <v>100</v>
      </c>
      <c r="G29" s="911"/>
      <c r="H29" s="543">
        <f>SUMIF(93:93,G29,94:94)-SUMIF(93:93,C29,94:94)+100</f>
        <v>100</v>
      </c>
      <c r="I29" s="531"/>
      <c r="J29" s="543">
        <f>SUMIF(93:93,I29,94:94)-SUMIF(93:93,C29,94:94)+100</f>
        <v>100</v>
      </c>
      <c r="K29" s="583"/>
      <c r="L29" s="2143"/>
      <c r="M29" s="2135"/>
      <c r="N29" s="2135"/>
      <c r="O29" s="2135"/>
      <c r="P29" s="3520"/>
      <c r="Q29" s="1572">
        <f t="shared" si="11"/>
        <v>111</v>
      </c>
      <c r="R29" s="1573" t="s">
        <v>8</v>
      </c>
      <c r="S29" s="1574">
        <f t="shared" ref="S29:S47" si="12">F29</f>
        <v>100</v>
      </c>
      <c r="T29" s="1573" t="s">
        <v>8</v>
      </c>
      <c r="U29" s="1574">
        <f t="shared" ref="U29:U47" si="13">H29</f>
        <v>100</v>
      </c>
      <c r="V29" s="1573" t="s">
        <v>8</v>
      </c>
      <c r="W29" s="1574">
        <f t="shared" ref="W29:W47" si="14">J29</f>
        <v>100</v>
      </c>
      <c r="X29" s="1567"/>
      <c r="Y29" s="3520"/>
      <c r="Z29" s="1575">
        <f t="shared" ref="Z29:Z47" si="15">Q29</f>
        <v>111</v>
      </c>
      <c r="AA29" s="1576">
        <f t="shared" si="3"/>
        <v>1</v>
      </c>
      <c r="AB29" s="1576">
        <f t="shared" si="4"/>
        <v>1</v>
      </c>
      <c r="AC29" s="1576">
        <f t="shared" si="5"/>
        <v>1</v>
      </c>
    </row>
    <row r="30" spans="1:29" ht="15">
      <c r="A30" s="535"/>
      <c r="B30" s="587">
        <v>111</v>
      </c>
      <c r="C30" s="913"/>
      <c r="D30" s="543">
        <v>100</v>
      </c>
      <c r="E30" s="531"/>
      <c r="F30" s="543">
        <f>SUMIF(95:95,E30,96:96)-SUMIF(95:95,C30,96:96)+100</f>
        <v>100</v>
      </c>
      <c r="G30" s="911"/>
      <c r="H30" s="543">
        <f>SUMIF(95:95,G30,96:96)-SUMIF(95:95,C30,96:96)+100</f>
        <v>100</v>
      </c>
      <c r="I30" s="531"/>
      <c r="J30" s="543">
        <f>SUMIF(95:95,I30,96:96)-SUMIF(95:95,C30,96:96)+100</f>
        <v>100</v>
      </c>
      <c r="K30" s="583"/>
      <c r="L30" s="2143"/>
      <c r="M30" s="2135"/>
      <c r="N30" s="2135"/>
      <c r="O30" s="2135"/>
      <c r="P30" s="3520"/>
      <c r="Q30" s="1572">
        <f t="shared" si="11"/>
        <v>111</v>
      </c>
      <c r="R30" s="1573" t="s">
        <v>8</v>
      </c>
      <c r="S30" s="1574">
        <f t="shared" si="12"/>
        <v>100</v>
      </c>
      <c r="T30" s="1573" t="s">
        <v>8</v>
      </c>
      <c r="U30" s="1574">
        <f t="shared" si="13"/>
        <v>100</v>
      </c>
      <c r="V30" s="1573" t="s">
        <v>8</v>
      </c>
      <c r="W30" s="1574">
        <f t="shared" si="14"/>
        <v>100</v>
      </c>
      <c r="X30" s="1567"/>
      <c r="Y30" s="3520"/>
      <c r="Z30" s="1575">
        <f t="shared" si="15"/>
        <v>111</v>
      </c>
      <c r="AA30" s="1576">
        <f t="shared" si="3"/>
        <v>1</v>
      </c>
      <c r="AB30" s="1576">
        <f t="shared" si="4"/>
        <v>1</v>
      </c>
      <c r="AC30" s="1576">
        <f t="shared" si="5"/>
        <v>1</v>
      </c>
    </row>
    <row r="31" spans="1:29" ht="15">
      <c r="A31" s="535"/>
      <c r="B31" s="587">
        <v>111</v>
      </c>
      <c r="C31" s="913"/>
      <c r="D31" s="543">
        <v>100</v>
      </c>
      <c r="E31" s="531"/>
      <c r="F31" s="543">
        <f>SUMIF(97:97,E31,98:98)-SUMIF(97:97,C31,98:98)+100</f>
        <v>100</v>
      </c>
      <c r="G31" s="911"/>
      <c r="H31" s="543">
        <f>SUMIF(97:97,G31,98:98)-SUMIF(97:97,C31,98:98)+100</f>
        <v>100</v>
      </c>
      <c r="I31" s="531"/>
      <c r="J31" s="543">
        <f>SUMIF(97:97,I31,98:98)-SUMIF(97:97,C31,98:98)+100</f>
        <v>100</v>
      </c>
      <c r="K31" s="583"/>
      <c r="L31" s="2143"/>
      <c r="M31" s="2135"/>
      <c r="N31" s="2135"/>
      <c r="O31" s="2135"/>
      <c r="P31" s="3520"/>
      <c r="Q31" s="1572">
        <f t="shared" si="11"/>
        <v>111</v>
      </c>
      <c r="R31" s="1573" t="s">
        <v>8</v>
      </c>
      <c r="S31" s="1574">
        <f t="shared" si="12"/>
        <v>100</v>
      </c>
      <c r="T31" s="1573" t="s">
        <v>8</v>
      </c>
      <c r="U31" s="1574">
        <f t="shared" si="13"/>
        <v>100</v>
      </c>
      <c r="V31" s="1573" t="s">
        <v>8</v>
      </c>
      <c r="W31" s="1574">
        <f t="shared" si="14"/>
        <v>100</v>
      </c>
      <c r="X31" s="1567"/>
      <c r="Y31" s="3520"/>
      <c r="Z31" s="1575">
        <f t="shared" si="15"/>
        <v>111</v>
      </c>
      <c r="AA31" s="1576">
        <f t="shared" si="3"/>
        <v>1</v>
      </c>
      <c r="AB31" s="1576">
        <f t="shared" si="4"/>
        <v>1</v>
      </c>
      <c r="AC31" s="1576">
        <f t="shared" si="5"/>
        <v>1</v>
      </c>
    </row>
    <row r="32" spans="1:29" ht="15.75" thickBot="1">
      <c r="A32" s="546"/>
      <c r="B32" s="915">
        <v>111</v>
      </c>
      <c r="C32" s="916"/>
      <c r="D32" s="549">
        <v>100</v>
      </c>
      <c r="E32" s="912"/>
      <c r="F32" s="549">
        <f>SUMIF(99:99,E32,100:100)-SUMIF(99:99,C32,100:100)+100</f>
        <v>100</v>
      </c>
      <c r="G32" s="911"/>
      <c r="H32" s="549">
        <f>SUMIF(99:99,G32,100:100)-SUMIF(99:99,C32,100:100)+100</f>
        <v>100</v>
      </c>
      <c r="I32" s="531"/>
      <c r="J32" s="549">
        <f>SUMIF(99:99,I32,100:100)-SUMIF(99:99,C32,100:100)+100</f>
        <v>100</v>
      </c>
      <c r="K32" s="583"/>
      <c r="L32" s="2143"/>
      <c r="M32" s="2135"/>
      <c r="N32" s="2135"/>
      <c r="O32" s="2135"/>
      <c r="P32" s="3520"/>
      <c r="Q32" s="1572">
        <f t="shared" si="11"/>
        <v>111</v>
      </c>
      <c r="R32" s="1573" t="s">
        <v>8</v>
      </c>
      <c r="S32" s="1574">
        <f t="shared" si="12"/>
        <v>100</v>
      </c>
      <c r="T32" s="1573" t="s">
        <v>8</v>
      </c>
      <c r="U32" s="1574">
        <f t="shared" si="13"/>
        <v>100</v>
      </c>
      <c r="V32" s="1573" t="s">
        <v>8</v>
      </c>
      <c r="W32" s="1574">
        <f t="shared" si="14"/>
        <v>100</v>
      </c>
      <c r="X32" s="1567"/>
      <c r="Y32" s="3520"/>
      <c r="Z32" s="1575">
        <f t="shared" si="15"/>
        <v>111</v>
      </c>
      <c r="AA32" s="1576">
        <f t="shared" si="3"/>
        <v>1</v>
      </c>
      <c r="AB32" s="1576">
        <f t="shared" si="4"/>
        <v>1</v>
      </c>
      <c r="AC32" s="1576">
        <f t="shared" si="5"/>
        <v>1</v>
      </c>
    </row>
    <row r="33" spans="1:29" ht="15">
      <c r="A33" s="2934" t="s">
        <v>2758</v>
      </c>
      <c r="B33" s="172" t="s">
        <v>780</v>
      </c>
      <c r="C33" s="917"/>
      <c r="D33" s="599">
        <v>100</v>
      </c>
      <c r="E33" s="917"/>
      <c r="F33" s="577">
        <f>SUMIF(101:101,E33,102:102)-SUMIF(101:101,C33,102:102)+100</f>
        <v>100</v>
      </c>
      <c r="G33" s="917"/>
      <c r="H33" s="543">
        <f>SUMIF(101:101,G33,102:102)-SUMIF(101:101,C33,102:102)+100</f>
        <v>100</v>
      </c>
      <c r="I33" s="917"/>
      <c r="J33" s="599">
        <f>SUMIF(101:101,I33,102:102)-SUMIF(101:101,C33,102:102)+100</f>
        <v>100</v>
      </c>
      <c r="K33" s="586"/>
      <c r="L33" s="2143"/>
      <c r="M33" s="2135"/>
      <c r="N33" s="2135"/>
      <c r="O33" s="2135"/>
      <c r="P33" s="3521" t="s">
        <v>551</v>
      </c>
      <c r="Q33" s="1572" t="str">
        <f t="shared" si="11"/>
        <v>建筑类型</v>
      </c>
      <c r="R33" s="1573" t="s">
        <v>8</v>
      </c>
      <c r="S33" s="1574">
        <f t="shared" si="12"/>
        <v>100</v>
      </c>
      <c r="T33" s="1573" t="s">
        <v>8</v>
      </c>
      <c r="U33" s="1574">
        <f t="shared" si="13"/>
        <v>100</v>
      </c>
      <c r="V33" s="1573" t="s">
        <v>8</v>
      </c>
      <c r="W33" s="1574">
        <f t="shared" si="14"/>
        <v>100</v>
      </c>
      <c r="X33" s="1567"/>
      <c r="Y33" s="3522" t="s">
        <v>551</v>
      </c>
      <c r="Z33" s="1575" t="str">
        <f t="shared" si="15"/>
        <v>建筑类型</v>
      </c>
      <c r="AA33" s="1576">
        <f t="shared" si="3"/>
        <v>1</v>
      </c>
      <c r="AB33" s="1576">
        <f t="shared" si="4"/>
        <v>1</v>
      </c>
      <c r="AC33" s="1576">
        <f t="shared" si="5"/>
        <v>1</v>
      </c>
    </row>
    <row r="34" spans="1:29" s="1339" customFormat="1" ht="15">
      <c r="A34" s="605"/>
      <c r="B34" s="530" t="s">
        <v>726</v>
      </c>
      <c r="C34" s="881"/>
      <c r="D34" s="255">
        <v>100</v>
      </c>
      <c r="E34" s="537"/>
      <c r="F34" s="865" t="e">
        <f>LOOKUP(E34,104:104,105:105)-LOOKUP(C34,104:104,105:105)+100</f>
        <v>#N/A</v>
      </c>
      <c r="G34" s="536"/>
      <c r="H34" s="255" t="e">
        <f>LOOKUP(G34,104:104,105:105)-LOOKUP(C34,104:104,105:105)+100</f>
        <v>#N/A</v>
      </c>
      <c r="I34" s="536"/>
      <c r="J34" s="255" t="e">
        <f>LOOKUP(I34,104:104,105:105)-LOOKUP(C34,104:104,105:105)+100</f>
        <v>#N/A</v>
      </c>
      <c r="K34" s="583"/>
      <c r="L34" s="2141"/>
      <c r="M34" s="2172"/>
      <c r="N34" s="2172"/>
      <c r="O34" s="2172"/>
      <c r="P34" s="3522"/>
      <c r="Q34" s="1605" t="str">
        <f t="shared" si="11"/>
        <v>项目建筑规模</v>
      </c>
      <c r="R34" s="1577" t="s">
        <v>8</v>
      </c>
      <c r="S34" s="1578" t="e">
        <f t="shared" si="12"/>
        <v>#N/A</v>
      </c>
      <c r="T34" s="1577" t="s">
        <v>8</v>
      </c>
      <c r="U34" s="1578" t="e">
        <f t="shared" si="13"/>
        <v>#N/A</v>
      </c>
      <c r="V34" s="1577" t="s">
        <v>8</v>
      </c>
      <c r="W34" s="1578" t="e">
        <f t="shared" si="14"/>
        <v>#N/A</v>
      </c>
      <c r="X34" s="1579"/>
      <c r="Y34" s="3522"/>
      <c r="Z34" s="1580" t="str">
        <f t="shared" si="15"/>
        <v>项目建筑规模</v>
      </c>
      <c r="AA34" s="1576" t="e">
        <f t="shared" si="3"/>
        <v>#N/A</v>
      </c>
      <c r="AB34" s="1576" t="e">
        <f t="shared" si="4"/>
        <v>#N/A</v>
      </c>
      <c r="AC34" s="1576" t="e">
        <f t="shared" si="5"/>
        <v>#N/A</v>
      </c>
    </row>
    <row r="35" spans="1:29" ht="15">
      <c r="A35" s="596"/>
      <c r="B35" s="530" t="s">
        <v>727</v>
      </c>
      <c r="C35" s="576"/>
      <c r="D35" s="543">
        <v>100</v>
      </c>
      <c r="E35" s="576"/>
      <c r="F35" s="577">
        <f>SUMIF(106:106,E35,107:107)-SUMIF(106:106,C35,107:107)+100</f>
        <v>100</v>
      </c>
      <c r="G35" s="576"/>
      <c r="H35" s="543">
        <f>SUMIF(106:106,G35,107:107)-SUMIF(106:106,C35,107:107)+100</f>
        <v>100</v>
      </c>
      <c r="I35" s="576"/>
      <c r="J35" s="543">
        <f>SUMIF(106:106,I35,107:107)-SUMIF(106:106,C35,107:107)+100</f>
        <v>100</v>
      </c>
      <c r="K35" s="586"/>
      <c r="L35" s="2143"/>
      <c r="M35" s="2135"/>
      <c r="N35" s="2135"/>
      <c r="O35" s="2135"/>
      <c r="P35" s="3522"/>
      <c r="Q35" s="1572" t="str">
        <f t="shared" si="11"/>
        <v>建筑结构</v>
      </c>
      <c r="R35" s="1573" t="s">
        <v>8</v>
      </c>
      <c r="S35" s="1574">
        <f t="shared" si="12"/>
        <v>100</v>
      </c>
      <c r="T35" s="1573" t="s">
        <v>8</v>
      </c>
      <c r="U35" s="1574">
        <f t="shared" si="13"/>
        <v>100</v>
      </c>
      <c r="V35" s="1573" t="s">
        <v>8</v>
      </c>
      <c r="W35" s="1574">
        <f t="shared" si="14"/>
        <v>100</v>
      </c>
      <c r="X35" s="1567"/>
      <c r="Y35" s="3522"/>
      <c r="Z35" s="1575" t="str">
        <f t="shared" si="15"/>
        <v>建筑结构</v>
      </c>
      <c r="AA35" s="1576">
        <f t="shared" si="3"/>
        <v>1</v>
      </c>
      <c r="AB35" s="1576">
        <f t="shared" si="4"/>
        <v>1</v>
      </c>
      <c r="AC35" s="1576">
        <f t="shared" si="5"/>
        <v>1</v>
      </c>
    </row>
    <row r="36" spans="1:29" ht="15">
      <c r="A36" s="596"/>
      <c r="B36" s="530" t="s">
        <v>763</v>
      </c>
      <c r="C36" s="576"/>
      <c r="D36" s="543">
        <v>100</v>
      </c>
      <c r="E36" s="576"/>
      <c r="F36" s="577">
        <f>SUMIF(108:108,E36,109:109)-SUMIF(108:108,C36,109:109)+100</f>
        <v>100</v>
      </c>
      <c r="G36" s="576"/>
      <c r="H36" s="543">
        <f>SUMIF(108:108,G36,109:109)-SUMIF(108:108,C36,109:109)+100</f>
        <v>100</v>
      </c>
      <c r="I36" s="576"/>
      <c r="J36" s="543">
        <f>SUMIF(108:108,I36,109:109)-SUMIF(108:108,C36,109:109)+100</f>
        <v>100</v>
      </c>
      <c r="K36" s="586"/>
      <c r="L36" s="2143"/>
      <c r="M36" s="2135"/>
      <c r="N36" s="2135"/>
      <c r="O36" s="2135"/>
      <c r="P36" s="3522"/>
      <c r="Q36" s="1572" t="str">
        <f t="shared" si="11"/>
        <v>公共部分装修</v>
      </c>
      <c r="R36" s="1573" t="s">
        <v>8</v>
      </c>
      <c r="S36" s="1574">
        <f t="shared" si="12"/>
        <v>100</v>
      </c>
      <c r="T36" s="1573" t="s">
        <v>8</v>
      </c>
      <c r="U36" s="1574">
        <f t="shared" si="13"/>
        <v>100</v>
      </c>
      <c r="V36" s="1573" t="s">
        <v>8</v>
      </c>
      <c r="W36" s="1574">
        <f t="shared" si="14"/>
        <v>100</v>
      </c>
      <c r="X36" s="1567"/>
      <c r="Y36" s="3522"/>
      <c r="Z36" s="1575" t="str">
        <f t="shared" si="15"/>
        <v>公共部分装修</v>
      </c>
      <c r="AA36" s="1576">
        <f t="shared" si="3"/>
        <v>1</v>
      </c>
      <c r="AB36" s="1576">
        <f t="shared" si="4"/>
        <v>1</v>
      </c>
      <c r="AC36" s="1576">
        <f t="shared" si="5"/>
        <v>1</v>
      </c>
    </row>
    <row r="37" spans="1:29" ht="15">
      <c r="A37" s="596"/>
      <c r="B37" s="530" t="s">
        <v>764</v>
      </c>
      <c r="C37" s="884"/>
      <c r="D37" s="543">
        <v>100</v>
      </c>
      <c r="E37" s="884"/>
      <c r="F37" s="577" t="e">
        <f>LOOKUP(E37,111:111,112:112)-LOOKUP(C37,111:111,112:112)+100</f>
        <v>#N/A</v>
      </c>
      <c r="G37" s="884"/>
      <c r="H37" s="577" t="e">
        <f>LOOKUP(G37,111:111,112:112)-LOOKUP(C37,111:111,112:112)+100</f>
        <v>#N/A</v>
      </c>
      <c r="I37" s="884"/>
      <c r="J37" s="543" t="e">
        <f>LOOKUP(I37,111:111,112:112)-LOOKUP(C37,111:111,112:112)+100</f>
        <v>#N/A</v>
      </c>
      <c r="K37" s="586"/>
      <c r="L37" s="2143"/>
      <c r="M37" s="2135"/>
      <c r="N37" s="2135"/>
      <c r="O37" s="2135"/>
      <c r="P37" s="3522"/>
      <c r="Q37" s="1572" t="str">
        <f t="shared" si="11"/>
        <v>成新度</v>
      </c>
      <c r="R37" s="1573" t="s">
        <v>8</v>
      </c>
      <c r="S37" s="1574" t="e">
        <f t="shared" si="12"/>
        <v>#N/A</v>
      </c>
      <c r="T37" s="1573" t="s">
        <v>8</v>
      </c>
      <c r="U37" s="1574" t="e">
        <f t="shared" si="13"/>
        <v>#N/A</v>
      </c>
      <c r="V37" s="1573" t="s">
        <v>8</v>
      </c>
      <c r="W37" s="1574" t="e">
        <f t="shared" si="14"/>
        <v>#N/A</v>
      </c>
      <c r="X37" s="1567"/>
      <c r="Y37" s="3522"/>
      <c r="Z37" s="1575" t="str">
        <f t="shared" si="15"/>
        <v>成新度</v>
      </c>
      <c r="AA37" s="1576" t="e">
        <f t="shared" si="3"/>
        <v>#N/A</v>
      </c>
      <c r="AB37" s="1576" t="e">
        <f t="shared" si="4"/>
        <v>#N/A</v>
      </c>
      <c r="AC37" s="1576" t="e">
        <f t="shared" si="5"/>
        <v>#N/A</v>
      </c>
    </row>
    <row r="38" spans="1:29" s="1220" customFormat="1" ht="15">
      <c r="A38" s="602"/>
      <c r="B38" s="530" t="s">
        <v>781</v>
      </c>
      <c r="C38" s="576"/>
      <c r="D38" s="255">
        <v>100</v>
      </c>
      <c r="E38" s="576"/>
      <c r="F38" s="577">
        <f>SUMIF(113:113,E38,114:114)-SUMIF(113:113,C38,114:114)+100</f>
        <v>100</v>
      </c>
      <c r="G38" s="576"/>
      <c r="H38" s="543">
        <f>SUMIF(113:113,G38,114:114)-SUMIF(113:113,C38,114:114)+100</f>
        <v>100</v>
      </c>
      <c r="I38" s="576"/>
      <c r="J38" s="543">
        <f>SUMIF(113:113,I38,114:114)-SUMIF(113:113,C38,114:114)+100</f>
        <v>100</v>
      </c>
      <c r="K38" s="586"/>
      <c r="L38" s="2136"/>
      <c r="M38" s="2137"/>
      <c r="N38" s="2137"/>
      <c r="O38" s="2137"/>
      <c r="P38" s="3522"/>
      <c r="Q38" s="1151" t="str">
        <f t="shared" si="11"/>
        <v>写字楼等级</v>
      </c>
      <c r="R38" s="1568" t="s">
        <v>8</v>
      </c>
      <c r="S38" s="1569">
        <f t="shared" si="12"/>
        <v>100</v>
      </c>
      <c r="T38" s="1568" t="s">
        <v>8</v>
      </c>
      <c r="U38" s="1569">
        <f t="shared" si="13"/>
        <v>100</v>
      </c>
      <c r="V38" s="1568" t="s">
        <v>8</v>
      </c>
      <c r="W38" s="1569">
        <f t="shared" si="14"/>
        <v>100</v>
      </c>
      <c r="X38" s="1570"/>
      <c r="Y38" s="3522"/>
      <c r="Z38" s="1150" t="str">
        <f t="shared" si="15"/>
        <v>写字楼等级</v>
      </c>
      <c r="AA38" s="1571">
        <f t="shared" si="3"/>
        <v>1</v>
      </c>
      <c r="AB38" s="1571">
        <f t="shared" si="4"/>
        <v>1</v>
      </c>
      <c r="AC38" s="1571">
        <f t="shared" si="5"/>
        <v>1</v>
      </c>
    </row>
    <row r="39" spans="1:29" ht="15">
      <c r="A39" s="596"/>
      <c r="B39" s="530" t="s">
        <v>782</v>
      </c>
      <c r="C39" s="576"/>
      <c r="D39" s="543">
        <v>100</v>
      </c>
      <c r="E39" s="576"/>
      <c r="F39" s="577">
        <f>SUMIF(115:115,E39,116:116)-SUMIF(115:115,C39,116:116)+100</f>
        <v>100</v>
      </c>
      <c r="G39" s="576"/>
      <c r="H39" s="543">
        <f>SUMIF(115:115,G39,116:116)-SUMIF(115:115,C39,116:116)+100</f>
        <v>100</v>
      </c>
      <c r="I39" s="576"/>
      <c r="J39" s="543">
        <f>SUMIF(115:115,I39,116:116)-SUMIF(115:115,C39,116:116)+100</f>
        <v>100</v>
      </c>
      <c r="K39" s="586"/>
      <c r="L39" s="2143"/>
      <c r="M39" s="2135"/>
      <c r="N39" s="2135"/>
      <c r="O39" s="2135"/>
      <c r="P39" s="3522" t="s">
        <v>551</v>
      </c>
      <c r="Q39" s="1572" t="str">
        <f t="shared" si="11"/>
        <v>物业管理</v>
      </c>
      <c r="R39" s="1573" t="s">
        <v>8</v>
      </c>
      <c r="S39" s="1574">
        <f t="shared" si="12"/>
        <v>100</v>
      </c>
      <c r="T39" s="1573" t="s">
        <v>8</v>
      </c>
      <c r="U39" s="1574">
        <f t="shared" si="13"/>
        <v>100</v>
      </c>
      <c r="V39" s="1573" t="s">
        <v>8</v>
      </c>
      <c r="W39" s="1574">
        <f t="shared" si="14"/>
        <v>100</v>
      </c>
      <c r="X39" s="1567"/>
      <c r="Y39" s="3522" t="s">
        <v>551</v>
      </c>
      <c r="Z39" s="1575" t="str">
        <f t="shared" si="15"/>
        <v>物业管理</v>
      </c>
      <c r="AA39" s="1576">
        <f t="shared" si="3"/>
        <v>1</v>
      </c>
      <c r="AB39" s="1576">
        <f t="shared" si="4"/>
        <v>1</v>
      </c>
      <c r="AC39" s="1576">
        <f t="shared" si="5"/>
        <v>1</v>
      </c>
    </row>
    <row r="40" spans="1:29" ht="15">
      <c r="A40" s="596"/>
      <c r="B40" s="1896" t="s">
        <v>2567</v>
      </c>
      <c r="C40" s="576"/>
      <c r="D40" s="543">
        <v>100</v>
      </c>
      <c r="E40" s="576"/>
      <c r="F40" s="577">
        <f>SUMIF(117:117,E40,118:118)-SUMIF(117:117,C40,118:118)+100</f>
        <v>100</v>
      </c>
      <c r="G40" s="576"/>
      <c r="H40" s="543">
        <f>SUMIF(117:117,G40,118:118)-SUMIF(117:117,C40,118:118)+100</f>
        <v>100</v>
      </c>
      <c r="I40" s="576"/>
      <c r="J40" s="543">
        <f>SUMIF(117:117,I40,118:118)-SUMIF(117:117,C40,118:118)+100</f>
        <v>100</v>
      </c>
      <c r="K40" s="586"/>
      <c r="L40" s="2143"/>
      <c r="M40" s="2135"/>
      <c r="N40" s="2135"/>
      <c r="O40" s="2135"/>
      <c r="P40" s="3522"/>
      <c r="Q40" s="1572" t="str">
        <f t="shared" si="11"/>
        <v>市政基础设施</v>
      </c>
      <c r="R40" s="1573" t="s">
        <v>8</v>
      </c>
      <c r="S40" s="1574">
        <f t="shared" si="12"/>
        <v>100</v>
      </c>
      <c r="T40" s="1573" t="s">
        <v>8</v>
      </c>
      <c r="U40" s="1574">
        <f t="shared" si="13"/>
        <v>100</v>
      </c>
      <c r="V40" s="1573" t="s">
        <v>8</v>
      </c>
      <c r="W40" s="1574">
        <f t="shared" si="14"/>
        <v>100</v>
      </c>
      <c r="X40" s="1567"/>
      <c r="Y40" s="3522"/>
      <c r="Z40" s="1575" t="str">
        <f t="shared" si="15"/>
        <v>市政基础设施</v>
      </c>
      <c r="AA40" s="1576">
        <f t="shared" si="3"/>
        <v>1</v>
      </c>
      <c r="AB40" s="1576">
        <f t="shared" si="4"/>
        <v>1</v>
      </c>
      <c r="AC40" s="1576">
        <f t="shared" si="5"/>
        <v>1</v>
      </c>
    </row>
    <row r="41" spans="1:29" ht="15">
      <c r="A41" s="596"/>
      <c r="B41" s="530" t="s">
        <v>767</v>
      </c>
      <c r="C41" s="585"/>
      <c r="D41" s="543">
        <v>100</v>
      </c>
      <c r="E41" s="585"/>
      <c r="F41" s="577">
        <f>SUMIF(119:119,E41,120:120)-SUMIF(119:119,C41,120:120)+100</f>
        <v>100</v>
      </c>
      <c r="G41" s="585"/>
      <c r="H41" s="543">
        <f>SUMIF(119:119,G41,120:120)-SUMIF(119:119,C41,120:120)+100</f>
        <v>100</v>
      </c>
      <c r="I41" s="585"/>
      <c r="J41" s="543">
        <f>SUMIF(119:119,I41,120:120)-SUMIF(119:119,C41,120:120)+100</f>
        <v>100</v>
      </c>
      <c r="K41" s="586"/>
      <c r="L41" s="2143"/>
      <c r="M41" s="2135"/>
      <c r="N41" s="2135"/>
      <c r="O41" s="2135"/>
      <c r="P41" s="3522"/>
      <c r="Q41" s="1572" t="str">
        <f t="shared" si="11"/>
        <v>层高</v>
      </c>
      <c r="R41" s="1573" t="s">
        <v>8</v>
      </c>
      <c r="S41" s="1574">
        <f t="shared" si="12"/>
        <v>100</v>
      </c>
      <c r="T41" s="1573" t="s">
        <v>8</v>
      </c>
      <c r="U41" s="1574">
        <f t="shared" si="13"/>
        <v>100</v>
      </c>
      <c r="V41" s="1573" t="s">
        <v>8</v>
      </c>
      <c r="W41" s="1574">
        <f t="shared" si="14"/>
        <v>100</v>
      </c>
      <c r="X41" s="1567"/>
      <c r="Y41" s="3522"/>
      <c r="Z41" s="1575" t="str">
        <f t="shared" si="15"/>
        <v>层高</v>
      </c>
      <c r="AA41" s="1576">
        <f t="shared" si="3"/>
        <v>1</v>
      </c>
      <c r="AB41" s="1576">
        <f t="shared" si="4"/>
        <v>1</v>
      </c>
      <c r="AC41" s="1576">
        <f t="shared" si="5"/>
        <v>1</v>
      </c>
    </row>
    <row r="42" spans="1:29" s="1339" customFormat="1" ht="15">
      <c r="A42" s="605"/>
      <c r="B42" s="905" t="s">
        <v>783</v>
      </c>
      <c r="C42" s="542"/>
      <c r="D42" s="543">
        <v>100</v>
      </c>
      <c r="E42" s="542"/>
      <c r="F42" s="577">
        <f>SUMIF(121:121,E42,122:122)-SUMIF(121:121,C42,122:122)+100</f>
        <v>100</v>
      </c>
      <c r="G42" s="542"/>
      <c r="H42" s="543">
        <f>SUMIF(121:121,G42,122:122)-SUMIF(121:121,C42,122:122)+100</f>
        <v>100</v>
      </c>
      <c r="I42" s="542"/>
      <c r="J42" s="543">
        <f>SUMIF(121:121,I42,122:122)-SUMIF(121:121,C42,122:122)+100</f>
        <v>100</v>
      </c>
      <c r="K42" s="583"/>
      <c r="L42" s="2141"/>
      <c r="M42" s="2172"/>
      <c r="N42" s="2172"/>
      <c r="O42" s="2172"/>
      <c r="P42" s="3522"/>
      <c r="Q42" s="1605" t="str">
        <f t="shared" si="11"/>
        <v>单套建筑面积</v>
      </c>
      <c r="R42" s="1577" t="s">
        <v>8</v>
      </c>
      <c r="S42" s="1578">
        <f t="shared" si="12"/>
        <v>100</v>
      </c>
      <c r="T42" s="1577" t="s">
        <v>8</v>
      </c>
      <c r="U42" s="1578">
        <f t="shared" si="13"/>
        <v>100</v>
      </c>
      <c r="V42" s="1577" t="s">
        <v>8</v>
      </c>
      <c r="W42" s="1578">
        <f t="shared" si="14"/>
        <v>100</v>
      </c>
      <c r="X42" s="1579"/>
      <c r="Y42" s="3522"/>
      <c r="Z42" s="1580" t="str">
        <f t="shared" si="15"/>
        <v>单套建筑面积</v>
      </c>
      <c r="AA42" s="1576">
        <f t="shared" si="3"/>
        <v>1</v>
      </c>
      <c r="AB42" s="1576">
        <f t="shared" si="4"/>
        <v>1</v>
      </c>
      <c r="AC42" s="1576">
        <f t="shared" si="5"/>
        <v>1</v>
      </c>
    </row>
    <row r="43" spans="1:29" ht="15">
      <c r="A43" s="596"/>
      <c r="B43" s="530" t="s">
        <v>770</v>
      </c>
      <c r="C43" s="576"/>
      <c r="D43" s="543">
        <v>100</v>
      </c>
      <c r="E43" s="576"/>
      <c r="F43" s="577">
        <f>SUMIF(123:123,E43,124:124)-SUMIF(123:123,C43,124:124)+100</f>
        <v>100</v>
      </c>
      <c r="G43" s="576"/>
      <c r="H43" s="543">
        <f>SUMIF(123:123,G43,124:124)-SUMIF(123:123,C43,124:124)+100</f>
        <v>100</v>
      </c>
      <c r="I43" s="576"/>
      <c r="J43" s="543">
        <f>SUMIF(123:123,I43,124:124)-SUMIF(123:123,C43,124:124)+100</f>
        <v>100</v>
      </c>
      <c r="K43" s="586"/>
      <c r="L43" s="2143"/>
      <c r="M43" s="2135"/>
      <c r="N43" s="2135"/>
      <c r="O43" s="2135"/>
      <c r="P43" s="3522"/>
      <c r="Q43" s="1572" t="str">
        <f t="shared" si="11"/>
        <v>内部装修</v>
      </c>
      <c r="R43" s="1573" t="s">
        <v>8</v>
      </c>
      <c r="S43" s="1574">
        <f t="shared" si="12"/>
        <v>100</v>
      </c>
      <c r="T43" s="1573" t="s">
        <v>8</v>
      </c>
      <c r="U43" s="1574">
        <f t="shared" si="13"/>
        <v>100</v>
      </c>
      <c r="V43" s="1573" t="s">
        <v>8</v>
      </c>
      <c r="W43" s="1574">
        <f t="shared" si="14"/>
        <v>100</v>
      </c>
      <c r="X43" s="1567"/>
      <c r="Y43" s="3522"/>
      <c r="Z43" s="1575" t="str">
        <f t="shared" si="15"/>
        <v>内部装修</v>
      </c>
      <c r="AA43" s="1576">
        <f t="shared" si="3"/>
        <v>1</v>
      </c>
      <c r="AB43" s="1576">
        <f t="shared" si="4"/>
        <v>1</v>
      </c>
      <c r="AC43" s="1576">
        <f t="shared" si="5"/>
        <v>1</v>
      </c>
    </row>
    <row r="44" spans="1:29" ht="27">
      <c r="A44" s="596"/>
      <c r="B44" s="530" t="s">
        <v>735</v>
      </c>
      <c r="C44" s="576"/>
      <c r="D44" s="543">
        <v>100</v>
      </c>
      <c r="E44" s="601"/>
      <c r="F44" s="577">
        <f>SUMIF(125:125,E44,126:126)-SUMIF(125:125,C44,126:126)+100</f>
        <v>100</v>
      </c>
      <c r="G44" s="601"/>
      <c r="H44" s="543">
        <f>SUMIF(125:125,G44,126:126)-SUMIF(125:125,C44,126:126)+100</f>
        <v>100</v>
      </c>
      <c r="I44" s="601"/>
      <c r="J44" s="543">
        <f>SUMIF(125:125,I44,126:126)-SUMIF(125:125,C44,126:126)+100</f>
        <v>100</v>
      </c>
      <c r="K44" s="586"/>
      <c r="L44" s="2143"/>
      <c r="M44" s="2135"/>
      <c r="N44" s="2135"/>
      <c r="O44" s="2135"/>
      <c r="P44" s="3522"/>
      <c r="Q44" s="1572" t="str">
        <f t="shared" si="11"/>
        <v>内部装修维护情况</v>
      </c>
      <c r="R44" s="1573" t="s">
        <v>8</v>
      </c>
      <c r="S44" s="1574">
        <f t="shared" si="12"/>
        <v>100</v>
      </c>
      <c r="T44" s="1573" t="s">
        <v>8</v>
      </c>
      <c r="U44" s="1574">
        <f t="shared" si="13"/>
        <v>100</v>
      </c>
      <c r="V44" s="1573" t="s">
        <v>8</v>
      </c>
      <c r="W44" s="1574">
        <f t="shared" si="14"/>
        <v>100</v>
      </c>
      <c r="X44" s="1567"/>
      <c r="Y44" s="3522"/>
      <c r="Z44" s="1575" t="str">
        <f t="shared" si="15"/>
        <v>内部装修维护情况</v>
      </c>
      <c r="AA44" s="1576">
        <f t="shared" si="3"/>
        <v>1</v>
      </c>
      <c r="AB44" s="1576">
        <f t="shared" si="4"/>
        <v>1</v>
      </c>
      <c r="AC44" s="1576">
        <f t="shared" si="5"/>
        <v>1</v>
      </c>
    </row>
    <row r="45" spans="1:29" s="1220" customFormat="1" ht="15">
      <c r="A45" s="602"/>
      <c r="B45" s="879">
        <v>111</v>
      </c>
      <c r="C45" s="881"/>
      <c r="D45" s="255">
        <v>100</v>
      </c>
      <c r="E45" s="531"/>
      <c r="F45" s="865">
        <f>SUMIF(127:127,E45,128:128)-SUMIF(127:127,C45,128:128)+100</f>
        <v>100</v>
      </c>
      <c r="G45" s="531"/>
      <c r="H45" s="255">
        <f>SUMIF(127:127,G45,128:128)-SUMIF(127:127,C45,128:128)+100</f>
        <v>100</v>
      </c>
      <c r="I45" s="531"/>
      <c r="J45" s="255">
        <f>SUMIF(127:127,I45,128:128)-SUMIF(127:127,C45,128:128)+100</f>
        <v>100</v>
      </c>
      <c r="K45" s="583"/>
      <c r="L45" s="2136"/>
      <c r="M45" s="2137"/>
      <c r="N45" s="2137"/>
      <c r="O45" s="2137"/>
      <c r="P45" s="3522"/>
      <c r="Q45" s="1151">
        <f t="shared" si="11"/>
        <v>111</v>
      </c>
      <c r="R45" s="1568" t="s">
        <v>8</v>
      </c>
      <c r="S45" s="1569">
        <f t="shared" si="12"/>
        <v>100</v>
      </c>
      <c r="T45" s="1568" t="s">
        <v>8</v>
      </c>
      <c r="U45" s="1569">
        <f t="shared" si="13"/>
        <v>100</v>
      </c>
      <c r="V45" s="1568" t="s">
        <v>8</v>
      </c>
      <c r="W45" s="1569">
        <f t="shared" si="14"/>
        <v>100</v>
      </c>
      <c r="X45" s="1570"/>
      <c r="Y45" s="3522"/>
      <c r="Z45" s="1150">
        <f t="shared" si="15"/>
        <v>111</v>
      </c>
      <c r="AA45" s="1571">
        <f t="shared" si="3"/>
        <v>1</v>
      </c>
      <c r="AB45" s="1571">
        <f t="shared" si="4"/>
        <v>1</v>
      </c>
      <c r="AC45" s="1571">
        <f t="shared" si="5"/>
        <v>1</v>
      </c>
    </row>
    <row r="46" spans="1:29" ht="15">
      <c r="A46" s="596"/>
      <c r="B46" s="879">
        <v>111</v>
      </c>
      <c r="C46" s="542"/>
      <c r="D46" s="543">
        <v>100</v>
      </c>
      <c r="E46" s="531"/>
      <c r="F46" s="577">
        <f>SUMIF(129:129,E46,130:130)-SUMIF(129:129,C46,130:130)+100</f>
        <v>100</v>
      </c>
      <c r="G46" s="531"/>
      <c r="H46" s="543">
        <f>SUMIF(129:129,G46,130:130)-SUMIF(129:129,C46,130:130)+100</f>
        <v>100</v>
      </c>
      <c r="I46" s="531"/>
      <c r="J46" s="543">
        <f>SUMIF(129:129,I46,130:130)-SUMIF(129:129,C46,130:130)+100</f>
        <v>100</v>
      </c>
      <c r="K46" s="583"/>
      <c r="L46" s="2143"/>
      <c r="M46" s="2135"/>
      <c r="N46" s="2135"/>
      <c r="O46" s="2135"/>
      <c r="P46" s="3522"/>
      <c r="Q46" s="1572">
        <f t="shared" si="11"/>
        <v>111</v>
      </c>
      <c r="R46" s="1573" t="s">
        <v>8</v>
      </c>
      <c r="S46" s="1574">
        <f t="shared" si="12"/>
        <v>100</v>
      </c>
      <c r="T46" s="1573" t="s">
        <v>8</v>
      </c>
      <c r="U46" s="1574">
        <f t="shared" si="13"/>
        <v>100</v>
      </c>
      <c r="V46" s="1573" t="s">
        <v>8</v>
      </c>
      <c r="W46" s="1574">
        <f t="shared" si="14"/>
        <v>100</v>
      </c>
      <c r="X46" s="1567"/>
      <c r="Y46" s="3522"/>
      <c r="Z46" s="1575">
        <f t="shared" si="15"/>
        <v>111</v>
      </c>
      <c r="AA46" s="1576">
        <f t="shared" si="3"/>
        <v>1</v>
      </c>
      <c r="AB46" s="1576">
        <f t="shared" si="4"/>
        <v>1</v>
      </c>
      <c r="AC46" s="1576">
        <f t="shared" si="5"/>
        <v>1</v>
      </c>
    </row>
    <row r="47" spans="1:29" ht="15.75" thickBot="1">
      <c r="A47" s="887"/>
      <c r="B47" s="547">
        <v>111</v>
      </c>
      <c r="C47" s="548"/>
      <c r="D47" s="549">
        <v>100</v>
      </c>
      <c r="E47" s="531"/>
      <c r="F47" s="868">
        <f>SUMIF(131:131,E47,132:132)-SUMIF(131:131,C47,132:132)+100</f>
        <v>100</v>
      </c>
      <c r="G47" s="531"/>
      <c r="H47" s="549">
        <f>SUMIF(131:131,G47,132:132)-SUMIF(131:131,C47,132:132)+100</f>
        <v>100</v>
      </c>
      <c r="I47" s="531"/>
      <c r="J47" s="549">
        <f>SUMIF(131:131,I47,132:132)-SUMIF(131:131,C47,132:132)+100</f>
        <v>100</v>
      </c>
      <c r="K47" s="583"/>
      <c r="L47" s="2143"/>
      <c r="M47" s="2135"/>
      <c r="N47" s="2135"/>
      <c r="O47" s="2135"/>
      <c r="P47" s="3620"/>
      <c r="Q47" s="1572">
        <f t="shared" si="11"/>
        <v>111</v>
      </c>
      <c r="R47" s="1573" t="s">
        <v>8</v>
      </c>
      <c r="S47" s="1574">
        <f t="shared" si="12"/>
        <v>100</v>
      </c>
      <c r="T47" s="1573" t="s">
        <v>8</v>
      </c>
      <c r="U47" s="1574">
        <f t="shared" si="13"/>
        <v>100</v>
      </c>
      <c r="V47" s="1573" t="s">
        <v>8</v>
      </c>
      <c r="W47" s="1574">
        <f t="shared" si="14"/>
        <v>100</v>
      </c>
      <c r="X47" s="1567"/>
      <c r="Y47" s="3620"/>
      <c r="Z47" s="1575">
        <f t="shared" si="15"/>
        <v>111</v>
      </c>
      <c r="AA47" s="1576">
        <f t="shared" si="3"/>
        <v>1</v>
      </c>
      <c r="AB47" s="1576">
        <f t="shared" si="4"/>
        <v>1</v>
      </c>
      <c r="AC47" s="1576">
        <f t="shared" si="5"/>
        <v>1</v>
      </c>
    </row>
    <row r="48" spans="1:29" ht="15">
      <c r="A48" s="609" t="s">
        <v>736</v>
      </c>
      <c r="B48" s="888"/>
      <c r="C48" s="2652" t="s">
        <v>1</v>
      </c>
      <c r="D48" s="2653"/>
      <c r="E48" s="2654"/>
      <c r="F48" s="2655"/>
      <c r="G48" s="2656"/>
      <c r="H48" s="2657"/>
      <c r="I48" s="2654"/>
      <c r="J48" s="2657"/>
      <c r="K48" s="1611"/>
      <c r="L48" s="2145"/>
      <c r="M48" s="2135"/>
      <c r="N48" s="2135"/>
      <c r="O48" s="2135"/>
      <c r="P48" s="3540" t="str">
        <f>A48</f>
        <v>成交单价（元/平方米）</v>
      </c>
      <c r="Q48" s="3517"/>
      <c r="R48" s="3621">
        <f>E48</f>
        <v>0</v>
      </c>
      <c r="S48" s="3621"/>
      <c r="T48" s="3621">
        <f>G48</f>
        <v>0</v>
      </c>
      <c r="U48" s="3621"/>
      <c r="V48" s="3621">
        <f>I48</f>
        <v>0</v>
      </c>
      <c r="W48" s="3621"/>
      <c r="X48" s="1559"/>
      <c r="Y48" s="1581"/>
      <c r="Z48" s="1559"/>
      <c r="AA48" s="1559"/>
      <c r="AB48" s="1559"/>
      <c r="AC48" s="1559"/>
    </row>
    <row r="49" spans="1:29" ht="15.75" thickBot="1">
      <c r="A49" s="617" t="s">
        <v>2763</v>
      </c>
      <c r="B49" s="889"/>
      <c r="C49" s="2658" t="e">
        <f>R50</f>
        <v>#DIV/0!</v>
      </c>
      <c r="D49" s="2659"/>
      <c r="E49" s="2660" t="e">
        <f>R49</f>
        <v>#DIV/0!</v>
      </c>
      <c r="F49" s="2660"/>
      <c r="G49" s="2658" t="e">
        <f>T49</f>
        <v>#DIV/0!</v>
      </c>
      <c r="H49" s="2659"/>
      <c r="I49" s="2660" t="e">
        <f>V49</f>
        <v>#DIV/0!</v>
      </c>
      <c r="J49" s="2659"/>
      <c r="K49" s="1612"/>
      <c r="L49" s="2145"/>
      <c r="M49" s="2135"/>
      <c r="N49" s="2135"/>
      <c r="O49" s="2135"/>
      <c r="P49" s="3540" t="str">
        <f>A49</f>
        <v>比较价格（元/平方米）</v>
      </c>
      <c r="Q49" s="3517"/>
      <c r="R49" s="3621" t="e">
        <f>IF(F1="售价",ROUND(PRODUCT(R48,AA7:AA47),0),ROUND(PRODUCT(R48,AA7:AA47),1))</f>
        <v>#DIV/0!</v>
      </c>
      <c r="S49" s="3621"/>
      <c r="T49" s="3621" t="e">
        <f>IF(F1="售价",ROUND(PRODUCT(T48,AB7:AB47),0),ROUND(PRODUCT(T48,AB7:AB47),1))</f>
        <v>#DIV/0!</v>
      </c>
      <c r="U49" s="3621"/>
      <c r="V49" s="3621" t="e">
        <f>IF(F1="售价",ROUND(PRODUCT(V48,AC7:AC47),0),ROUND(PRODUCT(V48,AC7:AC47),1))</f>
        <v>#DIV/0!</v>
      </c>
      <c r="W49" s="3621"/>
      <c r="X49" s="1559"/>
      <c r="Y49" s="1559"/>
      <c r="Z49" s="1559"/>
      <c r="AA49" s="1559"/>
      <c r="AB49" s="1559"/>
      <c r="AC49" s="1559"/>
    </row>
    <row r="50" spans="1:29" ht="15.75" thickBot="1">
      <c r="A50" s="623" t="s">
        <v>2930</v>
      </c>
      <c r="B50" s="624"/>
      <c r="C50" s="2661" t="e">
        <f>R50</f>
        <v>#DIV/0!</v>
      </c>
      <c r="D50" s="2661"/>
      <c r="E50" s="2661"/>
      <c r="F50" s="2661"/>
      <c r="G50" s="2661"/>
      <c r="H50" s="2661"/>
      <c r="I50" s="2661"/>
      <c r="J50" s="2661"/>
      <c r="K50" s="1613"/>
      <c r="L50" s="2145"/>
      <c r="M50" s="2135"/>
      <c r="N50" s="2135"/>
      <c r="O50" s="2135"/>
      <c r="P50" s="3626" t="str">
        <f>A50</f>
        <v>估价对象XX用房的比较价格（楼面单价，元/平方米）</v>
      </c>
      <c r="Q50" s="3540"/>
      <c r="R50" s="3622" t="e">
        <f>IF(F1="售价",ROUND(AVERAGE(R49:V49),0),ROUND(AVERAGE(R49:V49),1))</f>
        <v>#DIV/0!</v>
      </c>
      <c r="S50" s="3622"/>
      <c r="T50" s="3622"/>
      <c r="U50" s="3622"/>
      <c r="V50" s="3622"/>
      <c r="W50" s="3622"/>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575</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7" t="s">
        <v>530</v>
      </c>
      <c r="B59" s="648"/>
      <c r="C59" s="2829" t="str">
        <f>YEAR(C7)&amp;"-"&amp;MONTH(C7)</f>
        <v>2017-11</v>
      </c>
      <c r="D59" s="2831">
        <f>EDATE(C59,-1)</f>
        <v>43009</v>
      </c>
      <c r="E59" s="2831">
        <f t="shared" ref="E59:O59" si="16">EDATE(D59,-1)</f>
        <v>42979</v>
      </c>
      <c r="F59" s="2831">
        <f t="shared" si="16"/>
        <v>42948</v>
      </c>
      <c r="G59" s="2831">
        <f t="shared" si="16"/>
        <v>42917</v>
      </c>
      <c r="H59" s="2831">
        <f t="shared" si="16"/>
        <v>42887</v>
      </c>
      <c r="I59" s="2831">
        <f t="shared" si="16"/>
        <v>42856</v>
      </c>
      <c r="J59" s="2831">
        <f t="shared" si="16"/>
        <v>42826</v>
      </c>
      <c r="K59" s="2831">
        <f t="shared" si="16"/>
        <v>42795</v>
      </c>
      <c r="L59" s="2831">
        <f t="shared" si="16"/>
        <v>42767</v>
      </c>
      <c r="M59" s="2831">
        <f t="shared" si="16"/>
        <v>42736</v>
      </c>
      <c r="N59" s="2831">
        <f t="shared" si="16"/>
        <v>42705</v>
      </c>
      <c r="O59" s="2831">
        <f t="shared" si="16"/>
        <v>42675</v>
      </c>
      <c r="P59" s="2212"/>
      <c r="Q59" s="2162"/>
      <c r="R59" s="2162"/>
      <c r="S59" s="2162"/>
      <c r="T59" s="2162"/>
      <c r="U59" s="2162"/>
      <c r="V59" s="2162"/>
      <c r="W59" s="2162"/>
      <c r="X59" s="2162"/>
      <c r="Y59" s="2162"/>
      <c r="Z59" s="2162"/>
      <c r="AA59" s="2162"/>
      <c r="AB59" s="2162"/>
      <c r="AC59" s="2162"/>
    </row>
    <row r="60" spans="1:29" s="1220" customFormat="1" ht="15">
      <c r="A60" s="649"/>
      <c r="B60" s="650"/>
      <c r="C60" s="651">
        <v>100</v>
      </c>
      <c r="D60" s="652"/>
      <c r="E60" s="652"/>
      <c r="F60" s="652"/>
      <c r="G60" s="652"/>
      <c r="H60" s="652"/>
      <c r="I60" s="652"/>
      <c r="J60" s="652"/>
      <c r="K60" s="652"/>
      <c r="L60" s="652"/>
      <c r="M60" s="653"/>
      <c r="N60" s="652"/>
      <c r="O60" s="653"/>
      <c r="P60" s="2213"/>
      <c r="Q60" s="1994"/>
      <c r="R60" s="1994"/>
      <c r="S60" s="1994"/>
      <c r="T60" s="1994"/>
      <c r="U60" s="1994"/>
      <c r="V60" s="1994"/>
      <c r="W60" s="1994"/>
      <c r="X60" s="1994"/>
      <c r="Y60" s="1994"/>
      <c r="Z60" s="1994"/>
      <c r="AA60" s="1994"/>
      <c r="AB60" s="1994"/>
      <c r="AC60" s="1994"/>
    </row>
    <row r="61" spans="1:29" s="1220" customFormat="1" ht="15.75" thickBot="1">
      <c r="A61" s="655" t="s">
        <v>576</v>
      </c>
      <c r="B61" s="656"/>
      <c r="C61" s="657"/>
      <c r="D61" s="658"/>
      <c r="E61" s="658"/>
      <c r="F61" s="658"/>
      <c r="G61" s="658"/>
      <c r="H61" s="658"/>
      <c r="I61" s="658"/>
      <c r="J61" s="658"/>
      <c r="K61" s="658"/>
      <c r="L61" s="658"/>
      <c r="M61" s="659"/>
      <c r="N61" s="658"/>
      <c r="O61" s="659"/>
      <c r="P61" s="2213"/>
      <c r="Q61" s="2159"/>
      <c r="R61" s="1994"/>
      <c r="S61" s="1994"/>
      <c r="T61" s="1994"/>
      <c r="U61" s="1994"/>
      <c r="V61" s="1994"/>
      <c r="W61" s="1994"/>
      <c r="X61" s="1994"/>
      <c r="Y61" s="1994"/>
      <c r="Z61" s="1994"/>
      <c r="AA61" s="1994"/>
      <c r="AB61" s="1994"/>
      <c r="AC61" s="1994"/>
    </row>
    <row r="62" spans="1:29" s="1220" customFormat="1" ht="15">
      <c r="A62" s="661" t="s">
        <v>532</v>
      </c>
      <c r="B62" s="650"/>
      <c r="C62" s="662" t="s">
        <v>577</v>
      </c>
      <c r="D62" s="663"/>
      <c r="E62" s="663"/>
      <c r="F62" s="663"/>
      <c r="G62" s="663"/>
      <c r="H62" s="663"/>
      <c r="I62" s="663"/>
      <c r="J62" s="663"/>
      <c r="K62" s="663"/>
      <c r="L62" s="664"/>
      <c r="M62" s="665"/>
      <c r="N62" s="2163"/>
      <c r="O62" s="2163"/>
      <c r="P62" s="2214"/>
      <c r="Q62" s="2159"/>
      <c r="R62" s="1994"/>
      <c r="S62" s="1994"/>
      <c r="T62" s="1994"/>
      <c r="U62" s="1994"/>
      <c r="V62" s="1994"/>
      <c r="W62" s="1994"/>
      <c r="X62" s="1994"/>
      <c r="Y62" s="1994"/>
      <c r="Z62" s="1994"/>
      <c r="AA62" s="1994"/>
      <c r="AB62" s="1994"/>
      <c r="AC62" s="1994"/>
    </row>
    <row r="63" spans="1:29" s="1220" customFormat="1" ht="15.75" thickBot="1">
      <c r="A63" s="661"/>
      <c r="B63" s="650"/>
      <c r="C63" s="890">
        <v>100</v>
      </c>
      <c r="D63" s="652"/>
      <c r="E63" s="652"/>
      <c r="F63" s="652"/>
      <c r="G63" s="652"/>
      <c r="H63" s="652"/>
      <c r="I63" s="652"/>
      <c r="J63" s="652"/>
      <c r="K63" s="652"/>
      <c r="L63" s="652"/>
      <c r="M63" s="654"/>
      <c r="N63" s="2163"/>
      <c r="O63" s="2163"/>
      <c r="P63" s="2213"/>
      <c r="Q63" s="2159"/>
      <c r="R63" s="1994"/>
      <c r="S63" s="1994"/>
      <c r="T63" s="1994"/>
      <c r="U63" s="1994"/>
      <c r="V63" s="1994"/>
      <c r="W63" s="1994"/>
      <c r="X63" s="1994"/>
      <c r="Y63" s="1994"/>
      <c r="Z63" s="1994"/>
      <c r="AA63" s="1994"/>
      <c r="AB63" s="1994"/>
      <c r="AC63" s="1994"/>
    </row>
    <row r="64" spans="1:29">
      <c r="A64" s="666" t="s">
        <v>578</v>
      </c>
      <c r="B64" s="667" t="s">
        <v>535</v>
      </c>
      <c r="C64" s="706">
        <f>C9</f>
        <v>0</v>
      </c>
      <c r="D64" s="600"/>
      <c r="E64" s="600"/>
      <c r="F64" s="600"/>
      <c r="G64" s="600"/>
      <c r="H64" s="600"/>
      <c r="I64" s="600"/>
      <c r="J64" s="600"/>
      <c r="K64" s="668"/>
      <c r="L64" s="669"/>
      <c r="M64" s="670"/>
      <c r="N64" s="2165"/>
      <c r="O64" s="2165"/>
      <c r="P64" s="2215"/>
      <c r="Q64" s="2159"/>
      <c r="R64" s="2146"/>
      <c r="S64" s="2146"/>
      <c r="T64" s="2146"/>
      <c r="U64" s="2146"/>
      <c r="V64" s="2146"/>
      <c r="W64" s="2146"/>
      <c r="X64" s="2146"/>
      <c r="Y64" s="2146"/>
      <c r="Z64" s="2146"/>
      <c r="AA64" s="2146"/>
      <c r="AB64" s="2146"/>
      <c r="AC64" s="2146"/>
    </row>
    <row r="65" spans="1:29" ht="15.75" thickBot="1">
      <c r="A65" s="671"/>
      <c r="B65" s="672"/>
      <c r="C65" s="673"/>
      <c r="D65" s="673"/>
      <c r="E65" s="673"/>
      <c r="F65" s="673"/>
      <c r="G65" s="673"/>
      <c r="H65" s="673"/>
      <c r="I65" s="673"/>
      <c r="J65" s="673"/>
      <c r="K65" s="673"/>
      <c r="L65" s="673"/>
      <c r="M65" s="674"/>
      <c r="N65" s="2167"/>
      <c r="O65" s="2167"/>
      <c r="P65" s="2215"/>
      <c r="Q65" s="2159"/>
      <c r="R65" s="2146"/>
      <c r="S65" s="2146"/>
      <c r="T65" s="2146"/>
      <c r="U65" s="2146"/>
      <c r="V65" s="2146"/>
      <c r="W65" s="2146"/>
      <c r="X65" s="2146"/>
      <c r="Y65" s="2146"/>
      <c r="Z65" s="2146"/>
      <c r="AA65" s="2146"/>
      <c r="AB65" s="2146"/>
      <c r="AC65" s="2146"/>
    </row>
    <row r="66" spans="1:29" ht="27.75" thickTop="1">
      <c r="A66" s="671"/>
      <c r="B66" s="675" t="s">
        <v>538</v>
      </c>
      <c r="C66" s="676" t="s">
        <v>737</v>
      </c>
      <c r="D66" s="676" t="s">
        <v>738</v>
      </c>
      <c r="E66" s="676" t="s">
        <v>739</v>
      </c>
      <c r="F66" s="676" t="s">
        <v>740</v>
      </c>
      <c r="G66" s="676" t="s">
        <v>741</v>
      </c>
      <c r="H66" s="676" t="s">
        <v>742</v>
      </c>
      <c r="I66" s="676" t="s">
        <v>743</v>
      </c>
      <c r="J66" s="676"/>
      <c r="K66" s="677"/>
      <c r="L66" s="678"/>
      <c r="M66" s="679"/>
      <c r="N66" s="2165"/>
      <c r="O66" s="2165"/>
      <c r="P66" s="2215"/>
      <c r="Q66" s="2159"/>
      <c r="R66" s="2146"/>
      <c r="S66" s="2146"/>
      <c r="T66" s="2146"/>
      <c r="U66" s="2146"/>
      <c r="V66" s="2146"/>
      <c r="W66" s="2146"/>
      <c r="X66" s="2146"/>
      <c r="Y66" s="2146"/>
      <c r="Z66" s="2146"/>
      <c r="AA66" s="2146"/>
      <c r="AB66" s="2146"/>
      <c r="AC66" s="2146"/>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67"/>
      <c r="O67" s="2167"/>
      <c r="P67" s="2215"/>
      <c r="Q67" s="2159"/>
      <c r="R67" s="2146"/>
      <c r="S67" s="2146"/>
      <c r="T67" s="2146"/>
      <c r="U67" s="2146"/>
      <c r="V67" s="2146"/>
      <c r="W67" s="2146"/>
      <c r="X67" s="2146"/>
      <c r="Y67" s="2146"/>
      <c r="Z67" s="2146"/>
      <c r="AA67" s="2146"/>
      <c r="AB67" s="2146"/>
      <c r="AC67" s="2146"/>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8"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71"/>
      <c r="B69" s="685"/>
      <c r="C69" s="544"/>
      <c r="D69" s="544"/>
      <c r="E69" s="544"/>
      <c r="F69" s="544"/>
      <c r="G69" s="544"/>
      <c r="H69" s="544"/>
      <c r="I69" s="544"/>
      <c r="J69" s="544"/>
      <c r="K69" s="686"/>
      <c r="L69" s="687"/>
      <c r="M69" s="688"/>
      <c r="N69" s="2165"/>
      <c r="O69" s="2165"/>
      <c r="P69" s="2215"/>
      <c r="Q69" s="2159"/>
      <c r="R69" s="2146"/>
      <c r="S69" s="2146"/>
      <c r="T69" s="2146"/>
      <c r="U69" s="2146"/>
      <c r="V69" s="2146"/>
      <c r="W69" s="2146"/>
      <c r="X69" s="2146"/>
      <c r="Y69" s="2146"/>
      <c r="Z69" s="2146"/>
      <c r="AA69" s="2146"/>
      <c r="AB69" s="2146"/>
      <c r="AC69" s="2146"/>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9"/>
      <c r="B71" s="675">
        <f>B12</f>
        <v>111</v>
      </c>
      <c r="C71" s="690"/>
      <c r="D71" s="690"/>
      <c r="E71" s="690"/>
      <c r="F71" s="690"/>
      <c r="G71" s="690"/>
      <c r="H71" s="691"/>
      <c r="I71" s="691"/>
      <c r="J71" s="691"/>
      <c r="K71" s="691"/>
      <c r="L71" s="692"/>
      <c r="M71" s="693"/>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9"/>
      <c r="B72" s="680"/>
      <c r="C72" s="694"/>
      <c r="D72" s="673"/>
      <c r="E72" s="673"/>
      <c r="F72" s="673"/>
      <c r="G72" s="673"/>
      <c r="H72" s="673"/>
      <c r="I72" s="673"/>
      <c r="J72" s="673"/>
      <c r="K72" s="673"/>
      <c r="L72" s="673"/>
      <c r="M72" s="674"/>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9"/>
      <c r="B73" s="675">
        <f>B13</f>
        <v>111</v>
      </c>
      <c r="C73" s="690"/>
      <c r="D73" s="690"/>
      <c r="E73" s="690"/>
      <c r="F73" s="690"/>
      <c r="G73" s="690"/>
      <c r="H73" s="691"/>
      <c r="I73" s="691"/>
      <c r="J73" s="691"/>
      <c r="K73" s="691"/>
      <c r="L73" s="692"/>
      <c r="M73" s="693"/>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9"/>
      <c r="B74" s="680"/>
      <c r="C74" s="694"/>
      <c r="D74" s="694"/>
      <c r="E74" s="694"/>
      <c r="F74" s="694"/>
      <c r="G74" s="694"/>
      <c r="H74" s="695"/>
      <c r="I74" s="695"/>
      <c r="J74" s="695"/>
      <c r="K74" s="695"/>
      <c r="L74" s="695"/>
      <c r="M74" s="696"/>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9"/>
      <c r="B75" s="683">
        <f>B14</f>
        <v>111</v>
      </c>
      <c r="C75" s="663"/>
      <c r="D75" s="663"/>
      <c r="E75" s="663"/>
      <c r="F75" s="663"/>
      <c r="G75" s="663"/>
      <c r="H75" s="697"/>
      <c r="I75" s="697"/>
      <c r="J75" s="697"/>
      <c r="K75" s="697"/>
      <c r="L75" s="698"/>
      <c r="M75" s="699"/>
      <c r="N75" s="2168"/>
      <c r="O75" s="2168"/>
      <c r="P75" s="2218"/>
      <c r="Q75" s="2170"/>
      <c r="R75" s="2171"/>
      <c r="S75" s="2171"/>
      <c r="T75" s="2171"/>
      <c r="U75" s="2171"/>
      <c r="V75" s="2171"/>
      <c r="W75" s="2171"/>
      <c r="X75" s="2171"/>
      <c r="Y75" s="2171"/>
      <c r="Z75" s="2171"/>
      <c r="AA75" s="2171"/>
      <c r="AB75" s="2171"/>
      <c r="AC75" s="2171"/>
    </row>
    <row r="76" spans="1:29" s="1339" customFormat="1" ht="15.75" thickBot="1">
      <c r="A76" s="700"/>
      <c r="B76" s="701"/>
      <c r="C76" s="702"/>
      <c r="D76" s="702"/>
      <c r="E76" s="702"/>
      <c r="F76" s="702"/>
      <c r="G76" s="702"/>
      <c r="H76" s="703"/>
      <c r="I76" s="703"/>
      <c r="J76" s="703"/>
      <c r="K76" s="703"/>
      <c r="L76" s="703"/>
      <c r="M76" s="704"/>
      <c r="N76" s="2168"/>
      <c r="O76" s="2168"/>
      <c r="P76" s="2216"/>
      <c r="Q76" s="2170"/>
      <c r="R76" s="2171"/>
      <c r="S76" s="2171"/>
      <c r="T76" s="2171"/>
      <c r="U76" s="2171"/>
      <c r="V76" s="2171"/>
      <c r="W76" s="2171"/>
      <c r="X76" s="2171"/>
      <c r="Y76" s="2171"/>
      <c r="Z76" s="2171"/>
      <c r="AA76" s="2171"/>
      <c r="AB76" s="2171"/>
      <c r="AC76" s="2171"/>
    </row>
    <row r="77" spans="1:29">
      <c r="A77" s="666" t="s">
        <v>540</v>
      </c>
      <c r="B77" s="667" t="s">
        <v>586</v>
      </c>
      <c r="C77" s="705" t="s">
        <v>580</v>
      </c>
      <c r="D77" s="705" t="s">
        <v>581</v>
      </c>
      <c r="E77" s="705" t="s">
        <v>582</v>
      </c>
      <c r="F77" s="705" t="s">
        <v>583</v>
      </c>
      <c r="G77" s="705" t="s">
        <v>584</v>
      </c>
      <c r="H77" s="706"/>
      <c r="I77" s="706"/>
      <c r="J77" s="706"/>
      <c r="K77" s="707"/>
      <c r="L77" s="708"/>
      <c r="M77" s="709"/>
      <c r="N77" s="2165"/>
      <c r="O77" s="2165"/>
      <c r="P77" s="2219"/>
      <c r="Q77" s="2159"/>
      <c r="R77" s="2146"/>
      <c r="S77" s="2146"/>
      <c r="T77" s="2146"/>
      <c r="U77" s="2146"/>
      <c r="V77" s="2146"/>
      <c r="W77" s="2146"/>
      <c r="X77" s="2146"/>
      <c r="Y77" s="2146"/>
      <c r="Z77" s="2146"/>
      <c r="AA77" s="2146"/>
      <c r="AB77" s="2146"/>
      <c r="AC77" s="2146"/>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67"/>
      <c r="O78" s="2167"/>
      <c r="P78" s="2215"/>
      <c r="Q78" s="2159"/>
      <c r="R78" s="2146"/>
      <c r="S78" s="2146"/>
      <c r="T78" s="2146"/>
      <c r="U78" s="2146"/>
      <c r="V78" s="2146"/>
      <c r="W78" s="2146"/>
      <c r="X78" s="2146"/>
      <c r="Y78" s="2146"/>
      <c r="Z78" s="2146"/>
      <c r="AA78" s="2146"/>
      <c r="AB78" s="2146"/>
      <c r="AC78" s="2146"/>
    </row>
    <row r="79" spans="1:29" ht="15.75" thickTop="1">
      <c r="A79" s="671"/>
      <c r="B79" s="675" t="s">
        <v>587</v>
      </c>
      <c r="C79" s="710" t="s">
        <v>580</v>
      </c>
      <c r="D79" s="710" t="s">
        <v>581</v>
      </c>
      <c r="E79" s="710" t="s">
        <v>582</v>
      </c>
      <c r="F79" s="710" t="s">
        <v>583</v>
      </c>
      <c r="G79" s="710" t="s">
        <v>584</v>
      </c>
      <c r="H79" s="676"/>
      <c r="I79" s="676"/>
      <c r="J79" s="676"/>
      <c r="K79" s="677"/>
      <c r="L79" s="678"/>
      <c r="M79" s="679"/>
      <c r="N79" s="2165"/>
      <c r="O79" s="2165"/>
      <c r="P79" s="2215"/>
      <c r="Q79" s="2159"/>
      <c r="R79" s="2146"/>
      <c r="S79" s="2146"/>
      <c r="T79" s="2146"/>
      <c r="U79" s="2146"/>
      <c r="V79" s="2146"/>
      <c r="W79" s="2146"/>
      <c r="X79" s="2146"/>
      <c r="Y79" s="2146"/>
      <c r="Z79" s="2146"/>
      <c r="AA79" s="2146"/>
      <c r="AB79" s="2146"/>
      <c r="AC79" s="2146"/>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67"/>
      <c r="O80" s="2167"/>
      <c r="P80" s="2215"/>
      <c r="Q80" s="2159"/>
      <c r="R80" s="2146"/>
      <c r="S80" s="2146"/>
      <c r="T80" s="2146"/>
      <c r="U80" s="2146"/>
      <c r="V80" s="2146"/>
      <c r="W80" s="2146"/>
      <c r="X80" s="2146"/>
      <c r="Y80" s="2146"/>
      <c r="Z80" s="2146"/>
      <c r="AA80" s="2146"/>
      <c r="AB80" s="2146"/>
      <c r="AC80" s="2146"/>
    </row>
    <row r="81" spans="1:29" ht="15.75" thickTop="1">
      <c r="A81" s="671"/>
      <c r="B81" s="1897" t="s">
        <v>2559</v>
      </c>
      <c r="C81" s="710" t="s">
        <v>580</v>
      </c>
      <c r="D81" s="710" t="s">
        <v>581</v>
      </c>
      <c r="E81" s="710" t="s">
        <v>582</v>
      </c>
      <c r="F81" s="710" t="s">
        <v>583</v>
      </c>
      <c r="G81" s="710" t="s">
        <v>584</v>
      </c>
      <c r="H81" s="676"/>
      <c r="I81" s="676"/>
      <c r="J81" s="676"/>
      <c r="K81" s="677"/>
      <c r="L81" s="678"/>
      <c r="M81" s="679"/>
      <c r="N81" s="2165"/>
      <c r="O81" s="2165"/>
      <c r="P81" s="2215"/>
      <c r="Q81" s="2159"/>
      <c r="R81" s="2146"/>
      <c r="S81" s="2146"/>
      <c r="T81" s="2146"/>
      <c r="U81" s="2146"/>
      <c r="V81" s="2146"/>
      <c r="W81" s="2146"/>
      <c r="X81" s="2146"/>
      <c r="Y81" s="2146"/>
      <c r="Z81" s="2146"/>
      <c r="AA81" s="2146"/>
      <c r="AB81" s="2146"/>
      <c r="AC81" s="2146"/>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67"/>
      <c r="O82" s="2167"/>
      <c r="P82" s="2215"/>
      <c r="Q82" s="2159"/>
      <c r="R82" s="2146"/>
      <c r="S82" s="2146"/>
      <c r="T82" s="2146"/>
      <c r="U82" s="2146"/>
      <c r="V82" s="2146"/>
      <c r="W82" s="2146"/>
      <c r="X82" s="2146"/>
      <c r="Y82" s="2146"/>
      <c r="Z82" s="2146"/>
      <c r="AA82" s="2146"/>
      <c r="AB82" s="2146"/>
      <c r="AC82" s="2146"/>
    </row>
    <row r="83" spans="1:29" ht="15.75" thickTop="1">
      <c r="A83" s="671"/>
      <c r="B83" s="2622" t="s">
        <v>2560</v>
      </c>
      <c r="C83" s="2623" t="s">
        <v>2561</v>
      </c>
      <c r="D83" s="2623" t="s">
        <v>2562</v>
      </c>
      <c r="E83" s="2623" t="s">
        <v>2563</v>
      </c>
      <c r="F83" s="2623" t="s">
        <v>2564</v>
      </c>
      <c r="G83" s="2623" t="s">
        <v>2565</v>
      </c>
      <c r="H83" s="676"/>
      <c r="I83" s="676"/>
      <c r="J83" s="676"/>
      <c r="K83" s="676"/>
      <c r="L83" s="676"/>
      <c r="M83" s="2626"/>
      <c r="N83" s="2167"/>
      <c r="O83" s="2167"/>
      <c r="P83" s="2215"/>
      <c r="Q83" s="2159"/>
      <c r="R83" s="2146"/>
      <c r="S83" s="2146"/>
      <c r="T83" s="2146"/>
      <c r="U83" s="2146"/>
      <c r="V83" s="2146"/>
      <c r="W83" s="2146"/>
      <c r="X83" s="2146"/>
      <c r="Y83" s="2146"/>
      <c r="Z83" s="2146"/>
      <c r="AA83" s="2146"/>
      <c r="AB83" s="2146"/>
      <c r="AC83" s="2146"/>
    </row>
    <row r="84" spans="1:29" ht="15.75" thickBot="1">
      <c r="A84" s="671"/>
      <c r="B84" s="683"/>
      <c r="C84" s="681">
        <v>100</v>
      </c>
      <c r="D84" s="681">
        <f>C84-$K21</f>
        <v>100</v>
      </c>
      <c r="E84" s="681">
        <f>D84-$K21</f>
        <v>100</v>
      </c>
      <c r="F84" s="681">
        <f>E84-$K21</f>
        <v>100</v>
      </c>
      <c r="G84" s="681">
        <f>F84-$K21</f>
        <v>100</v>
      </c>
      <c r="H84" s="936"/>
      <c r="I84" s="936"/>
      <c r="J84" s="936"/>
      <c r="K84" s="936"/>
      <c r="L84" s="936"/>
      <c r="M84" s="562"/>
      <c r="N84" s="2167"/>
      <c r="O84" s="2167"/>
      <c r="P84" s="2215"/>
      <c r="Q84" s="2159"/>
      <c r="R84" s="2146"/>
      <c r="S84" s="2146"/>
      <c r="T84" s="2146"/>
      <c r="U84" s="2146"/>
      <c r="V84" s="2146"/>
      <c r="W84" s="2146"/>
      <c r="X84" s="2146"/>
      <c r="Y84" s="2146"/>
      <c r="Z84" s="2146"/>
      <c r="AA84" s="2146"/>
      <c r="AB84" s="2146"/>
      <c r="AC84" s="2146"/>
    </row>
    <row r="85" spans="1:29" ht="15.75" thickTop="1">
      <c r="A85" s="671"/>
      <c r="B85" s="675" t="s">
        <v>784</v>
      </c>
      <c r="C85" s="710" t="s">
        <v>580</v>
      </c>
      <c r="D85" s="710" t="s">
        <v>581</v>
      </c>
      <c r="E85" s="710" t="s">
        <v>582</v>
      </c>
      <c r="F85" s="710" t="s">
        <v>583</v>
      </c>
      <c r="G85" s="710" t="s">
        <v>584</v>
      </c>
      <c r="H85" s="676"/>
      <c r="I85" s="676"/>
      <c r="J85" s="676"/>
      <c r="K85" s="677"/>
      <c r="L85" s="678"/>
      <c r="M85" s="679"/>
      <c r="N85" s="2165"/>
      <c r="O85" s="2165"/>
      <c r="P85" s="2215"/>
      <c r="Q85" s="2159"/>
      <c r="R85" s="2146"/>
      <c r="S85" s="2146"/>
      <c r="T85" s="2146"/>
      <c r="U85" s="2146"/>
      <c r="V85" s="2146"/>
      <c r="W85" s="2146"/>
      <c r="X85" s="2146"/>
      <c r="Y85" s="2146"/>
      <c r="Z85" s="2146"/>
      <c r="AA85" s="2146"/>
      <c r="AB85" s="2146"/>
      <c r="AC85" s="2146"/>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67"/>
      <c r="O86" s="2167"/>
      <c r="P86" s="2215"/>
      <c r="Q86" s="2159"/>
      <c r="R86" s="2146"/>
      <c r="S86" s="2146"/>
      <c r="T86" s="2146"/>
      <c r="U86" s="2146"/>
      <c r="V86" s="2146"/>
      <c r="W86" s="2146"/>
      <c r="X86" s="2146"/>
      <c r="Y86" s="2146"/>
      <c r="Z86" s="2146"/>
      <c r="AA86" s="2146"/>
      <c r="AB86" s="2146"/>
      <c r="AC86" s="2146"/>
    </row>
    <row r="87" spans="1:29" s="1220" customFormat="1" ht="27.75" thickTop="1">
      <c r="A87" s="711"/>
      <c r="B87" s="675" t="s">
        <v>785</v>
      </c>
      <c r="C87" s="690"/>
      <c r="D87" s="690"/>
      <c r="E87" s="690"/>
      <c r="F87" s="690"/>
      <c r="G87" s="690"/>
      <c r="H87" s="690"/>
      <c r="I87" s="690"/>
      <c r="J87" s="690"/>
      <c r="K87" s="690"/>
      <c r="L87" s="891"/>
      <c r="M87" s="892"/>
      <c r="N87" s="2163"/>
      <c r="O87" s="2163"/>
      <c r="P87" s="2215"/>
      <c r="Q87" s="2159"/>
      <c r="R87" s="1994"/>
      <c r="S87" s="1994"/>
      <c r="T87" s="1994"/>
      <c r="U87" s="1994"/>
      <c r="V87" s="1994"/>
      <c r="W87" s="1994"/>
      <c r="X87" s="1994"/>
      <c r="Y87" s="1994"/>
      <c r="Z87" s="1994"/>
      <c r="AA87" s="1994"/>
      <c r="AB87" s="1994"/>
      <c r="AC87" s="1994"/>
    </row>
    <row r="88" spans="1:29" s="1220"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11"/>
      <c r="B89" s="675" t="str">
        <f>B27</f>
        <v>楼层</v>
      </c>
      <c r="C89" s="690"/>
      <c r="D89" s="690"/>
      <c r="E89" s="690"/>
      <c r="F89" s="893"/>
      <c r="G89" s="690"/>
      <c r="H89" s="690"/>
      <c r="I89" s="690"/>
      <c r="J89" s="690"/>
      <c r="K89" s="690"/>
      <c r="L89" s="690"/>
      <c r="M89" s="892"/>
      <c r="N89" s="2163"/>
      <c r="O89" s="2163"/>
      <c r="P89" s="2215"/>
      <c r="Q89" s="2159"/>
      <c r="R89" s="1994"/>
      <c r="S89" s="1994"/>
      <c r="T89" s="1994"/>
      <c r="U89" s="1994"/>
      <c r="V89" s="1994"/>
      <c r="W89" s="1994"/>
      <c r="X89" s="1994"/>
      <c r="Y89" s="1994"/>
      <c r="Z89" s="1994"/>
      <c r="AA89" s="1994"/>
      <c r="AB89" s="1994"/>
      <c r="AC89" s="1994"/>
    </row>
    <row r="90" spans="1:29" s="1220"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9"/>
      <c r="B91" s="675" t="str">
        <f>B28</f>
        <v>朝向</v>
      </c>
      <c r="C91" s="690"/>
      <c r="D91" s="690"/>
      <c r="E91" s="690"/>
      <c r="F91" s="690"/>
      <c r="G91" s="690"/>
      <c r="H91" s="691"/>
      <c r="I91" s="691"/>
      <c r="J91" s="691"/>
      <c r="K91" s="691"/>
      <c r="L91" s="692"/>
      <c r="M91" s="693"/>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71"/>
      <c r="B93" s="675">
        <f>B29</f>
        <v>111</v>
      </c>
      <c r="C93" s="690"/>
      <c r="D93" s="690"/>
      <c r="E93" s="690"/>
      <c r="F93" s="690"/>
      <c r="G93" s="690"/>
      <c r="H93" s="690"/>
      <c r="I93" s="690"/>
      <c r="J93" s="690"/>
      <c r="K93" s="690"/>
      <c r="L93" s="891"/>
      <c r="M93" s="892"/>
      <c r="N93" s="2165"/>
      <c r="O93" s="2165"/>
      <c r="P93" s="2215"/>
      <c r="Q93" s="2159"/>
      <c r="R93" s="2146"/>
      <c r="S93" s="2146"/>
      <c r="T93" s="2146"/>
      <c r="U93" s="2146"/>
      <c r="V93" s="2146"/>
      <c r="W93" s="2146"/>
      <c r="X93" s="2146"/>
      <c r="Y93" s="2146"/>
      <c r="Z93" s="2146"/>
      <c r="AA93" s="2146"/>
      <c r="AB93" s="2146"/>
      <c r="AC93" s="2146"/>
    </row>
    <row r="94" spans="1:29" ht="15.75" thickBot="1">
      <c r="A94" s="671"/>
      <c r="B94" s="680"/>
      <c r="C94" s="694"/>
      <c r="D94" s="673"/>
      <c r="E94" s="673"/>
      <c r="F94" s="673"/>
      <c r="G94" s="673"/>
      <c r="H94" s="673"/>
      <c r="I94" s="673"/>
      <c r="J94" s="673"/>
      <c r="K94" s="673"/>
      <c r="L94" s="673"/>
      <c r="M94" s="674"/>
      <c r="N94" s="2167"/>
      <c r="O94" s="2167"/>
      <c r="P94" s="2215"/>
      <c r="Q94" s="2159"/>
      <c r="R94" s="2146"/>
      <c r="S94" s="2146"/>
      <c r="T94" s="2146"/>
      <c r="U94" s="2146"/>
      <c r="V94" s="2146"/>
      <c r="W94" s="2146"/>
      <c r="X94" s="2146"/>
      <c r="Y94" s="2146"/>
      <c r="Z94" s="2146"/>
      <c r="AA94" s="2146"/>
      <c r="AB94" s="2146"/>
      <c r="AC94" s="2146"/>
    </row>
    <row r="95" spans="1:29" ht="15.75" thickTop="1">
      <c r="A95" s="671"/>
      <c r="B95" s="675">
        <f>B30</f>
        <v>111</v>
      </c>
      <c r="C95" s="690"/>
      <c r="D95" s="690"/>
      <c r="E95" s="690"/>
      <c r="F95" s="690"/>
      <c r="G95" s="720"/>
      <c r="H95" s="720"/>
      <c r="I95" s="720"/>
      <c r="J95" s="720"/>
      <c r="K95" s="721"/>
      <c r="L95" s="722"/>
      <c r="M95" s="723"/>
      <c r="N95" s="2165"/>
      <c r="O95" s="2165"/>
      <c r="P95" s="2215"/>
      <c r="Q95" s="2159"/>
      <c r="R95" s="2146"/>
      <c r="S95" s="2146"/>
      <c r="T95" s="2146"/>
      <c r="U95" s="2146"/>
      <c r="V95" s="2146"/>
      <c r="W95" s="2146"/>
      <c r="X95" s="2146"/>
      <c r="Y95" s="2146"/>
      <c r="Z95" s="2146"/>
      <c r="AA95" s="2146"/>
      <c r="AB95" s="2146"/>
      <c r="AC95" s="2146"/>
    </row>
    <row r="96" spans="1:29" ht="15.75" thickBot="1">
      <c r="A96" s="671"/>
      <c r="B96" s="680"/>
      <c r="C96" s="694"/>
      <c r="D96" s="694"/>
      <c r="E96" s="694"/>
      <c r="F96" s="694"/>
      <c r="G96" s="673"/>
      <c r="H96" s="673"/>
      <c r="I96" s="673"/>
      <c r="J96" s="673"/>
      <c r="K96" s="673"/>
      <c r="L96" s="673"/>
      <c r="M96" s="674"/>
      <c r="N96" s="2167"/>
      <c r="O96" s="2167"/>
      <c r="P96" s="2215"/>
      <c r="Q96" s="2159"/>
      <c r="R96" s="2146"/>
      <c r="S96" s="2146"/>
      <c r="T96" s="2146"/>
      <c r="U96" s="2146"/>
      <c r="V96" s="2146"/>
      <c r="W96" s="2146"/>
      <c r="X96" s="2146"/>
      <c r="Y96" s="2146"/>
      <c r="Z96" s="2146"/>
      <c r="AA96" s="2146"/>
      <c r="AB96" s="2146"/>
      <c r="AC96" s="2146"/>
    </row>
    <row r="97" spans="1:29" ht="15.75" thickTop="1">
      <c r="A97" s="671"/>
      <c r="B97" s="675">
        <f>B31</f>
        <v>111</v>
      </c>
      <c r="C97" s="690"/>
      <c r="D97" s="690"/>
      <c r="E97" s="690"/>
      <c r="F97" s="690"/>
      <c r="G97" s="720"/>
      <c r="H97" s="720"/>
      <c r="I97" s="720"/>
      <c r="J97" s="720"/>
      <c r="K97" s="721"/>
      <c r="L97" s="722"/>
      <c r="M97" s="723"/>
      <c r="N97" s="2165"/>
      <c r="O97" s="2165"/>
      <c r="P97" s="2215"/>
      <c r="Q97" s="2159"/>
      <c r="R97" s="2146"/>
      <c r="S97" s="2146"/>
      <c r="T97" s="2146"/>
      <c r="U97" s="2146"/>
      <c r="V97" s="2146"/>
      <c r="W97" s="2146"/>
      <c r="X97" s="2146"/>
      <c r="Y97" s="2146"/>
      <c r="Z97" s="2146"/>
      <c r="AA97" s="2146"/>
      <c r="AB97" s="2146"/>
      <c r="AC97" s="2146"/>
    </row>
    <row r="98" spans="1:29" ht="15.75" thickBot="1">
      <c r="A98" s="671"/>
      <c r="B98" s="680"/>
      <c r="C98" s="694"/>
      <c r="D98" s="673"/>
      <c r="E98" s="673"/>
      <c r="F98" s="673"/>
      <c r="G98" s="673"/>
      <c r="H98" s="673"/>
      <c r="I98" s="673"/>
      <c r="J98" s="673"/>
      <c r="K98" s="673"/>
      <c r="L98" s="673"/>
      <c r="M98" s="674"/>
      <c r="N98" s="2167"/>
      <c r="O98" s="2167"/>
      <c r="P98" s="2215"/>
      <c r="Q98" s="2159"/>
      <c r="R98" s="2146"/>
      <c r="S98" s="2146"/>
      <c r="T98" s="2146"/>
      <c r="U98" s="2146"/>
      <c r="V98" s="2146"/>
      <c r="W98" s="2146"/>
      <c r="X98" s="2146"/>
      <c r="Y98" s="2146"/>
      <c r="Z98" s="2146"/>
      <c r="AA98" s="2146"/>
      <c r="AB98" s="2146"/>
      <c r="AC98" s="2146"/>
    </row>
    <row r="99" spans="1:29" ht="15.75" thickTop="1">
      <c r="A99" s="671"/>
      <c r="B99" s="683">
        <f>B32</f>
        <v>111</v>
      </c>
      <c r="C99" s="663"/>
      <c r="D99" s="663"/>
      <c r="E99" s="663"/>
      <c r="F99" s="663"/>
      <c r="G99" s="724"/>
      <c r="H99" s="724"/>
      <c r="I99" s="724"/>
      <c r="J99" s="724"/>
      <c r="K99" s="725"/>
      <c r="L99" s="726"/>
      <c r="M99" s="727"/>
      <c r="N99" s="2165"/>
      <c r="O99" s="2165"/>
      <c r="P99" s="2215"/>
      <c r="Q99" s="2159"/>
      <c r="R99" s="2146"/>
      <c r="S99" s="2146"/>
      <c r="T99" s="2146"/>
      <c r="U99" s="2146"/>
      <c r="V99" s="2146"/>
      <c r="W99" s="2146"/>
      <c r="X99" s="2146"/>
      <c r="Y99" s="2146"/>
      <c r="Z99" s="2146"/>
      <c r="AA99" s="2146"/>
      <c r="AB99" s="2146"/>
      <c r="AC99" s="2146"/>
    </row>
    <row r="100" spans="1:29" ht="15.75" thickBot="1">
      <c r="A100" s="894"/>
      <c r="B100" s="701"/>
      <c r="C100" s="702"/>
      <c r="D100" s="702"/>
      <c r="E100" s="702"/>
      <c r="F100" s="702"/>
      <c r="G100" s="728"/>
      <c r="H100" s="728"/>
      <c r="I100" s="728"/>
      <c r="J100" s="728"/>
      <c r="K100" s="728"/>
      <c r="L100" s="728"/>
      <c r="M100" s="729"/>
      <c r="N100" s="2167"/>
      <c r="O100" s="2167"/>
      <c r="P100" s="2215"/>
      <c r="Q100" s="2159"/>
      <c r="R100" s="2146"/>
      <c r="S100" s="2146"/>
      <c r="T100" s="2146"/>
      <c r="U100" s="2146"/>
      <c r="V100" s="2146"/>
      <c r="W100" s="2146"/>
      <c r="X100" s="2146"/>
      <c r="Y100" s="2146"/>
      <c r="Z100" s="2146"/>
      <c r="AA100" s="2146"/>
      <c r="AB100" s="2146"/>
      <c r="AC100" s="2146"/>
    </row>
    <row r="101" spans="1:29">
      <c r="A101" s="666" t="s">
        <v>552</v>
      </c>
      <c r="B101" s="667" t="s">
        <v>747</v>
      </c>
      <c r="C101" s="600"/>
      <c r="D101" s="600"/>
      <c r="E101" s="600"/>
      <c r="F101" s="600"/>
      <c r="G101" s="600"/>
      <c r="H101" s="600"/>
      <c r="I101" s="600"/>
      <c r="J101" s="600"/>
      <c r="K101" s="668"/>
      <c r="L101" s="669"/>
      <c r="M101" s="670"/>
      <c r="N101" s="2165"/>
      <c r="O101" s="2165"/>
      <c r="P101" s="2215"/>
      <c r="Q101" s="2159"/>
      <c r="R101" s="2146"/>
      <c r="S101" s="2146"/>
      <c r="T101" s="2146"/>
      <c r="U101" s="2146"/>
      <c r="V101" s="2146"/>
      <c r="W101" s="2146"/>
      <c r="X101" s="2146"/>
      <c r="Y101" s="2146"/>
      <c r="Z101" s="2146"/>
      <c r="AA101" s="2146"/>
      <c r="AB101" s="2146"/>
      <c r="AC101" s="2146"/>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71"/>
      <c r="B103" s="675" t="s">
        <v>748</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30"/>
      <c r="B104" s="731"/>
      <c r="C104" s="732"/>
      <c r="D104" s="732"/>
      <c r="E104" s="732"/>
      <c r="F104" s="732"/>
      <c r="G104" s="732"/>
      <c r="H104" s="732"/>
      <c r="I104" s="732"/>
      <c r="J104" s="733"/>
      <c r="K104" s="733"/>
      <c r="L104" s="734"/>
      <c r="M104" s="735"/>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9"/>
      <c r="B105" s="680"/>
      <c r="C105" s="694"/>
      <c r="D105" s="673"/>
      <c r="E105" s="673"/>
      <c r="F105" s="673"/>
      <c r="G105" s="673"/>
      <c r="H105" s="673"/>
      <c r="I105" s="673"/>
      <c r="J105" s="673"/>
      <c r="K105" s="673"/>
      <c r="L105" s="673"/>
      <c r="M105" s="674"/>
      <c r="N105" s="2167"/>
      <c r="O105" s="2167"/>
      <c r="P105" s="2216"/>
      <c r="Q105" s="2170"/>
      <c r="R105" s="2171"/>
      <c r="S105" s="2171"/>
      <c r="T105" s="2171"/>
      <c r="U105" s="2171"/>
      <c r="V105" s="2171"/>
      <c r="W105" s="2171"/>
      <c r="X105" s="2171"/>
      <c r="Y105" s="2171"/>
      <c r="Z105" s="2171"/>
      <c r="AA105" s="2171"/>
      <c r="AB105" s="2171"/>
      <c r="AC105" s="2171"/>
    </row>
    <row r="106" spans="1:29" ht="15" thickTop="1">
      <c r="A106" s="737"/>
      <c r="B106" s="675" t="s">
        <v>749</v>
      </c>
      <c r="C106" s="690"/>
      <c r="D106" s="690"/>
      <c r="E106" s="720"/>
      <c r="F106" s="720"/>
      <c r="G106" s="720"/>
      <c r="H106" s="720"/>
      <c r="I106" s="720"/>
      <c r="J106" s="720"/>
      <c r="K106" s="721"/>
      <c r="L106" s="722"/>
      <c r="M106" s="723"/>
      <c r="N106" s="2165"/>
      <c r="O106" s="2165"/>
      <c r="P106" s="2215"/>
      <c r="Q106" s="2159"/>
      <c r="R106" s="2146"/>
      <c r="S106" s="2146"/>
      <c r="T106" s="2146"/>
      <c r="U106" s="2146"/>
      <c r="V106" s="2146"/>
      <c r="W106" s="2146"/>
      <c r="X106" s="2146"/>
      <c r="Y106" s="2146"/>
      <c r="Z106" s="2146"/>
      <c r="AA106" s="2146"/>
      <c r="AB106" s="2146"/>
      <c r="AC106" s="2146"/>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7"/>
      <c r="B108" s="675" t="s">
        <v>751</v>
      </c>
      <c r="C108" s="690"/>
      <c r="D108" s="690"/>
      <c r="E108" s="690"/>
      <c r="F108" s="720"/>
      <c r="G108" s="720"/>
      <c r="H108" s="720"/>
      <c r="I108" s="720"/>
      <c r="J108" s="720"/>
      <c r="K108" s="721"/>
      <c r="L108" s="722"/>
      <c r="M108" s="723"/>
      <c r="N108" s="2165"/>
      <c r="O108" s="2165"/>
      <c r="P108" s="2215"/>
      <c r="Q108" s="2159"/>
      <c r="R108" s="2146"/>
      <c r="S108" s="2146"/>
      <c r="T108" s="2146"/>
      <c r="U108" s="2146"/>
      <c r="V108" s="2146"/>
      <c r="W108" s="2146"/>
      <c r="X108" s="2146"/>
      <c r="Y108" s="2146"/>
      <c r="Z108" s="2146"/>
      <c r="AA108" s="2146"/>
      <c r="AB108" s="2146"/>
      <c r="AC108" s="2146"/>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7"/>
      <c r="B110" s="675" t="s">
        <v>752</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5"/>
      <c r="O110" s="2165"/>
      <c r="P110" s="2215"/>
      <c r="Q110" s="2159"/>
      <c r="R110" s="2146"/>
      <c r="S110" s="2146"/>
      <c r="T110" s="2146"/>
      <c r="U110" s="2146"/>
      <c r="V110" s="2146"/>
      <c r="W110" s="2146"/>
      <c r="X110" s="2146"/>
      <c r="Y110" s="2146"/>
      <c r="Z110" s="2146"/>
      <c r="AA110" s="2146"/>
      <c r="AB110" s="2146"/>
      <c r="AC110" s="2146"/>
    </row>
    <row r="111" spans="1:29">
      <c r="A111" s="737"/>
      <c r="B111" s="683"/>
      <c r="C111" s="895">
        <v>0.5</v>
      </c>
      <c r="D111" s="895">
        <v>0.6</v>
      </c>
      <c r="E111" s="895">
        <v>0.7</v>
      </c>
      <c r="F111" s="895">
        <v>0.8</v>
      </c>
      <c r="G111" s="895">
        <v>0.9</v>
      </c>
      <c r="H111" s="895">
        <v>1.0001</v>
      </c>
      <c r="I111" s="906"/>
      <c r="J111" s="906"/>
      <c r="K111" s="907"/>
      <c r="L111" s="908"/>
      <c r="M111" s="909"/>
      <c r="N111" s="2165"/>
      <c r="O111" s="2165"/>
      <c r="P111" s="2215"/>
      <c r="Q111" s="2159"/>
      <c r="R111" s="2146"/>
      <c r="S111" s="2146"/>
      <c r="T111" s="2146"/>
      <c r="U111" s="2146"/>
      <c r="V111" s="2146"/>
      <c r="W111" s="2146"/>
      <c r="X111" s="2146"/>
      <c r="Y111" s="2146"/>
      <c r="Z111" s="2146"/>
      <c r="AA111" s="2146"/>
      <c r="AB111" s="2146"/>
      <c r="AC111" s="2146"/>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30"/>
      <c r="B113" s="675" t="s">
        <v>786</v>
      </c>
      <c r="C113" s="690"/>
      <c r="D113" s="690"/>
      <c r="E113" s="690"/>
      <c r="F113" s="690"/>
      <c r="G113" s="690"/>
      <c r="H113" s="720"/>
      <c r="I113" s="720"/>
      <c r="J113" s="720"/>
      <c r="K113" s="721"/>
      <c r="L113" s="722"/>
      <c r="M113" s="723"/>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7"/>
      <c r="B115" s="675" t="s">
        <v>753</v>
      </c>
      <c r="C115" s="690"/>
      <c r="D115" s="690"/>
      <c r="E115" s="720"/>
      <c r="F115" s="720"/>
      <c r="G115" s="720"/>
      <c r="H115" s="720"/>
      <c r="I115" s="720"/>
      <c r="J115" s="720"/>
      <c r="K115" s="721"/>
      <c r="L115" s="722"/>
      <c r="M115" s="723"/>
      <c r="N115" s="2165"/>
      <c r="O115" s="2165"/>
      <c r="P115" s="2215"/>
      <c r="Q115" s="2159"/>
      <c r="R115" s="2146"/>
      <c r="S115" s="2146"/>
      <c r="T115" s="2146"/>
      <c r="U115" s="2146"/>
      <c r="V115" s="2146"/>
      <c r="W115" s="2146"/>
      <c r="X115" s="2146"/>
      <c r="Y115" s="2146"/>
      <c r="Z115" s="2146"/>
      <c r="AA115" s="2146"/>
      <c r="AB115" s="2146"/>
      <c r="AC115" s="2146"/>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7"/>
      <c r="B117" s="1897" t="s">
        <v>2558</v>
      </c>
      <c r="C117" s="690"/>
      <c r="D117" s="690"/>
      <c r="E117" s="690"/>
      <c r="F117" s="690"/>
      <c r="G117" s="690"/>
      <c r="H117" s="720"/>
      <c r="I117" s="720"/>
      <c r="J117" s="720"/>
      <c r="K117" s="721"/>
      <c r="L117" s="722"/>
      <c r="M117" s="723"/>
      <c r="N117" s="2165"/>
      <c r="O117" s="2165"/>
      <c r="P117" s="2215"/>
      <c r="Q117" s="2159"/>
      <c r="R117" s="2146"/>
      <c r="S117" s="2146"/>
      <c r="T117" s="2146"/>
      <c r="U117" s="2146"/>
      <c r="V117" s="2146"/>
      <c r="W117" s="2146"/>
      <c r="X117" s="2146"/>
      <c r="Y117" s="2146"/>
      <c r="Z117" s="2146"/>
      <c r="AA117" s="2146"/>
      <c r="AB117" s="2146"/>
      <c r="AC117" s="2146"/>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67"/>
      <c r="O118" s="2167"/>
      <c r="P118" s="2215"/>
      <c r="Q118" s="2159"/>
      <c r="R118" s="2146"/>
      <c r="S118" s="2146"/>
      <c r="T118" s="2146"/>
      <c r="U118" s="2146"/>
      <c r="V118" s="2146"/>
      <c r="W118" s="2146"/>
      <c r="X118" s="2146"/>
      <c r="Y118" s="2146"/>
      <c r="Z118" s="2146"/>
      <c r="AA118" s="2146"/>
      <c r="AB118" s="2146"/>
      <c r="AC118" s="2146"/>
    </row>
    <row r="119" spans="1:29" ht="15" thickTop="1">
      <c r="A119" s="737"/>
      <c r="B119" s="918" t="s">
        <v>787</v>
      </c>
      <c r="C119" s="720"/>
      <c r="D119" s="720"/>
      <c r="E119" s="720"/>
      <c r="F119" s="720"/>
      <c r="G119" s="720"/>
      <c r="H119" s="720"/>
      <c r="I119" s="720"/>
      <c r="J119" s="720"/>
      <c r="K119" s="720"/>
      <c r="L119" s="919"/>
      <c r="M119" s="920"/>
      <c r="N119" s="2167"/>
      <c r="O119" s="2167"/>
      <c r="P119" s="2220"/>
      <c r="Q119" s="2207"/>
      <c r="R119" s="2146"/>
      <c r="S119" s="2146"/>
      <c r="T119" s="2146"/>
      <c r="U119" s="2146"/>
      <c r="V119" s="2146"/>
      <c r="W119" s="2146"/>
      <c r="X119" s="2146"/>
      <c r="Y119" s="2146"/>
      <c r="Z119" s="2146"/>
      <c r="AA119" s="2146"/>
      <c r="AB119" s="2146"/>
      <c r="AC119" s="2146"/>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30"/>
      <c r="B121" s="675" t="s">
        <v>775</v>
      </c>
      <c r="C121" s="690"/>
      <c r="D121" s="690"/>
      <c r="E121" s="690"/>
      <c r="F121" s="720"/>
      <c r="G121" s="691"/>
      <c r="H121" s="691"/>
      <c r="I121" s="691"/>
      <c r="J121" s="691"/>
      <c r="K121" s="691"/>
      <c r="L121" s="692"/>
      <c r="M121" s="693"/>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9"/>
      <c r="B122" s="672"/>
      <c r="C122" s="694"/>
      <c r="D122" s="694"/>
      <c r="E122" s="694"/>
      <c r="F122" s="694"/>
      <c r="G122" s="694"/>
      <c r="H122" s="694"/>
      <c r="I122" s="694"/>
      <c r="J122" s="694"/>
      <c r="K122" s="694"/>
      <c r="L122" s="694"/>
      <c r="M122" s="694"/>
      <c r="N122" s="2168"/>
      <c r="O122" s="2168"/>
      <c r="P122" s="2216"/>
      <c r="Q122" s="2170"/>
      <c r="R122" s="2171"/>
      <c r="S122" s="2171"/>
      <c r="T122" s="2171"/>
      <c r="U122" s="2171"/>
      <c r="V122" s="2171"/>
      <c r="W122" s="2171"/>
      <c r="X122" s="2171"/>
      <c r="Y122" s="2171"/>
      <c r="Z122" s="2171"/>
      <c r="AA122" s="2171"/>
      <c r="AB122" s="2171"/>
      <c r="AC122" s="2171"/>
    </row>
    <row r="123" spans="1:29" ht="15" thickTop="1">
      <c r="A123" s="737"/>
      <c r="B123" s="675" t="s">
        <v>755</v>
      </c>
      <c r="C123" s="690"/>
      <c r="D123" s="690"/>
      <c r="E123" s="690"/>
      <c r="F123" s="720"/>
      <c r="G123" s="720"/>
      <c r="H123" s="720"/>
      <c r="I123" s="720"/>
      <c r="J123" s="720"/>
      <c r="K123" s="721"/>
      <c r="L123" s="722"/>
      <c r="M123" s="723"/>
      <c r="N123" s="2165"/>
      <c r="O123" s="2165"/>
      <c r="P123" s="2215"/>
      <c r="Q123" s="2159"/>
      <c r="R123" s="2146"/>
      <c r="S123" s="2146"/>
      <c r="T123" s="2146"/>
      <c r="U123" s="2146"/>
      <c r="V123" s="2146"/>
      <c r="W123" s="2146"/>
      <c r="X123" s="2146"/>
      <c r="Y123" s="2146"/>
      <c r="Z123" s="2146"/>
      <c r="AA123" s="2146"/>
      <c r="AB123" s="2146"/>
      <c r="AC123" s="2146"/>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7"/>
      <c r="B125" s="675" t="s">
        <v>756</v>
      </c>
      <c r="C125" s="710" t="s">
        <v>580</v>
      </c>
      <c r="D125" s="710" t="s">
        <v>581</v>
      </c>
      <c r="E125" s="710" t="s">
        <v>582</v>
      </c>
      <c r="F125" s="710" t="s">
        <v>583</v>
      </c>
      <c r="G125" s="710" t="s">
        <v>584</v>
      </c>
      <c r="H125" s="676"/>
      <c r="I125" s="676"/>
      <c r="J125" s="676"/>
      <c r="K125" s="677"/>
      <c r="L125" s="678"/>
      <c r="M125" s="679"/>
      <c r="N125" s="2165"/>
      <c r="O125" s="2165"/>
      <c r="P125" s="2216"/>
      <c r="Q125" s="2159"/>
      <c r="R125" s="2146"/>
      <c r="S125" s="2146"/>
      <c r="T125" s="2146"/>
      <c r="U125" s="2146"/>
      <c r="V125" s="2146"/>
      <c r="W125" s="2146"/>
      <c r="X125" s="2146"/>
      <c r="Y125" s="2146"/>
      <c r="Z125" s="2146"/>
      <c r="AA125" s="2146"/>
      <c r="AB125" s="2146"/>
      <c r="AC125" s="2146"/>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30"/>
      <c r="B127" s="675">
        <f>B45</f>
        <v>111</v>
      </c>
      <c r="C127" s="690"/>
      <c r="D127" s="690"/>
      <c r="E127" s="690"/>
      <c r="F127" s="690"/>
      <c r="G127" s="690"/>
      <c r="H127" s="691"/>
      <c r="I127" s="691"/>
      <c r="J127" s="691"/>
      <c r="K127" s="691"/>
      <c r="L127" s="692"/>
      <c r="M127" s="693"/>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9"/>
      <c r="B128" s="680"/>
      <c r="C128" s="694"/>
      <c r="D128" s="673"/>
      <c r="E128" s="673"/>
      <c r="F128" s="673"/>
      <c r="G128" s="694"/>
      <c r="H128" s="695"/>
      <c r="I128" s="695"/>
      <c r="J128" s="695"/>
      <c r="K128" s="695"/>
      <c r="L128" s="695"/>
      <c r="M128" s="696"/>
      <c r="N128" s="2168"/>
      <c r="O128" s="2168"/>
      <c r="P128" s="2216"/>
      <c r="Q128" s="2170"/>
      <c r="R128" s="2171"/>
      <c r="S128" s="2171"/>
      <c r="T128" s="2171"/>
      <c r="U128" s="2171"/>
      <c r="V128" s="2171"/>
      <c r="W128" s="2171"/>
      <c r="X128" s="2171"/>
      <c r="Y128" s="2171"/>
      <c r="Z128" s="2171"/>
      <c r="AA128" s="2171"/>
      <c r="AB128" s="2171"/>
      <c r="AC128" s="2171"/>
    </row>
    <row r="129" spans="1:29" ht="15" thickTop="1">
      <c r="A129" s="737"/>
      <c r="B129" s="675">
        <f>B46</f>
        <v>111</v>
      </c>
      <c r="C129" s="690"/>
      <c r="D129" s="690"/>
      <c r="E129" s="690"/>
      <c r="F129" s="690"/>
      <c r="G129" s="720"/>
      <c r="H129" s="720"/>
      <c r="I129" s="720"/>
      <c r="J129" s="720"/>
      <c r="K129" s="721"/>
      <c r="L129" s="722"/>
      <c r="M129" s="723"/>
      <c r="N129" s="2165"/>
      <c r="O129" s="2165"/>
      <c r="P129" s="2215"/>
      <c r="Q129" s="2159"/>
      <c r="R129" s="2146"/>
      <c r="S129" s="2146"/>
      <c r="T129" s="2146"/>
      <c r="U129" s="2146"/>
      <c r="V129" s="2146"/>
      <c r="W129" s="2146"/>
      <c r="X129" s="2146"/>
      <c r="Y129" s="2146"/>
      <c r="Z129" s="2146"/>
      <c r="AA129" s="2146"/>
      <c r="AB129" s="2146"/>
      <c r="AC129" s="2146"/>
    </row>
    <row r="130" spans="1:29" ht="15.75" thickBot="1">
      <c r="A130" s="671"/>
      <c r="B130" s="680"/>
      <c r="C130" s="694"/>
      <c r="D130" s="694"/>
      <c r="E130" s="694"/>
      <c r="F130" s="694"/>
      <c r="G130" s="673"/>
      <c r="H130" s="673"/>
      <c r="I130" s="673"/>
      <c r="J130" s="673"/>
      <c r="K130" s="673"/>
      <c r="L130" s="673"/>
      <c r="M130" s="674"/>
      <c r="N130" s="2167"/>
      <c r="O130" s="2167"/>
      <c r="P130" s="2215"/>
      <c r="Q130" s="2159"/>
      <c r="R130" s="2146"/>
      <c r="S130" s="2146"/>
      <c r="T130" s="2146"/>
      <c r="U130" s="2146"/>
      <c r="V130" s="2146"/>
      <c r="W130" s="2146"/>
      <c r="X130" s="2146"/>
      <c r="Y130" s="2146"/>
      <c r="Z130" s="2146"/>
      <c r="AA130" s="2146"/>
      <c r="AB130" s="2146"/>
      <c r="AC130" s="2146"/>
    </row>
    <row r="131" spans="1:29" ht="15" thickTop="1">
      <c r="A131" s="737"/>
      <c r="B131" s="683">
        <f>B47</f>
        <v>111</v>
      </c>
      <c r="C131" s="663"/>
      <c r="D131" s="663"/>
      <c r="E131" s="663"/>
      <c r="F131" s="663"/>
      <c r="G131" s="724"/>
      <c r="H131" s="724"/>
      <c r="I131" s="724"/>
      <c r="J131" s="724"/>
      <c r="K131" s="663"/>
      <c r="L131" s="664"/>
      <c r="M131" s="727"/>
      <c r="N131" s="2165"/>
      <c r="O131" s="2165"/>
      <c r="P131" s="2215"/>
      <c r="Q131" s="2159"/>
      <c r="R131" s="2146"/>
      <c r="S131" s="2146"/>
      <c r="T131" s="2146"/>
      <c r="U131" s="2146"/>
      <c r="V131" s="2146"/>
      <c r="W131" s="2146"/>
      <c r="X131" s="2146"/>
      <c r="Y131" s="2146"/>
      <c r="Z131" s="2146"/>
      <c r="AA131" s="2146"/>
      <c r="AB131" s="2146"/>
      <c r="AC131" s="2146"/>
    </row>
    <row r="132" spans="1:29" ht="15.75" thickBot="1">
      <c r="A132" s="894"/>
      <c r="B132" s="701"/>
      <c r="C132" s="702"/>
      <c r="D132" s="702"/>
      <c r="E132" s="702"/>
      <c r="F132" s="702"/>
      <c r="G132" s="728"/>
      <c r="H132" s="728"/>
      <c r="I132" s="728"/>
      <c r="J132" s="728"/>
      <c r="K132" s="728"/>
      <c r="L132" s="728"/>
      <c r="M132" s="729"/>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719</v>
      </c>
      <c r="B1" s="506" t="s">
        <v>788</v>
      </c>
      <c r="C1" s="507" t="s">
        <v>721</v>
      </c>
      <c r="D1" s="851"/>
      <c r="E1" s="509"/>
      <c r="F1" s="2834"/>
      <c r="G1" s="1601" t="s">
        <v>722</v>
      </c>
      <c r="H1" s="509"/>
      <c r="I1" s="509"/>
      <c r="J1" s="509"/>
      <c r="K1" s="510"/>
      <c r="L1" s="1562"/>
      <c r="M1" s="1563"/>
      <c r="N1" s="1563"/>
      <c r="O1" s="1563"/>
      <c r="P1" s="1564"/>
      <c r="Q1" s="1564"/>
      <c r="R1" s="1564"/>
      <c r="S1" s="1564"/>
      <c r="T1" s="1564"/>
      <c r="U1" s="1564"/>
      <c r="V1" s="1564"/>
      <c r="W1" s="1564"/>
      <c r="X1" s="1564"/>
      <c r="Y1" s="1564"/>
      <c r="Z1" s="1564"/>
      <c r="AA1" s="1564"/>
      <c r="AB1" s="1564"/>
      <c r="AC1" s="431"/>
    </row>
    <row r="2" spans="1:29" s="1336" customFormat="1" ht="28.5" customHeight="1">
      <c r="A2" s="426" t="s">
        <v>467</v>
      </c>
      <c r="B2" s="852"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31"/>
    </row>
    <row r="3" spans="1:29" s="1336" customFormat="1" ht="28.5" customHeight="1" thickBot="1">
      <c r="A3" s="512" t="s">
        <v>520</v>
      </c>
      <c r="B3" s="513" t="e">
        <f>C43</f>
        <v>#DIV/0!</v>
      </c>
      <c r="C3" s="854" t="s">
        <v>723</v>
      </c>
      <c r="D3" s="853">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31"/>
    </row>
    <row r="4" spans="1:29" ht="15">
      <c r="A4" s="515" t="s">
        <v>522</v>
      </c>
      <c r="B4" s="516"/>
      <c r="C4" s="3523" t="s">
        <v>523</v>
      </c>
      <c r="D4" s="3524"/>
      <c r="E4" s="3548" t="s">
        <v>524</v>
      </c>
      <c r="F4" s="3549"/>
      <c r="G4" s="3523" t="s">
        <v>525</v>
      </c>
      <c r="H4" s="3524"/>
      <c r="I4" s="3523" t="s">
        <v>526</v>
      </c>
      <c r="J4" s="3524"/>
      <c r="K4" s="517" t="s">
        <v>527</v>
      </c>
      <c r="L4" s="2134"/>
      <c r="M4" s="2135"/>
      <c r="N4" s="2135"/>
      <c r="O4" s="2135"/>
      <c r="P4" s="3525" t="s">
        <v>528</v>
      </c>
      <c r="Q4" s="3526"/>
      <c r="R4" s="3511" t="s">
        <v>524</v>
      </c>
      <c r="S4" s="3512"/>
      <c r="T4" s="3511" t="s">
        <v>525</v>
      </c>
      <c r="U4" s="3512"/>
      <c r="V4" s="3531" t="s">
        <v>526</v>
      </c>
      <c r="W4" s="3531"/>
      <c r="X4" s="1567"/>
      <c r="Y4" s="3511" t="s">
        <v>528</v>
      </c>
      <c r="Z4" s="3512"/>
      <c r="AA4" s="3506" t="s">
        <v>524</v>
      </c>
      <c r="AB4" s="3507" t="s">
        <v>525</v>
      </c>
      <c r="AC4" s="3506" t="s">
        <v>526</v>
      </c>
    </row>
    <row r="5" spans="1:29" ht="15">
      <c r="A5" s="518"/>
      <c r="B5" s="519"/>
      <c r="C5" s="3534" t="s">
        <v>2924</v>
      </c>
      <c r="D5" s="3535"/>
      <c r="E5" s="3550" t="s">
        <v>2925</v>
      </c>
      <c r="F5" s="3551"/>
      <c r="G5" s="3534" t="s">
        <v>2926</v>
      </c>
      <c r="H5" s="3535"/>
      <c r="I5" s="3534" t="s">
        <v>2927</v>
      </c>
      <c r="J5" s="3535"/>
      <c r="K5" s="517"/>
      <c r="L5" s="2134"/>
      <c r="M5" s="2135"/>
      <c r="N5" s="2135"/>
      <c r="O5" s="2135"/>
      <c r="P5" s="3527"/>
      <c r="Q5" s="3528"/>
      <c r="R5" s="3513"/>
      <c r="S5" s="3514"/>
      <c r="T5" s="3513"/>
      <c r="U5" s="3514"/>
      <c r="V5" s="3531"/>
      <c r="W5" s="3531"/>
      <c r="X5" s="1567"/>
      <c r="Y5" s="3513"/>
      <c r="Z5" s="3514"/>
      <c r="AA5" s="3507"/>
      <c r="AB5" s="3507"/>
      <c r="AC5" s="3507"/>
    </row>
    <row r="6" spans="1:29" ht="15.75" thickBot="1">
      <c r="A6" s="520"/>
      <c r="B6" s="521"/>
      <c r="C6" s="3532" t="s">
        <v>2928</v>
      </c>
      <c r="D6" s="3533"/>
      <c r="E6" s="3552" t="s">
        <v>2928</v>
      </c>
      <c r="F6" s="3553"/>
      <c r="G6" s="3532" t="s">
        <v>2928</v>
      </c>
      <c r="H6" s="3533"/>
      <c r="I6" s="3532" t="s">
        <v>2928</v>
      </c>
      <c r="J6" s="3533"/>
      <c r="K6" s="517" t="s">
        <v>529</v>
      </c>
      <c r="L6" s="2134"/>
      <c r="M6" s="2135"/>
      <c r="N6" s="2135"/>
      <c r="O6" s="2135"/>
      <c r="P6" s="3529"/>
      <c r="Q6" s="3530"/>
      <c r="R6" s="3513"/>
      <c r="S6" s="3514"/>
      <c r="T6" s="3515"/>
      <c r="U6" s="3516"/>
      <c r="V6" s="3531"/>
      <c r="W6" s="3531"/>
      <c r="X6" s="1567"/>
      <c r="Y6" s="3515"/>
      <c r="Z6" s="3516"/>
      <c r="AA6" s="3508"/>
      <c r="AB6" s="3508"/>
      <c r="AC6" s="3508"/>
    </row>
    <row r="7" spans="1:29" s="1220" customFormat="1" ht="15.75" thickBot="1">
      <c r="A7" s="2939"/>
      <c r="B7" s="2946" t="s">
        <v>530</v>
      </c>
      <c r="C7" s="522">
        <f>'数据-取费表'!B2</f>
        <v>43052</v>
      </c>
      <c r="D7" s="523">
        <v>100</v>
      </c>
      <c r="E7" s="524"/>
      <c r="F7" s="525">
        <f>SUMIF(52:52,YEAR(E7)&amp;"-"&amp;MONTH(E7),53:53)</f>
        <v>0</v>
      </c>
      <c r="G7" s="524"/>
      <c r="H7" s="523">
        <f>SUMIF(52:52,YEAR(G7)&amp;"-"&amp;MONTH(G7),53:53)</f>
        <v>0</v>
      </c>
      <c r="I7" s="524"/>
      <c r="J7" s="523">
        <f>SUMIF(52:52,YEAR(I7)&amp;"-"&amp;MONTH(I7),53:53)</f>
        <v>0</v>
      </c>
      <c r="K7" s="527"/>
      <c r="L7" s="2136"/>
      <c r="M7" s="2137"/>
      <c r="N7" s="2137"/>
      <c r="O7" s="2137"/>
      <c r="P7" s="3509" t="s">
        <v>531</v>
      </c>
      <c r="Q7" s="3518"/>
      <c r="R7" s="1568" t="s">
        <v>8</v>
      </c>
      <c r="S7" s="1569">
        <f t="shared" ref="S7:S15" si="0">F7</f>
        <v>0</v>
      </c>
      <c r="T7" s="1568" t="s">
        <v>8</v>
      </c>
      <c r="U7" s="1569">
        <f t="shared" ref="U7:U15" si="1">H7</f>
        <v>0</v>
      </c>
      <c r="V7" s="1568" t="s">
        <v>8</v>
      </c>
      <c r="W7" s="1569">
        <f t="shared" ref="W7:W15" si="2">J7</f>
        <v>0</v>
      </c>
      <c r="X7" s="1570"/>
      <c r="Y7" s="3509" t="s">
        <v>531</v>
      </c>
      <c r="Z7" s="3510"/>
      <c r="AA7" s="1571" t="e">
        <f>D7/F7</f>
        <v>#DIV/0!</v>
      </c>
      <c r="AB7" s="1571" t="e">
        <f>D7/H7</f>
        <v>#DIV/0!</v>
      </c>
      <c r="AC7" s="1571" t="e">
        <f>D7/J7</f>
        <v>#DIV/0!</v>
      </c>
    </row>
    <row r="8" spans="1:29" s="1220" customFormat="1" ht="15.75" thickBot="1">
      <c r="A8" s="2940"/>
      <c r="B8" s="2947" t="s">
        <v>532</v>
      </c>
      <c r="C8" s="528" t="s">
        <v>577</v>
      </c>
      <c r="D8" s="523">
        <v>100</v>
      </c>
      <c r="E8" s="528"/>
      <c r="F8" s="525">
        <f>SUMIF(55:55,E8,56:56)-SUMIF(55:55,C8,56:56)+100</f>
        <v>0</v>
      </c>
      <c r="G8" s="528"/>
      <c r="H8" s="523">
        <f>SUMIF(55:55,G8,56:56)-SUMIF(55:55,C8,56:56)+100</f>
        <v>0</v>
      </c>
      <c r="I8" s="528"/>
      <c r="J8" s="523">
        <f>SUMIF(55:55,I8,56:56)-SUMIF(55:55,C8,56:56)+100</f>
        <v>0</v>
      </c>
      <c r="K8" s="527"/>
      <c r="L8" s="2136"/>
      <c r="M8" s="2137"/>
      <c r="N8" s="2137"/>
      <c r="O8" s="2137"/>
      <c r="P8" s="3509" t="s">
        <v>534</v>
      </c>
      <c r="Q8" s="3510"/>
      <c r="R8" s="1568" t="s">
        <v>8</v>
      </c>
      <c r="S8" s="1569">
        <f t="shared" si="0"/>
        <v>0</v>
      </c>
      <c r="T8" s="1568" t="s">
        <v>8</v>
      </c>
      <c r="U8" s="1569">
        <f t="shared" si="1"/>
        <v>0</v>
      </c>
      <c r="V8" s="1568" t="s">
        <v>8</v>
      </c>
      <c r="W8" s="1569">
        <f t="shared" si="2"/>
        <v>0</v>
      </c>
      <c r="X8" s="1570"/>
      <c r="Y8" s="3509" t="s">
        <v>534</v>
      </c>
      <c r="Z8" s="3510"/>
      <c r="AA8" s="1571" t="e">
        <f t="shared" ref="AA8:AA40" si="3">D8/F8</f>
        <v>#DIV/0!</v>
      </c>
      <c r="AB8" s="1571" t="e">
        <f t="shared" ref="AB8:AB40" si="4">D8/H8</f>
        <v>#DIV/0!</v>
      </c>
      <c r="AC8" s="1571" t="e">
        <f t="shared" ref="AC8:AC40" si="5">D8/J8</f>
        <v>#DIV/0!</v>
      </c>
    </row>
    <row r="9" spans="1:29" s="1220" customFormat="1" ht="15">
      <c r="A9" s="2941"/>
      <c r="B9" s="2948" t="s">
        <v>2759</v>
      </c>
      <c r="C9" s="859"/>
      <c r="D9" s="254">
        <v>100</v>
      </c>
      <c r="E9" s="862"/>
      <c r="F9" s="254">
        <f>SUMIF(57:57,E9,58:58)-SUMIF(57:57,C9,58:58)+100</f>
        <v>100</v>
      </c>
      <c r="G9" s="860"/>
      <c r="H9" s="254">
        <f>SUMIF(57:57,G9,58:58)-SUMIF(57:57,C9,58:58)+100</f>
        <v>100</v>
      </c>
      <c r="I9" s="860"/>
      <c r="J9" s="254">
        <f>SUMIF(57:57,I9,58:58)-SUMIF(57:57,C9,58:58)+100</f>
        <v>100</v>
      </c>
      <c r="K9" s="527"/>
      <c r="L9" s="2136"/>
      <c r="M9" s="2137"/>
      <c r="N9" s="2137"/>
      <c r="O9" s="2138"/>
      <c r="P9" s="3517" t="s">
        <v>536</v>
      </c>
      <c r="Q9" s="1151" t="str">
        <f t="shared" ref="Q9:Q15" si="6">B9</f>
        <v>用途</v>
      </c>
      <c r="R9" s="1568" t="s">
        <v>8</v>
      </c>
      <c r="S9" s="1569">
        <f t="shared" si="0"/>
        <v>100</v>
      </c>
      <c r="T9" s="1568" t="s">
        <v>8</v>
      </c>
      <c r="U9" s="1569">
        <f t="shared" si="1"/>
        <v>100</v>
      </c>
      <c r="V9" s="1568" t="s">
        <v>8</v>
      </c>
      <c r="W9" s="1569">
        <f t="shared" si="2"/>
        <v>100</v>
      </c>
      <c r="X9" s="1570"/>
      <c r="Y9" s="3474" t="s">
        <v>537</v>
      </c>
      <c r="Z9" s="1150" t="str">
        <f t="shared" ref="Z9:Z15" si="7">Q9</f>
        <v>用途</v>
      </c>
      <c r="AA9" s="1571">
        <f t="shared" si="3"/>
        <v>1</v>
      </c>
      <c r="AB9" s="1571">
        <f t="shared" si="4"/>
        <v>1</v>
      </c>
      <c r="AC9" s="1571">
        <f t="shared" si="5"/>
        <v>1</v>
      </c>
    </row>
    <row r="10" spans="1:29" s="1338" customFormat="1" ht="27">
      <c r="A10" s="2942"/>
      <c r="B10" s="2947" t="s">
        <v>2760</v>
      </c>
      <c r="C10" s="863"/>
      <c r="D10" s="255">
        <v>100</v>
      </c>
      <c r="E10" s="863"/>
      <c r="F10" s="255">
        <f>SUMIF(59:59,E10,60:60)-SUMIF(59:59,C10,60:60)+100</f>
        <v>100</v>
      </c>
      <c r="G10" s="864"/>
      <c r="H10" s="255">
        <f>SUMIF(59:59,G10,60:60)-SUMIF(59:59,C10,60:60)+100</f>
        <v>100</v>
      </c>
      <c r="I10" s="863"/>
      <c r="J10" s="255">
        <f>SUMIF(59:59,I10,60:60)-SUMIF(59:59,C10,60:60)+100</f>
        <v>100</v>
      </c>
      <c r="K10" s="586"/>
      <c r="L10" s="2139"/>
      <c r="M10" s="2179"/>
      <c r="N10" s="2179"/>
      <c r="O10" s="2140"/>
      <c r="P10" s="3517"/>
      <c r="Q10" s="1151" t="str">
        <f t="shared" si="6"/>
        <v>土地使用年限（年）</v>
      </c>
      <c r="R10" s="1568" t="s">
        <v>8</v>
      </c>
      <c r="S10" s="1569">
        <f t="shared" si="0"/>
        <v>100</v>
      </c>
      <c r="T10" s="1568" t="s">
        <v>8</v>
      </c>
      <c r="U10" s="1569">
        <f t="shared" si="1"/>
        <v>100</v>
      </c>
      <c r="V10" s="1568" t="s">
        <v>8</v>
      </c>
      <c r="W10" s="1569">
        <f t="shared" si="2"/>
        <v>100</v>
      </c>
      <c r="X10" s="1570"/>
      <c r="Y10" s="3474"/>
      <c r="Z10" s="1150" t="str">
        <f t="shared" si="7"/>
        <v>土地使用年限（年）</v>
      </c>
      <c r="AA10" s="1571">
        <f t="shared" si="3"/>
        <v>1</v>
      </c>
      <c r="AB10" s="1571">
        <f t="shared" si="4"/>
        <v>1</v>
      </c>
      <c r="AC10" s="1571">
        <f t="shared" si="5"/>
        <v>1</v>
      </c>
    </row>
    <row r="11" spans="1:29" ht="15">
      <c r="A11" s="2943"/>
      <c r="B11" s="2947" t="s">
        <v>2761</v>
      </c>
      <c r="C11" s="536"/>
      <c r="D11" s="255">
        <v>100</v>
      </c>
      <c r="E11" s="536"/>
      <c r="F11" s="255" t="e">
        <f>LOOKUP(E11,62:62,63:63)-LOOKUP(C11,62:62,63:63)+100</f>
        <v>#N/A</v>
      </c>
      <c r="G11" s="537"/>
      <c r="H11" s="255" t="e">
        <f>LOOKUP(G11,62:62,63:63)-LOOKUP(C11,62:62,63:63)+100</f>
        <v>#N/A</v>
      </c>
      <c r="I11" s="536"/>
      <c r="J11" s="255" t="e">
        <f>LOOKUP(I11,62:62,63:63)-LOOKUP(C11,62:62,63:63)+100</f>
        <v>#N/A</v>
      </c>
      <c r="K11" s="586"/>
      <c r="L11" s="2141"/>
      <c r="M11" s="2135"/>
      <c r="N11" s="2135"/>
      <c r="O11" s="2142"/>
      <c r="P11" s="3517"/>
      <c r="Q11" s="1151" t="str">
        <f t="shared" si="6"/>
        <v>容积率</v>
      </c>
      <c r="R11" s="1568" t="s">
        <v>8</v>
      </c>
      <c r="S11" s="1569" t="e">
        <f t="shared" si="0"/>
        <v>#N/A</v>
      </c>
      <c r="T11" s="1568" t="s">
        <v>8</v>
      </c>
      <c r="U11" s="1569" t="e">
        <f t="shared" si="1"/>
        <v>#N/A</v>
      </c>
      <c r="V11" s="1568" t="s">
        <v>8</v>
      </c>
      <c r="W11" s="1569" t="e">
        <f t="shared" si="2"/>
        <v>#N/A</v>
      </c>
      <c r="X11" s="1570"/>
      <c r="Y11" s="3474"/>
      <c r="Z11" s="1150" t="str">
        <f t="shared" si="7"/>
        <v>容积率</v>
      </c>
      <c r="AA11" s="1571" t="e">
        <f t="shared" si="3"/>
        <v>#N/A</v>
      </c>
      <c r="AB11" s="1571" t="e">
        <f t="shared" si="4"/>
        <v>#N/A</v>
      </c>
      <c r="AC11" s="1571" t="e">
        <f t="shared" si="5"/>
        <v>#N/A</v>
      </c>
    </row>
    <row r="12" spans="1:29" s="1220" customFormat="1" ht="15">
      <c r="A12" s="2944"/>
      <c r="B12" s="2950">
        <v>111</v>
      </c>
      <c r="C12" s="531"/>
      <c r="D12" s="541">
        <v>100</v>
      </c>
      <c r="E12" s="542"/>
      <c r="F12" s="255">
        <f>SUMIF(64:64,E12,65:65)-SUMIF(64:64,C12,65:65)+100</f>
        <v>100</v>
      </c>
      <c r="G12" s="921"/>
      <c r="H12" s="255">
        <f>SUMIF(64:64,G12,65:65)-SUMIF(64:64,C12,65:65)+100</f>
        <v>100</v>
      </c>
      <c r="I12" s="881"/>
      <c r="J12" s="255">
        <f>SUMIF(64:64,I12,65:65)-SUMIF(64:64,C12,65:65)+100</f>
        <v>100</v>
      </c>
      <c r="K12" s="583"/>
      <c r="L12" s="2136"/>
      <c r="M12" s="2137"/>
      <c r="N12" s="2137"/>
      <c r="O12" s="2138"/>
      <c r="P12" s="3517"/>
      <c r="Q12" s="1151">
        <f t="shared" si="6"/>
        <v>111</v>
      </c>
      <c r="R12" s="1568" t="s">
        <v>8</v>
      </c>
      <c r="S12" s="1569">
        <f t="shared" si="0"/>
        <v>100</v>
      </c>
      <c r="T12" s="1568" t="s">
        <v>8</v>
      </c>
      <c r="U12" s="1569">
        <f t="shared" si="1"/>
        <v>100</v>
      </c>
      <c r="V12" s="1568" t="s">
        <v>8</v>
      </c>
      <c r="W12" s="1569">
        <f t="shared" si="2"/>
        <v>100</v>
      </c>
      <c r="X12" s="1570"/>
      <c r="Y12" s="3474"/>
      <c r="Z12" s="1150">
        <f t="shared" si="7"/>
        <v>111</v>
      </c>
      <c r="AA12" s="1571">
        <f>D12/F12</f>
        <v>1</v>
      </c>
      <c r="AB12" s="1571">
        <f>D12/H12</f>
        <v>1</v>
      </c>
      <c r="AC12" s="1571">
        <f>D12/J12</f>
        <v>1</v>
      </c>
    </row>
    <row r="13" spans="1:29" ht="15">
      <c r="A13" s="2944"/>
      <c r="B13" s="2950">
        <v>111</v>
      </c>
      <c r="C13" s="542"/>
      <c r="D13" s="543">
        <v>100</v>
      </c>
      <c r="E13" s="542"/>
      <c r="F13" s="255">
        <f>SUMIF(66:66,E13,67:67)-SUMIF(66:66,C13,67:67)+100</f>
        <v>100</v>
      </c>
      <c r="G13" s="921"/>
      <c r="H13" s="543">
        <f>SUMIF(66:66,G13,67:67)-SUMIF(66:66,C13,67:67)+100</f>
        <v>100</v>
      </c>
      <c r="I13" s="881"/>
      <c r="J13" s="543">
        <f>SUMIF(66:66,I13,67:67)-SUMIF(66:66,C13,67:67)+100</f>
        <v>100</v>
      </c>
      <c r="K13" s="583"/>
      <c r="L13" s="2143"/>
      <c r="M13" s="2135"/>
      <c r="N13" s="2135"/>
      <c r="O13" s="2142"/>
      <c r="P13" s="3517"/>
      <c r="Q13" s="1151">
        <f t="shared" si="6"/>
        <v>111</v>
      </c>
      <c r="R13" s="1568" t="s">
        <v>8</v>
      </c>
      <c r="S13" s="1569">
        <f t="shared" si="0"/>
        <v>100</v>
      </c>
      <c r="T13" s="1568" t="s">
        <v>8</v>
      </c>
      <c r="U13" s="1569">
        <f t="shared" si="1"/>
        <v>100</v>
      </c>
      <c r="V13" s="1568" t="s">
        <v>8</v>
      </c>
      <c r="W13" s="1569">
        <f t="shared" si="2"/>
        <v>100</v>
      </c>
      <c r="X13" s="1570"/>
      <c r="Y13" s="3474"/>
      <c r="Z13" s="1150">
        <f t="shared" si="7"/>
        <v>111</v>
      </c>
      <c r="AA13" s="1571">
        <f t="shared" si="3"/>
        <v>1</v>
      </c>
      <c r="AB13" s="1571">
        <f t="shared" si="4"/>
        <v>1</v>
      </c>
      <c r="AC13" s="1571">
        <f t="shared" si="5"/>
        <v>1</v>
      </c>
    </row>
    <row r="14" spans="1:29" ht="15.75" thickBot="1">
      <c r="A14" s="2945"/>
      <c r="B14" s="2951">
        <v>111</v>
      </c>
      <c r="C14" s="548"/>
      <c r="D14" s="549">
        <v>100</v>
      </c>
      <c r="E14" s="548"/>
      <c r="F14" s="549">
        <f>SUMIF(68:68,E14,69:69)-SUMIF(68:68,C14,69:69)+100</f>
        <v>100</v>
      </c>
      <c r="G14" s="921"/>
      <c r="H14" s="549">
        <f>SUMIF(68:68,G14,69:69)-SUMIF(68:68,C14,69:69)+100</f>
        <v>100</v>
      </c>
      <c r="I14" s="881"/>
      <c r="J14" s="549">
        <f>SUMIF(68:68,I14,69:69)-SUMIF(68:68,C14,69:69)+100</f>
        <v>100</v>
      </c>
      <c r="K14" s="583"/>
      <c r="L14" s="2143"/>
      <c r="M14" s="2135"/>
      <c r="N14" s="2135"/>
      <c r="O14" s="2142"/>
      <c r="P14" s="3517"/>
      <c r="Q14" s="1151">
        <f t="shared" si="6"/>
        <v>111</v>
      </c>
      <c r="R14" s="1568" t="s">
        <v>8</v>
      </c>
      <c r="S14" s="1569">
        <f t="shared" si="0"/>
        <v>100</v>
      </c>
      <c r="T14" s="1568" t="s">
        <v>8</v>
      </c>
      <c r="U14" s="1569">
        <f t="shared" si="1"/>
        <v>100</v>
      </c>
      <c r="V14" s="1568" t="s">
        <v>8</v>
      </c>
      <c r="W14" s="1569">
        <f t="shared" si="2"/>
        <v>100</v>
      </c>
      <c r="X14" s="1570"/>
      <c r="Y14" s="3474"/>
      <c r="Z14" s="1150">
        <f t="shared" si="7"/>
        <v>111</v>
      </c>
      <c r="AA14" s="1571">
        <f t="shared" si="3"/>
        <v>1</v>
      </c>
      <c r="AB14" s="1571">
        <f t="shared" si="4"/>
        <v>1</v>
      </c>
      <c r="AC14" s="1571">
        <f t="shared" si="5"/>
        <v>1</v>
      </c>
    </row>
    <row r="15" spans="1:29" ht="15">
      <c r="A15" s="2937" t="s">
        <v>2757</v>
      </c>
      <c r="B15" s="166" t="s">
        <v>789</v>
      </c>
      <c r="C15" s="922">
        <f>估价对象房地状况!G3</f>
        <v>0</v>
      </c>
      <c r="D15" s="552">
        <v>100</v>
      </c>
      <c r="E15" s="553"/>
      <c r="F15" s="554">
        <f>SUMIF(70:70,E16,71:71)-SUMIF(70:70,C16,71:71)+100</f>
        <v>100</v>
      </c>
      <c r="G15" s="555"/>
      <c r="H15" s="552">
        <f>SUMIF(70:70,G16,71:71)-SUMIF(70:70,C16,71:71)+100</f>
        <v>100</v>
      </c>
      <c r="I15" s="553"/>
      <c r="J15" s="552">
        <f>SUMIF(70:70,I16,71:71)-SUMIF(70:70,C16,71:71)+100</f>
        <v>100</v>
      </c>
      <c r="K15" s="899"/>
      <c r="L15" s="2143"/>
      <c r="M15" s="2135"/>
      <c r="N15" s="2135"/>
      <c r="O15" s="2142"/>
      <c r="P15" s="3519" t="s">
        <v>541</v>
      </c>
      <c r="Q15" s="1572" t="str">
        <f t="shared" si="6"/>
        <v>产业集聚程度</v>
      </c>
      <c r="R15" s="1573" t="s">
        <v>8</v>
      </c>
      <c r="S15" s="1574">
        <f t="shared" si="0"/>
        <v>100</v>
      </c>
      <c r="T15" s="1573" t="s">
        <v>8</v>
      </c>
      <c r="U15" s="1574">
        <f t="shared" si="1"/>
        <v>100</v>
      </c>
      <c r="V15" s="1573" t="s">
        <v>8</v>
      </c>
      <c r="W15" s="1574">
        <f t="shared" si="2"/>
        <v>100</v>
      </c>
      <c r="X15" s="1567"/>
      <c r="Y15" s="3519" t="s">
        <v>541</v>
      </c>
      <c r="Z15" s="1575" t="str">
        <f t="shared" si="7"/>
        <v>产业集聚程度</v>
      </c>
      <c r="AA15" s="1576">
        <f t="shared" si="3"/>
        <v>1</v>
      </c>
      <c r="AB15" s="1576">
        <f t="shared" si="4"/>
        <v>1</v>
      </c>
      <c r="AC15" s="1576">
        <f t="shared" si="5"/>
        <v>1</v>
      </c>
    </row>
    <row r="16" spans="1:29" ht="15">
      <c r="A16" s="535"/>
      <c r="B16" s="871"/>
      <c r="C16" s="578"/>
      <c r="D16" s="558"/>
      <c r="E16" s="578"/>
      <c r="F16" s="560"/>
      <c r="G16" s="578"/>
      <c r="H16" s="562"/>
      <c r="I16" s="578"/>
      <c r="J16" s="558"/>
      <c r="K16" s="900"/>
      <c r="L16" s="2143"/>
      <c r="M16" s="2135"/>
      <c r="N16" s="2135"/>
      <c r="O16" s="2142"/>
      <c r="P16" s="3520"/>
      <c r="Q16" s="1572"/>
      <c r="R16" s="1573"/>
      <c r="S16" s="1574"/>
      <c r="T16" s="1573"/>
      <c r="U16" s="1574"/>
      <c r="V16" s="1573"/>
      <c r="W16" s="1574"/>
      <c r="X16" s="1567"/>
      <c r="Y16" s="3520"/>
      <c r="Z16" s="1575"/>
      <c r="AA16" s="1576">
        <v>1</v>
      </c>
      <c r="AB16" s="1576">
        <v>1</v>
      </c>
      <c r="AC16" s="1576">
        <v>1</v>
      </c>
    </row>
    <row r="17" spans="1:29" ht="15">
      <c r="A17" s="535"/>
      <c r="B17" s="873" t="s">
        <v>296</v>
      </c>
      <c r="C17" s="874">
        <f>估价对象房地状况!G4</f>
        <v>0</v>
      </c>
      <c r="D17" s="562">
        <v>100</v>
      </c>
      <c r="E17" s="564"/>
      <c r="F17" s="565">
        <f>SUMIF(72:72,E18,73:73)-SUMIF(72:72,C18,73:73)+100</f>
        <v>100</v>
      </c>
      <c r="G17" s="566"/>
      <c r="H17" s="567">
        <f>SUMIF(72:72,G18,73:73)-SUMIF(72:72,C18,73:73)+100</f>
        <v>100</v>
      </c>
      <c r="I17" s="564"/>
      <c r="J17" s="567">
        <f>SUMIF(72:72,I18,73:73)-SUMIF(72:72,C18,73:73)+100</f>
        <v>100</v>
      </c>
      <c r="K17" s="899"/>
      <c r="L17" s="2143"/>
      <c r="M17" s="2135"/>
      <c r="N17" s="2135"/>
      <c r="O17" s="2142"/>
      <c r="P17" s="3520"/>
      <c r="Q17" s="1572" t="str">
        <f>B17</f>
        <v>交通便捷度</v>
      </c>
      <c r="R17" s="1573" t="s">
        <v>8</v>
      </c>
      <c r="S17" s="1574">
        <f>F17</f>
        <v>100</v>
      </c>
      <c r="T17" s="1573" t="s">
        <v>8</v>
      </c>
      <c r="U17" s="1574">
        <f>H17</f>
        <v>100</v>
      </c>
      <c r="V17" s="1573" t="s">
        <v>8</v>
      </c>
      <c r="W17" s="1574">
        <f>J17</f>
        <v>100</v>
      </c>
      <c r="X17" s="1567"/>
      <c r="Y17" s="3520"/>
      <c r="Z17" s="1575" t="str">
        <f>Q17</f>
        <v>交通便捷度</v>
      </c>
      <c r="AA17" s="1576">
        <f t="shared" si="3"/>
        <v>1</v>
      </c>
      <c r="AB17" s="1576">
        <f t="shared" si="4"/>
        <v>1</v>
      </c>
      <c r="AC17" s="1576">
        <f t="shared" si="5"/>
        <v>1</v>
      </c>
    </row>
    <row r="18" spans="1:29" ht="15">
      <c r="A18" s="535"/>
      <c r="B18" s="597"/>
      <c r="C18" s="875"/>
      <c r="D18" s="562"/>
      <c r="E18" s="570"/>
      <c r="F18" s="565"/>
      <c r="G18" s="571"/>
      <c r="H18" s="558"/>
      <c r="I18" s="570"/>
      <c r="J18" s="558"/>
      <c r="K18" s="900"/>
      <c r="L18" s="2143"/>
      <c r="M18" s="2135"/>
      <c r="N18" s="2135"/>
      <c r="O18" s="2142"/>
      <c r="P18" s="3520"/>
      <c r="Q18" s="1572"/>
      <c r="R18" s="1573"/>
      <c r="S18" s="1574"/>
      <c r="T18" s="1573"/>
      <c r="U18" s="1574"/>
      <c r="V18" s="1573"/>
      <c r="W18" s="1574"/>
      <c r="X18" s="1567"/>
      <c r="Y18" s="3520"/>
      <c r="Z18" s="1575"/>
      <c r="AA18" s="1576">
        <v>1</v>
      </c>
      <c r="AB18" s="1576">
        <v>1</v>
      </c>
      <c r="AC18" s="1576">
        <v>1</v>
      </c>
    </row>
    <row r="19" spans="1:29" ht="15">
      <c r="A19" s="535"/>
      <c r="B19" s="2628" t="s">
        <v>2548</v>
      </c>
      <c r="C19" s="874">
        <f>估价对象房地状况!G5</f>
        <v>0</v>
      </c>
      <c r="D19" s="567">
        <v>100</v>
      </c>
      <c r="E19" s="572"/>
      <c r="F19" s="573">
        <f>SUMIF(74:74,E20,75:75)-SUMIF(74:74,C20,75:75)+100</f>
        <v>100</v>
      </c>
      <c r="G19" s="574"/>
      <c r="H19" s="562">
        <f>SUMIF(74:74,G20,75:75)-SUMIF(74:74,C20,75:75)+100</f>
        <v>100</v>
      </c>
      <c r="I19" s="572"/>
      <c r="J19" s="562">
        <f>SUMIF(74:74,I20,75:75)-SUMIF(74:74,C20,75:75)+100</f>
        <v>100</v>
      </c>
      <c r="K19" s="899"/>
      <c r="L19" s="2143"/>
      <c r="M19" s="2135"/>
      <c r="N19" s="2135"/>
      <c r="O19" s="2142"/>
      <c r="P19" s="3520"/>
      <c r="Q19" s="1572" t="str">
        <f>B19</f>
        <v>公共配套设施</v>
      </c>
      <c r="R19" s="1573" t="s">
        <v>8</v>
      </c>
      <c r="S19" s="1574">
        <f>F19</f>
        <v>100</v>
      </c>
      <c r="T19" s="1573" t="s">
        <v>8</v>
      </c>
      <c r="U19" s="1574">
        <f>H19</f>
        <v>100</v>
      </c>
      <c r="V19" s="1573" t="s">
        <v>8</v>
      </c>
      <c r="W19" s="1574">
        <f>J19</f>
        <v>100</v>
      </c>
      <c r="X19" s="1567"/>
      <c r="Y19" s="3520"/>
      <c r="Z19" s="1575" t="str">
        <f>Q19</f>
        <v>公共配套设施</v>
      </c>
      <c r="AA19" s="1576">
        <f t="shared" si="3"/>
        <v>1</v>
      </c>
      <c r="AB19" s="1576">
        <f t="shared" si="4"/>
        <v>1</v>
      </c>
      <c r="AC19" s="1576">
        <f t="shared" si="5"/>
        <v>1</v>
      </c>
    </row>
    <row r="20" spans="1:29" ht="15">
      <c r="A20" s="535"/>
      <c r="B20" s="568"/>
      <c r="C20" s="578"/>
      <c r="D20" s="558"/>
      <c r="E20" s="559"/>
      <c r="F20" s="560"/>
      <c r="G20" s="561"/>
      <c r="H20" s="558"/>
      <c r="I20" s="559"/>
      <c r="J20" s="558"/>
      <c r="K20" s="900"/>
      <c r="L20" s="2143"/>
      <c r="M20" s="2135"/>
      <c r="N20" s="2135"/>
      <c r="O20" s="2142"/>
      <c r="P20" s="3520"/>
      <c r="Q20" s="1572"/>
      <c r="R20" s="1573"/>
      <c r="S20" s="1574"/>
      <c r="T20" s="1573"/>
      <c r="U20" s="1574"/>
      <c r="V20" s="1573"/>
      <c r="W20" s="1574"/>
      <c r="X20" s="1567"/>
      <c r="Y20" s="3520"/>
      <c r="Z20" s="1575"/>
      <c r="AA20" s="1576">
        <v>1</v>
      </c>
      <c r="AB20" s="1576">
        <v>1</v>
      </c>
      <c r="AC20" s="1576">
        <v>1</v>
      </c>
    </row>
    <row r="21" spans="1:29" ht="15">
      <c r="A21" s="535"/>
      <c r="B21" s="2616" t="s">
        <v>2560</v>
      </c>
      <c r="C21" s="874">
        <f>估价对象房地状况!G6</f>
        <v>0</v>
      </c>
      <c r="D21" s="567">
        <v>100</v>
      </c>
      <c r="E21" s="574"/>
      <c r="F21" s="573">
        <f>SUMIF(76:76,E22,77:77)-SUMIF(76:76,C22,77:77)+100</f>
        <v>100</v>
      </c>
      <c r="G21" s="574"/>
      <c r="H21" s="567">
        <f>SUMIF(76:76,G22,77:77)-SUMIF(76:76,C22,77:77)+100</f>
        <v>100</v>
      </c>
      <c r="I21" s="572"/>
      <c r="J21" s="567">
        <f>SUMIF(76:76,I22,77:77)-SUMIF(76:76,C22,77:77)+100</f>
        <v>100</v>
      </c>
      <c r="K21" s="899"/>
      <c r="L21" s="2143"/>
      <c r="M21" s="2135"/>
      <c r="N21" s="2135"/>
      <c r="O21" s="2142"/>
      <c r="P21" s="3520"/>
      <c r="Q21" s="2604" t="str">
        <f>B21</f>
        <v>基础设施水平</v>
      </c>
      <c r="R21" s="1573" t="s">
        <v>8</v>
      </c>
      <c r="S21" s="1574">
        <f>F21</f>
        <v>100</v>
      </c>
      <c r="T21" s="1573" t="s">
        <v>8</v>
      </c>
      <c r="U21" s="1574">
        <f>H21</f>
        <v>100</v>
      </c>
      <c r="V21" s="1573" t="s">
        <v>8</v>
      </c>
      <c r="W21" s="1574">
        <f>J21</f>
        <v>100</v>
      </c>
      <c r="X21" s="2606"/>
      <c r="Y21" s="3520"/>
      <c r="Z21" s="2605" t="str">
        <f>Q21</f>
        <v>基础设施水平</v>
      </c>
      <c r="AA21" s="1576">
        <f t="shared" ref="AA21" si="8">D21/F21</f>
        <v>1</v>
      </c>
      <c r="AB21" s="1576">
        <f t="shared" ref="AB21" si="9">D21/H21</f>
        <v>1</v>
      </c>
      <c r="AC21" s="1576">
        <f t="shared" ref="AC21" si="10">D21/J21</f>
        <v>1</v>
      </c>
    </row>
    <row r="22" spans="1:29" ht="15">
      <c r="A22" s="535"/>
      <c r="B22" s="580"/>
      <c r="C22" s="875"/>
      <c r="D22" s="558"/>
      <c r="E22" s="578"/>
      <c r="F22" s="560"/>
      <c r="G22" s="578"/>
      <c r="H22" s="558"/>
      <c r="I22" s="578"/>
      <c r="J22" s="558"/>
      <c r="K22" s="2627"/>
      <c r="L22" s="2143"/>
      <c r="M22" s="2135"/>
      <c r="N22" s="2135"/>
      <c r="O22" s="2142"/>
      <c r="P22" s="3520"/>
      <c r="Q22" s="2604"/>
      <c r="R22" s="1573"/>
      <c r="S22" s="1574"/>
      <c r="T22" s="1573"/>
      <c r="U22" s="1574"/>
      <c r="V22" s="1573"/>
      <c r="W22" s="1574"/>
      <c r="X22" s="2606"/>
      <c r="Y22" s="3520"/>
      <c r="Z22" s="2605"/>
      <c r="AA22" s="1576">
        <v>1</v>
      </c>
      <c r="AB22" s="1576">
        <v>1</v>
      </c>
      <c r="AC22" s="1576">
        <v>1</v>
      </c>
    </row>
    <row r="23" spans="1:29" ht="15">
      <c r="A23" s="535"/>
      <c r="B23" s="873" t="s">
        <v>778</v>
      </c>
      <c r="C23" s="874">
        <f>估价对象房地状况!G7</f>
        <v>0</v>
      </c>
      <c r="D23" s="562">
        <v>100</v>
      </c>
      <c r="E23" s="564"/>
      <c r="F23" s="565">
        <f>SUMIF(78:78,E24,79:79)-SUMIF(78:78,C24,79:79)+100</f>
        <v>100</v>
      </c>
      <c r="G23" s="566"/>
      <c r="H23" s="562">
        <f>SUMIF(78:78,G24,79:79)-SUMIF(78:78,C24,79:79)+100</f>
        <v>100</v>
      </c>
      <c r="I23" s="564"/>
      <c r="J23" s="562">
        <f>SUMIF(78:78,I24,79:79)-SUMIF(78:78,C24,79:79)+100</f>
        <v>100</v>
      </c>
      <c r="K23" s="899"/>
      <c r="L23" s="2143"/>
      <c r="M23" s="2135"/>
      <c r="N23" s="2135"/>
      <c r="O23" s="2142"/>
      <c r="P23" s="3520"/>
      <c r="Q23" s="1572" t="str">
        <f>B23</f>
        <v>环境质量</v>
      </c>
      <c r="R23" s="1573" t="s">
        <v>8</v>
      </c>
      <c r="S23" s="1574">
        <f>F23</f>
        <v>100</v>
      </c>
      <c r="T23" s="1573" t="s">
        <v>8</v>
      </c>
      <c r="U23" s="1574">
        <f>H23</f>
        <v>100</v>
      </c>
      <c r="V23" s="1573" t="s">
        <v>8</v>
      </c>
      <c r="W23" s="1574">
        <f>J23</f>
        <v>100</v>
      </c>
      <c r="X23" s="1567"/>
      <c r="Y23" s="3520"/>
      <c r="Z23" s="1575" t="str">
        <f>Q23</f>
        <v>环境质量</v>
      </c>
      <c r="AA23" s="1576">
        <f t="shared" si="3"/>
        <v>1</v>
      </c>
      <c r="AB23" s="1576">
        <f t="shared" si="4"/>
        <v>1</v>
      </c>
      <c r="AC23" s="1576">
        <f t="shared" si="5"/>
        <v>1</v>
      </c>
    </row>
    <row r="24" spans="1:29" ht="15">
      <c r="A24" s="535"/>
      <c r="B24" s="923"/>
      <c r="C24" s="578"/>
      <c r="D24" s="558"/>
      <c r="E24" s="559"/>
      <c r="F24" s="560"/>
      <c r="G24" s="561"/>
      <c r="H24" s="558"/>
      <c r="I24" s="559"/>
      <c r="J24" s="558"/>
      <c r="K24" s="900"/>
      <c r="L24" s="2143"/>
      <c r="M24" s="2135"/>
      <c r="N24" s="2135"/>
      <c r="O24" s="2142"/>
      <c r="P24" s="3520"/>
      <c r="Q24" s="1572"/>
      <c r="R24" s="1573"/>
      <c r="S24" s="1574"/>
      <c r="T24" s="1573"/>
      <c r="U24" s="1574"/>
      <c r="V24" s="1573"/>
      <c r="W24" s="1574"/>
      <c r="X24" s="1567"/>
      <c r="Y24" s="3520"/>
      <c r="Z24" s="1575"/>
      <c r="AA24" s="1576">
        <v>1</v>
      </c>
      <c r="AB24" s="1576">
        <v>1</v>
      </c>
      <c r="AC24" s="1576">
        <v>1</v>
      </c>
    </row>
    <row r="25" spans="1:29" ht="15">
      <c r="A25" s="518"/>
      <c r="B25" s="879">
        <v>111</v>
      </c>
      <c r="C25" s="542"/>
      <c r="D25" s="543">
        <v>100</v>
      </c>
      <c r="E25" s="542"/>
      <c r="F25" s="577">
        <f>SUMIF(80:80,E25,81:81)-SUMIF(80:80,C25,81:81)+100</f>
        <v>100</v>
      </c>
      <c r="G25" s="542"/>
      <c r="H25" s="543">
        <f>SUMIF(80:80,G25,81:81)-SUMIF(80:80,C25,81:81)+100</f>
        <v>100</v>
      </c>
      <c r="I25" s="542"/>
      <c r="J25" s="543">
        <f>SUMIF(80:80,I25,81:81)-SUMIF(80:80,C25,81:81)+100</f>
        <v>100</v>
      </c>
      <c r="K25" s="583"/>
      <c r="L25" s="2143"/>
      <c r="M25" s="2135"/>
      <c r="N25" s="2135"/>
      <c r="O25" s="2142"/>
      <c r="P25" s="3520"/>
      <c r="Q25" s="1572">
        <f>B25</f>
        <v>111</v>
      </c>
      <c r="R25" s="1573" t="s">
        <v>8</v>
      </c>
      <c r="S25" s="1574">
        <f>F25</f>
        <v>100</v>
      </c>
      <c r="T25" s="1573" t="s">
        <v>8</v>
      </c>
      <c r="U25" s="1574">
        <f>H25</f>
        <v>100</v>
      </c>
      <c r="V25" s="1573" t="s">
        <v>8</v>
      </c>
      <c r="W25" s="1574">
        <f>J25</f>
        <v>100</v>
      </c>
      <c r="X25" s="1567"/>
      <c r="Y25" s="3520"/>
      <c r="Z25" s="1575">
        <f>Q25</f>
        <v>111</v>
      </c>
      <c r="AA25" s="1576">
        <f t="shared" si="3"/>
        <v>1</v>
      </c>
      <c r="AB25" s="1576">
        <f t="shared" si="4"/>
        <v>1</v>
      </c>
      <c r="AC25" s="1576">
        <f t="shared" si="5"/>
        <v>1</v>
      </c>
    </row>
    <row r="26" spans="1:29" ht="15">
      <c r="A26" s="535"/>
      <c r="B26" s="879">
        <v>111</v>
      </c>
      <c r="C26" s="542"/>
      <c r="D26" s="543">
        <v>100</v>
      </c>
      <c r="E26" s="542"/>
      <c r="F26" s="577">
        <f>SUMIF(82:82,E26,83:83)-SUMIF(82:82,C26,83:83)+100</f>
        <v>100</v>
      </c>
      <c r="G26" s="542"/>
      <c r="H26" s="543">
        <f>SUMIF(82:82,G26,83:83)-SUMIF(82:82,C26,83:83)+100</f>
        <v>100</v>
      </c>
      <c r="I26" s="542"/>
      <c r="J26" s="543">
        <f>SUMIF(82:82,I26,83:83)-SUMIF(82:82,C26,83:83)+100</f>
        <v>100</v>
      </c>
      <c r="K26" s="583"/>
      <c r="L26" s="2143"/>
      <c r="M26" s="2135"/>
      <c r="N26" s="2135"/>
      <c r="O26" s="2142"/>
      <c r="P26" s="3520"/>
      <c r="Q26" s="1572">
        <f t="shared" ref="Q26:Q40" si="11">B26</f>
        <v>111</v>
      </c>
      <c r="R26" s="1573" t="s">
        <v>8</v>
      </c>
      <c r="S26" s="1574">
        <f>F26</f>
        <v>100</v>
      </c>
      <c r="T26" s="1573" t="s">
        <v>8</v>
      </c>
      <c r="U26" s="1574">
        <f>H26</f>
        <v>100</v>
      </c>
      <c r="V26" s="1573" t="s">
        <v>8</v>
      </c>
      <c r="W26" s="1574">
        <f>J26</f>
        <v>100</v>
      </c>
      <c r="X26" s="1567"/>
      <c r="Y26" s="3520"/>
      <c r="Z26" s="1575">
        <f>Q26</f>
        <v>111</v>
      </c>
      <c r="AA26" s="1576">
        <f t="shared" si="3"/>
        <v>1</v>
      </c>
      <c r="AB26" s="1576">
        <f t="shared" si="4"/>
        <v>1</v>
      </c>
      <c r="AC26" s="1576">
        <f t="shared" si="5"/>
        <v>1</v>
      </c>
    </row>
    <row r="27" spans="1:29" s="1220" customFormat="1" ht="15">
      <c r="A27" s="539"/>
      <c r="B27" s="879">
        <v>111</v>
      </c>
      <c r="C27" s="542"/>
      <c r="D27" s="877">
        <v>100</v>
      </c>
      <c r="E27" s="542"/>
      <c r="F27" s="878">
        <f>SUMIF(84:84,E27,85:85)-SUMIF(84:84,C27,85:85)+100</f>
        <v>100</v>
      </c>
      <c r="G27" s="542"/>
      <c r="H27" s="877">
        <f>SUMIF(84:84,G27,85:85)-SUMIF(84:84,C27,85:85)+100</f>
        <v>100</v>
      </c>
      <c r="I27" s="542"/>
      <c r="J27" s="877">
        <f>SUMIF(84:84,I27,85:85)-SUMIF(84:84,C27,85:85)+100</f>
        <v>100</v>
      </c>
      <c r="K27" s="583"/>
      <c r="L27" s="2136"/>
      <c r="M27" s="2137"/>
      <c r="N27" s="2137"/>
      <c r="O27" s="2138"/>
      <c r="P27" s="3520"/>
      <c r="Q27" s="1151">
        <f t="shared" si="11"/>
        <v>111</v>
      </c>
      <c r="R27" s="1568" t="s">
        <v>8</v>
      </c>
      <c r="S27" s="1569">
        <f>F27</f>
        <v>100</v>
      </c>
      <c r="T27" s="1568" t="s">
        <v>8</v>
      </c>
      <c r="U27" s="1569">
        <f>H27</f>
        <v>100</v>
      </c>
      <c r="V27" s="1568" t="s">
        <v>8</v>
      </c>
      <c r="W27" s="1569">
        <f>J27</f>
        <v>100</v>
      </c>
      <c r="X27" s="1570"/>
      <c r="Y27" s="3520"/>
      <c r="Z27" s="1150">
        <f>Q27</f>
        <v>111</v>
      </c>
      <c r="AA27" s="1576">
        <f>D27/F27</f>
        <v>1</v>
      </c>
      <c r="AB27" s="1576">
        <f>D27/H27</f>
        <v>1</v>
      </c>
      <c r="AC27" s="1576">
        <f>D27/J27</f>
        <v>1</v>
      </c>
    </row>
    <row r="28" spans="1:29" ht="15.75" thickBot="1">
      <c r="A28" s="546"/>
      <c r="B28" s="879">
        <v>111</v>
      </c>
      <c r="C28" s="548"/>
      <c r="D28" s="549">
        <v>100</v>
      </c>
      <c r="E28" s="542"/>
      <c r="F28" s="868">
        <f>SUMIF(86:86,E28,87:87)-SUMIF(86:86,C28,87:87)+100</f>
        <v>100</v>
      </c>
      <c r="G28" s="881"/>
      <c r="H28" s="549">
        <f>SUMIF(86:86,G28,87:87)-SUMIF(86:86,C28,87:87)+100</f>
        <v>100</v>
      </c>
      <c r="I28" s="881"/>
      <c r="J28" s="549">
        <f>SUMIF(86:86,I28,87:87)-SUMIF(86:86,C28,87:87)+100</f>
        <v>100</v>
      </c>
      <c r="K28" s="583"/>
      <c r="L28" s="2143"/>
      <c r="M28" s="2135"/>
      <c r="N28" s="2135"/>
      <c r="O28" s="2142"/>
      <c r="P28" s="3520"/>
      <c r="Q28" s="1572">
        <f t="shared" si="11"/>
        <v>111</v>
      </c>
      <c r="R28" s="1573" t="s">
        <v>8</v>
      </c>
      <c r="S28" s="1574">
        <f t="shared" ref="S28:S40" si="12">F28</f>
        <v>100</v>
      </c>
      <c r="T28" s="1573" t="s">
        <v>8</v>
      </c>
      <c r="U28" s="1574">
        <f t="shared" ref="U28:U40" si="13">H28</f>
        <v>100</v>
      </c>
      <c r="V28" s="1573" t="s">
        <v>8</v>
      </c>
      <c r="W28" s="1574">
        <f t="shared" ref="W28:W40" si="14">J28</f>
        <v>100</v>
      </c>
      <c r="X28" s="1567"/>
      <c r="Y28" s="3520"/>
      <c r="Z28" s="1575">
        <f t="shared" ref="Z28:Z40" si="15">Q28</f>
        <v>111</v>
      </c>
      <c r="AA28" s="1576">
        <f t="shared" si="3"/>
        <v>1</v>
      </c>
      <c r="AB28" s="1576">
        <f t="shared" si="4"/>
        <v>1</v>
      </c>
      <c r="AC28" s="1576">
        <f t="shared" si="5"/>
        <v>1</v>
      </c>
    </row>
    <row r="29" spans="1:29" ht="15">
      <c r="A29" s="2934" t="s">
        <v>2758</v>
      </c>
      <c r="B29" s="172" t="s">
        <v>780</v>
      </c>
      <c r="C29" s="917"/>
      <c r="D29" s="599">
        <v>100</v>
      </c>
      <c r="E29" s="917"/>
      <c r="F29" s="577">
        <f>SUMIF(88:88,E29,89:89)-SUMIF(88:88,C29,89:89)+100</f>
        <v>100</v>
      </c>
      <c r="G29" s="917"/>
      <c r="H29" s="543">
        <f>SUMIF(88:88,G29,89:89)-SUMIF(88:88,C29,89:89)+100</f>
        <v>100</v>
      </c>
      <c r="I29" s="917"/>
      <c r="J29" s="599">
        <f>SUMIF(88:88,I29,89:89)-SUMIF(88:88,C29,89:89)+100</f>
        <v>100</v>
      </c>
      <c r="K29" s="586"/>
      <c r="L29" s="2143"/>
      <c r="M29" s="2135"/>
      <c r="N29" s="2135"/>
      <c r="O29" s="2142"/>
      <c r="P29" s="3521" t="s">
        <v>551</v>
      </c>
      <c r="Q29" s="1572" t="str">
        <f t="shared" si="11"/>
        <v>建筑类型</v>
      </c>
      <c r="R29" s="1573" t="s">
        <v>8</v>
      </c>
      <c r="S29" s="1574">
        <f t="shared" si="12"/>
        <v>100</v>
      </c>
      <c r="T29" s="1573" t="s">
        <v>8</v>
      </c>
      <c r="U29" s="1574">
        <f t="shared" si="13"/>
        <v>100</v>
      </c>
      <c r="V29" s="1573" t="s">
        <v>8</v>
      </c>
      <c r="W29" s="1574">
        <f t="shared" si="14"/>
        <v>100</v>
      </c>
      <c r="X29" s="1567"/>
      <c r="Y29" s="3522" t="s">
        <v>551</v>
      </c>
      <c r="Z29" s="1575" t="str">
        <f t="shared" si="15"/>
        <v>建筑类型</v>
      </c>
      <c r="AA29" s="1576">
        <f t="shared" si="3"/>
        <v>1</v>
      </c>
      <c r="AB29" s="1576">
        <f t="shared" si="4"/>
        <v>1</v>
      </c>
      <c r="AC29" s="1576">
        <f t="shared" si="5"/>
        <v>1</v>
      </c>
    </row>
    <row r="30" spans="1:29" s="1339" customFormat="1" ht="15">
      <c r="A30" s="605"/>
      <c r="B30" s="530" t="s">
        <v>726</v>
      </c>
      <c r="C30" s="881"/>
      <c r="D30" s="255">
        <v>100</v>
      </c>
      <c r="E30" s="537"/>
      <c r="F30" s="865" t="e">
        <f>LOOKUP(E30,91:91,92:92)-LOOKUP(C30,91:91,92:92)+100</f>
        <v>#N/A</v>
      </c>
      <c r="G30" s="536"/>
      <c r="H30" s="255" t="e">
        <f>LOOKUP(G30,91:91,92:92)-LOOKUP(C30,91:91,92:92)+100</f>
        <v>#N/A</v>
      </c>
      <c r="I30" s="536"/>
      <c r="J30" s="255" t="e">
        <f>LOOKUP(I30,91:91,92:92)-LOOKUP(C30,91:91,92:92)+100</f>
        <v>#N/A</v>
      </c>
      <c r="K30" s="583"/>
      <c r="L30" s="2141"/>
      <c r="M30" s="2172"/>
      <c r="N30" s="2172"/>
      <c r="O30" s="2144"/>
      <c r="P30" s="3522"/>
      <c r="Q30" s="1605" t="str">
        <f t="shared" si="11"/>
        <v>项目建筑规模</v>
      </c>
      <c r="R30" s="1577" t="s">
        <v>8</v>
      </c>
      <c r="S30" s="1578" t="e">
        <f t="shared" si="12"/>
        <v>#N/A</v>
      </c>
      <c r="T30" s="1577" t="s">
        <v>8</v>
      </c>
      <c r="U30" s="1578" t="e">
        <f t="shared" si="13"/>
        <v>#N/A</v>
      </c>
      <c r="V30" s="1577" t="s">
        <v>8</v>
      </c>
      <c r="W30" s="1578" t="e">
        <f t="shared" si="14"/>
        <v>#N/A</v>
      </c>
      <c r="X30" s="1579"/>
      <c r="Y30" s="3522"/>
      <c r="Z30" s="1580" t="str">
        <f t="shared" si="15"/>
        <v>项目建筑规模</v>
      </c>
      <c r="AA30" s="1576" t="e">
        <f t="shared" si="3"/>
        <v>#N/A</v>
      </c>
      <c r="AB30" s="1576" t="e">
        <f t="shared" si="4"/>
        <v>#N/A</v>
      </c>
      <c r="AC30" s="1576" t="e">
        <f t="shared" si="5"/>
        <v>#N/A</v>
      </c>
    </row>
    <row r="31" spans="1:29" ht="15">
      <c r="A31" s="596"/>
      <c r="B31" s="530" t="s">
        <v>727</v>
      </c>
      <c r="C31" s="576"/>
      <c r="D31" s="543">
        <v>100</v>
      </c>
      <c r="E31" s="576"/>
      <c r="F31" s="577">
        <f>SUMIF(93:93,E31,94:94)-SUMIF(93:93,C31,94:94)+100</f>
        <v>100</v>
      </c>
      <c r="G31" s="576"/>
      <c r="H31" s="543">
        <f>SUMIF(93:93,G31,94:94)-SUMIF(93:93,C31,94:94)+100</f>
        <v>100</v>
      </c>
      <c r="I31" s="576"/>
      <c r="J31" s="543">
        <f>SUMIF(93:93,I31,94:94)-SUMIF(93:93,C31,94:94)+100</f>
        <v>100</v>
      </c>
      <c r="K31" s="586"/>
      <c r="L31" s="2143"/>
      <c r="M31" s="2135"/>
      <c r="N31" s="2135"/>
      <c r="O31" s="2142"/>
      <c r="P31" s="3522"/>
      <c r="Q31" s="1572" t="str">
        <f t="shared" si="11"/>
        <v>建筑结构</v>
      </c>
      <c r="R31" s="1573" t="s">
        <v>8</v>
      </c>
      <c r="S31" s="1574">
        <f t="shared" si="12"/>
        <v>100</v>
      </c>
      <c r="T31" s="1573" t="s">
        <v>8</v>
      </c>
      <c r="U31" s="1574">
        <f t="shared" si="13"/>
        <v>100</v>
      </c>
      <c r="V31" s="1573" t="s">
        <v>8</v>
      </c>
      <c r="W31" s="1574">
        <f t="shared" si="14"/>
        <v>100</v>
      </c>
      <c r="X31" s="1567"/>
      <c r="Y31" s="3522"/>
      <c r="Z31" s="1575" t="str">
        <f t="shared" si="15"/>
        <v>建筑结构</v>
      </c>
      <c r="AA31" s="1576">
        <f t="shared" si="3"/>
        <v>1</v>
      </c>
      <c r="AB31" s="1576">
        <f t="shared" si="4"/>
        <v>1</v>
      </c>
      <c r="AC31" s="1576">
        <f t="shared" si="5"/>
        <v>1</v>
      </c>
    </row>
    <row r="32" spans="1:29" ht="15">
      <c r="A32" s="596"/>
      <c r="B32" s="530" t="s">
        <v>763</v>
      </c>
      <c r="C32" s="576"/>
      <c r="D32" s="543">
        <v>100</v>
      </c>
      <c r="E32" s="576"/>
      <c r="F32" s="577">
        <f>SUMIF(95:95,E32,96:96)-SUMIF(95:95,C32,96:96)+100</f>
        <v>100</v>
      </c>
      <c r="G32" s="576"/>
      <c r="H32" s="543">
        <f>SUMIF(95:95,G32,96:96)-SUMIF(95:95,C32,96:96)+100</f>
        <v>100</v>
      </c>
      <c r="I32" s="576"/>
      <c r="J32" s="543">
        <f>SUMIF(95:95,I32,96:96)-SUMIF(95:95,C32,96:96)+100</f>
        <v>100</v>
      </c>
      <c r="K32" s="586"/>
      <c r="L32" s="2143"/>
      <c r="M32" s="2135"/>
      <c r="N32" s="2135"/>
      <c r="O32" s="2142"/>
      <c r="P32" s="3522"/>
      <c r="Q32" s="1572" t="str">
        <f t="shared" si="11"/>
        <v>公共部分装修</v>
      </c>
      <c r="R32" s="1573" t="s">
        <v>8</v>
      </c>
      <c r="S32" s="1574">
        <f t="shared" si="12"/>
        <v>100</v>
      </c>
      <c r="T32" s="1573" t="s">
        <v>8</v>
      </c>
      <c r="U32" s="1574">
        <f t="shared" si="13"/>
        <v>100</v>
      </c>
      <c r="V32" s="1573" t="s">
        <v>8</v>
      </c>
      <c r="W32" s="1574">
        <f t="shared" si="14"/>
        <v>100</v>
      </c>
      <c r="X32" s="1567"/>
      <c r="Y32" s="3522"/>
      <c r="Z32" s="1575" t="str">
        <f t="shared" si="15"/>
        <v>公共部分装修</v>
      </c>
      <c r="AA32" s="1576">
        <f t="shared" si="3"/>
        <v>1</v>
      </c>
      <c r="AB32" s="1576">
        <f t="shared" si="4"/>
        <v>1</v>
      </c>
      <c r="AC32" s="1576">
        <f t="shared" si="5"/>
        <v>1</v>
      </c>
    </row>
    <row r="33" spans="1:29" ht="15">
      <c r="A33" s="596"/>
      <c r="B33" s="530" t="s">
        <v>764</v>
      </c>
      <c r="C33" s="881"/>
      <c r="D33" s="543">
        <v>100</v>
      </c>
      <c r="E33" s="884"/>
      <c r="F33" s="577" t="e">
        <f>LOOKUP(E33,98:98,99:99)-LOOKUP(C33,98:98,99:99)+100</f>
        <v>#N/A</v>
      </c>
      <c r="G33" s="884"/>
      <c r="H33" s="577" t="e">
        <f>LOOKUP(G33,98:98,99:99)-LOOKUP(C33,98:98,99:99)+100</f>
        <v>#N/A</v>
      </c>
      <c r="I33" s="884"/>
      <c r="J33" s="543" t="e">
        <f>LOOKUP(I33,98:98,99:99)-LOOKUP(C33,98:98,99:99)+100</f>
        <v>#N/A</v>
      </c>
      <c r="K33" s="586"/>
      <c r="L33" s="2143"/>
      <c r="M33" s="2135"/>
      <c r="N33" s="2135"/>
      <c r="O33" s="2142"/>
      <c r="P33" s="3522"/>
      <c r="Q33" s="1572" t="str">
        <f t="shared" si="11"/>
        <v>成新度</v>
      </c>
      <c r="R33" s="1573" t="s">
        <v>8</v>
      </c>
      <c r="S33" s="1574" t="e">
        <f t="shared" si="12"/>
        <v>#N/A</v>
      </c>
      <c r="T33" s="1573" t="s">
        <v>8</v>
      </c>
      <c r="U33" s="1574" t="e">
        <f t="shared" si="13"/>
        <v>#N/A</v>
      </c>
      <c r="V33" s="1573" t="s">
        <v>8</v>
      </c>
      <c r="W33" s="1574" t="e">
        <f t="shared" si="14"/>
        <v>#N/A</v>
      </c>
      <c r="X33" s="1567"/>
      <c r="Y33" s="3522"/>
      <c r="Z33" s="1575" t="str">
        <f t="shared" si="15"/>
        <v>成新度</v>
      </c>
      <c r="AA33" s="1576" t="e">
        <f t="shared" si="3"/>
        <v>#N/A</v>
      </c>
      <c r="AB33" s="1576" t="e">
        <f t="shared" si="4"/>
        <v>#N/A</v>
      </c>
      <c r="AC33" s="1576" t="e">
        <f t="shared" si="5"/>
        <v>#N/A</v>
      </c>
    </row>
    <row r="34" spans="1:29" s="1220" customFormat="1" ht="15">
      <c r="A34" s="602"/>
      <c r="B34" s="530" t="s">
        <v>782</v>
      </c>
      <c r="C34" s="576"/>
      <c r="D34" s="255">
        <v>100</v>
      </c>
      <c r="E34" s="576"/>
      <c r="F34" s="577">
        <f>SUMIF(100:100,E34,101:101)-SUMIF(100:100,C34,101:101)+100</f>
        <v>100</v>
      </c>
      <c r="G34" s="576"/>
      <c r="H34" s="543">
        <f>SUMIF(100:100,G34,101:101)-SUMIF(100:100,C34,101:101)+100</f>
        <v>100</v>
      </c>
      <c r="I34" s="576"/>
      <c r="J34" s="543">
        <f>SUMIF(100:100,I34,101:101)-SUMIF(100:100,C34,101:101)+100</f>
        <v>100</v>
      </c>
      <c r="K34" s="586"/>
      <c r="L34" s="2136"/>
      <c r="M34" s="2137"/>
      <c r="N34" s="2137"/>
      <c r="O34" s="2138"/>
      <c r="P34" s="3522"/>
      <c r="Q34" s="1151" t="str">
        <f t="shared" si="11"/>
        <v>物业管理</v>
      </c>
      <c r="R34" s="1568" t="s">
        <v>8</v>
      </c>
      <c r="S34" s="1569">
        <f t="shared" si="12"/>
        <v>100</v>
      </c>
      <c r="T34" s="1568" t="s">
        <v>8</v>
      </c>
      <c r="U34" s="1569">
        <f t="shared" si="13"/>
        <v>100</v>
      </c>
      <c r="V34" s="1568" t="s">
        <v>8</v>
      </c>
      <c r="W34" s="1569">
        <f t="shared" si="14"/>
        <v>100</v>
      </c>
      <c r="X34" s="1570"/>
      <c r="Y34" s="3522"/>
      <c r="Z34" s="1150" t="str">
        <f t="shared" si="15"/>
        <v>物业管理</v>
      </c>
      <c r="AA34" s="1571">
        <f t="shared" si="3"/>
        <v>1</v>
      </c>
      <c r="AB34" s="1571">
        <f t="shared" si="4"/>
        <v>1</v>
      </c>
      <c r="AC34" s="1571">
        <f t="shared" si="5"/>
        <v>1</v>
      </c>
    </row>
    <row r="35" spans="1:29" ht="15">
      <c r="A35" s="596"/>
      <c r="B35" s="1896" t="s">
        <v>2567</v>
      </c>
      <c r="C35" s="576"/>
      <c r="D35" s="543">
        <v>100</v>
      </c>
      <c r="E35" s="576"/>
      <c r="F35" s="577">
        <f>SUMIF(102:102,E35,103:103)-SUMIF(102:102,C35,103:103)+100</f>
        <v>100</v>
      </c>
      <c r="G35" s="576"/>
      <c r="H35" s="543">
        <f>SUMIF(102:102,G35,103:103)-SUMIF(102:102,C35,103:103)+100</f>
        <v>100</v>
      </c>
      <c r="I35" s="576"/>
      <c r="J35" s="543">
        <f>SUMIF(102:102,I35,103:103)-SUMIF(102:102,C35,103:103)+100</f>
        <v>100</v>
      </c>
      <c r="K35" s="586"/>
      <c r="L35" s="2143"/>
      <c r="M35" s="2135"/>
      <c r="N35" s="2135"/>
      <c r="O35" s="2142"/>
      <c r="P35" s="3522" t="s">
        <v>551</v>
      </c>
      <c r="Q35" s="1572" t="str">
        <f t="shared" si="11"/>
        <v>市政基础设施</v>
      </c>
      <c r="R35" s="1573" t="s">
        <v>8</v>
      </c>
      <c r="S35" s="1574">
        <f t="shared" si="12"/>
        <v>100</v>
      </c>
      <c r="T35" s="1573" t="s">
        <v>8</v>
      </c>
      <c r="U35" s="1574">
        <f t="shared" si="13"/>
        <v>100</v>
      </c>
      <c r="V35" s="1573" t="s">
        <v>8</v>
      </c>
      <c r="W35" s="1574">
        <f t="shared" si="14"/>
        <v>100</v>
      </c>
      <c r="X35" s="1567"/>
      <c r="Y35" s="3522" t="s">
        <v>551</v>
      </c>
      <c r="Z35" s="1575" t="str">
        <f t="shared" si="15"/>
        <v>市政基础设施</v>
      </c>
      <c r="AA35" s="1576">
        <f t="shared" si="3"/>
        <v>1</v>
      </c>
      <c r="AB35" s="1576">
        <f t="shared" si="4"/>
        <v>1</v>
      </c>
      <c r="AC35" s="1576">
        <f t="shared" si="5"/>
        <v>1</v>
      </c>
    </row>
    <row r="36" spans="1:29" ht="15">
      <c r="A36" s="596"/>
      <c r="B36" s="530" t="s">
        <v>770</v>
      </c>
      <c r="C36" s="576"/>
      <c r="D36" s="543">
        <v>100</v>
      </c>
      <c r="E36" s="576"/>
      <c r="F36" s="577">
        <f>SUMIF(104:104,E36,105:105)-SUMIF(104:104,C36,105:105)+100</f>
        <v>100</v>
      </c>
      <c r="G36" s="576"/>
      <c r="H36" s="543">
        <f>SUMIF(104:104,G36,105:105)-SUMIF(104:104,C36,105:105)+100</f>
        <v>100</v>
      </c>
      <c r="I36" s="576"/>
      <c r="J36" s="543">
        <f>SUMIF(104:104,I36,105:105)-SUMIF(104:104,C36,105:105)+100</f>
        <v>100</v>
      </c>
      <c r="K36" s="586"/>
      <c r="L36" s="2143"/>
      <c r="M36" s="2135"/>
      <c r="N36" s="2135"/>
      <c r="O36" s="2142"/>
      <c r="P36" s="3522"/>
      <c r="Q36" s="1572" t="str">
        <f t="shared" si="11"/>
        <v>内部装修</v>
      </c>
      <c r="R36" s="1573" t="s">
        <v>8</v>
      </c>
      <c r="S36" s="1574">
        <f t="shared" si="12"/>
        <v>100</v>
      </c>
      <c r="T36" s="1573" t="s">
        <v>8</v>
      </c>
      <c r="U36" s="1574">
        <f t="shared" si="13"/>
        <v>100</v>
      </c>
      <c r="V36" s="1573" t="s">
        <v>8</v>
      </c>
      <c r="W36" s="1574">
        <f t="shared" si="14"/>
        <v>100</v>
      </c>
      <c r="X36" s="1567"/>
      <c r="Y36" s="3522"/>
      <c r="Z36" s="1575" t="str">
        <f t="shared" si="15"/>
        <v>内部装修</v>
      </c>
      <c r="AA36" s="1576">
        <f t="shared" si="3"/>
        <v>1</v>
      </c>
      <c r="AB36" s="1576">
        <f t="shared" si="4"/>
        <v>1</v>
      </c>
      <c r="AC36" s="1576">
        <f t="shared" si="5"/>
        <v>1</v>
      </c>
    </row>
    <row r="37" spans="1:29" ht="15">
      <c r="A37" s="596"/>
      <c r="B37" s="530" t="s">
        <v>790</v>
      </c>
      <c r="C37" s="585"/>
      <c r="D37" s="543">
        <v>100</v>
      </c>
      <c r="E37" s="585"/>
      <c r="F37" s="577">
        <f>SUMIF(106:106,E37,107:107)-SUMIF(106:106,C37,107:107)+100</f>
        <v>100</v>
      </c>
      <c r="G37" s="585"/>
      <c r="H37" s="543">
        <f>SUMIF(106:106,G37,107:107)-SUMIF(106:106,C37,107:107)+100</f>
        <v>100</v>
      </c>
      <c r="I37" s="585"/>
      <c r="J37" s="543">
        <f>SUMIF(106:106,I37,107:107)-SUMIF(106:106,C37,107:107)+100</f>
        <v>100</v>
      </c>
      <c r="K37" s="586"/>
      <c r="L37" s="2143"/>
      <c r="M37" s="2135"/>
      <c r="N37" s="2135"/>
      <c r="O37" s="2142"/>
      <c r="P37" s="3522"/>
      <c r="Q37" s="1572" t="str">
        <f t="shared" si="11"/>
        <v>内部装修状况</v>
      </c>
      <c r="R37" s="1573" t="s">
        <v>8</v>
      </c>
      <c r="S37" s="1574">
        <f t="shared" si="12"/>
        <v>100</v>
      </c>
      <c r="T37" s="1573" t="s">
        <v>8</v>
      </c>
      <c r="U37" s="1574">
        <f t="shared" si="13"/>
        <v>100</v>
      </c>
      <c r="V37" s="1573" t="s">
        <v>8</v>
      </c>
      <c r="W37" s="1574">
        <f t="shared" si="14"/>
        <v>100</v>
      </c>
      <c r="X37" s="1567"/>
      <c r="Y37" s="3522"/>
      <c r="Z37" s="1575" t="str">
        <f t="shared" si="15"/>
        <v>内部装修状况</v>
      </c>
      <c r="AA37" s="1576">
        <f t="shared" si="3"/>
        <v>1</v>
      </c>
      <c r="AB37" s="1576">
        <f t="shared" si="4"/>
        <v>1</v>
      </c>
      <c r="AC37" s="1576">
        <f t="shared" si="5"/>
        <v>1</v>
      </c>
    </row>
    <row r="38" spans="1:29" s="1339" customFormat="1" ht="15">
      <c r="A38" s="605"/>
      <c r="B38" s="879">
        <v>111</v>
      </c>
      <c r="C38" s="881"/>
      <c r="D38" s="543">
        <v>100</v>
      </c>
      <c r="E38" s="542"/>
      <c r="F38" s="577">
        <f>SUMIF(108:108,E38,109:109)-SUMIF(108:108,C38,109:109)+100</f>
        <v>100</v>
      </c>
      <c r="G38" s="881"/>
      <c r="H38" s="543">
        <f>SUMIF(108:108,G38,109:109)-SUMIF(108:108,C38,109:109)+100</f>
        <v>100</v>
      </c>
      <c r="I38" s="881"/>
      <c r="J38" s="543">
        <f>SUMIF(108:108,I38,109:1038)-SUMIF(108:108,C38,109:109)+100</f>
        <v>100</v>
      </c>
      <c r="K38" s="583"/>
      <c r="L38" s="2141"/>
      <c r="M38" s="2172"/>
      <c r="N38" s="2172"/>
      <c r="O38" s="2144"/>
      <c r="P38" s="3522"/>
      <c r="Q38" s="1605">
        <f t="shared" si="11"/>
        <v>111</v>
      </c>
      <c r="R38" s="1577" t="s">
        <v>8</v>
      </c>
      <c r="S38" s="1578">
        <f t="shared" si="12"/>
        <v>100</v>
      </c>
      <c r="T38" s="1577" t="s">
        <v>8</v>
      </c>
      <c r="U38" s="1578">
        <f t="shared" si="13"/>
        <v>100</v>
      </c>
      <c r="V38" s="1577" t="s">
        <v>8</v>
      </c>
      <c r="W38" s="1578">
        <f t="shared" si="14"/>
        <v>100</v>
      </c>
      <c r="X38" s="1579"/>
      <c r="Y38" s="3522"/>
      <c r="Z38" s="1580">
        <f t="shared" si="15"/>
        <v>111</v>
      </c>
      <c r="AA38" s="1576">
        <f t="shared" si="3"/>
        <v>1</v>
      </c>
      <c r="AB38" s="1576">
        <f t="shared" si="4"/>
        <v>1</v>
      </c>
      <c r="AC38" s="1576">
        <f t="shared" si="5"/>
        <v>1</v>
      </c>
    </row>
    <row r="39" spans="1:29" ht="15">
      <c r="A39" s="596"/>
      <c r="B39" s="879">
        <v>111</v>
      </c>
      <c r="C39" s="881"/>
      <c r="D39" s="543">
        <v>100</v>
      </c>
      <c r="E39" s="542"/>
      <c r="F39" s="577">
        <f>SUMIF(110:110,E39,111:111)-SUMIF(110:110,C39,111:111)+100</f>
        <v>100</v>
      </c>
      <c r="G39" s="881"/>
      <c r="H39" s="543">
        <f>SUMIF(110:110,G39,111:111)-SUMIF(110:110,C39,111:111)+100</f>
        <v>100</v>
      </c>
      <c r="I39" s="881"/>
      <c r="J39" s="543">
        <f>SUMIF(110:110,I39,111:111)-SUMIF(110:110,C39,111:111)+100</f>
        <v>100</v>
      </c>
      <c r="K39" s="583"/>
      <c r="L39" s="2143"/>
      <c r="M39" s="2135"/>
      <c r="N39" s="2135"/>
      <c r="O39" s="2142"/>
      <c r="P39" s="3522"/>
      <c r="Q39" s="1572">
        <f t="shared" si="11"/>
        <v>111</v>
      </c>
      <c r="R39" s="1573" t="s">
        <v>8</v>
      </c>
      <c r="S39" s="1574">
        <f t="shared" si="12"/>
        <v>100</v>
      </c>
      <c r="T39" s="1573" t="s">
        <v>8</v>
      </c>
      <c r="U39" s="1574">
        <f t="shared" si="13"/>
        <v>100</v>
      </c>
      <c r="V39" s="1573" t="s">
        <v>8</v>
      </c>
      <c r="W39" s="1574">
        <f t="shared" si="14"/>
        <v>100</v>
      </c>
      <c r="X39" s="1567"/>
      <c r="Y39" s="3522"/>
      <c r="Z39" s="1575">
        <f t="shared" si="15"/>
        <v>111</v>
      </c>
      <c r="AA39" s="1576">
        <f t="shared" si="3"/>
        <v>1</v>
      </c>
      <c r="AB39" s="1576">
        <f t="shared" si="4"/>
        <v>1</v>
      </c>
      <c r="AC39" s="1576">
        <f t="shared" si="5"/>
        <v>1</v>
      </c>
    </row>
    <row r="40" spans="1:29" ht="15.75" thickBot="1">
      <c r="A40" s="887"/>
      <c r="B40" s="547">
        <v>111</v>
      </c>
      <c r="C40" s="548"/>
      <c r="D40" s="549">
        <v>100</v>
      </c>
      <c r="E40" s="542"/>
      <c r="F40" s="868">
        <f>SUMIF(112:112,E40,113:113)-SUMIF(112:112,C40,113:113)+100</f>
        <v>100</v>
      </c>
      <c r="G40" s="881"/>
      <c r="H40" s="549">
        <f>SUMIF(112:112,G40,113:113)-SUMIF(112:112,C40,113:113)+100</f>
        <v>100</v>
      </c>
      <c r="I40" s="881"/>
      <c r="J40" s="549">
        <f>SUMIF(112:112,I40,113:113)-SUMIF(112:112,C40,113:113)+100</f>
        <v>100</v>
      </c>
      <c r="K40" s="583"/>
      <c r="L40" s="2143"/>
      <c r="M40" s="2135"/>
      <c r="N40" s="2135"/>
      <c r="O40" s="2142"/>
      <c r="P40" s="3620"/>
      <c r="Q40" s="1572">
        <f t="shared" si="11"/>
        <v>111</v>
      </c>
      <c r="R40" s="1573" t="s">
        <v>8</v>
      </c>
      <c r="S40" s="1574">
        <f t="shared" si="12"/>
        <v>100</v>
      </c>
      <c r="T40" s="1573" t="s">
        <v>8</v>
      </c>
      <c r="U40" s="1574">
        <f t="shared" si="13"/>
        <v>100</v>
      </c>
      <c r="V40" s="1573" t="s">
        <v>8</v>
      </c>
      <c r="W40" s="1574">
        <f t="shared" si="14"/>
        <v>100</v>
      </c>
      <c r="X40" s="1567"/>
      <c r="Y40" s="3620"/>
      <c r="Z40" s="1575">
        <f t="shared" si="15"/>
        <v>111</v>
      </c>
      <c r="AA40" s="1576">
        <f t="shared" si="3"/>
        <v>1</v>
      </c>
      <c r="AB40" s="1576">
        <f t="shared" si="4"/>
        <v>1</v>
      </c>
      <c r="AC40" s="1576">
        <f t="shared" si="5"/>
        <v>1</v>
      </c>
    </row>
    <row r="41" spans="1:29" ht="15">
      <c r="A41" s="609" t="s">
        <v>736</v>
      </c>
      <c r="B41" s="888"/>
      <c r="C41" s="2652" t="s">
        <v>1</v>
      </c>
      <c r="D41" s="2653"/>
      <c r="E41" s="2654"/>
      <c r="F41" s="2655"/>
      <c r="G41" s="2656"/>
      <c r="H41" s="2657"/>
      <c r="I41" s="2654"/>
      <c r="J41" s="2657"/>
      <c r="K41" s="1611"/>
      <c r="L41" s="2145"/>
      <c r="M41" s="2146"/>
      <c r="N41" s="2135"/>
      <c r="O41" s="2146"/>
      <c r="P41" s="3517" t="str">
        <f>A41</f>
        <v>成交单价（元/平方米）</v>
      </c>
      <c r="Q41" s="3517"/>
      <c r="R41" s="3621">
        <f>E41</f>
        <v>0</v>
      </c>
      <c r="S41" s="3621"/>
      <c r="T41" s="3621">
        <f>G41</f>
        <v>0</v>
      </c>
      <c r="U41" s="3621"/>
      <c r="V41" s="3621">
        <f>I41</f>
        <v>0</v>
      </c>
      <c r="W41" s="3621"/>
      <c r="X41" s="1559"/>
      <c r="Y41" s="1581"/>
      <c r="Z41" s="1559"/>
      <c r="AA41" s="1559"/>
      <c r="AB41" s="1559"/>
      <c r="AC41" s="1559"/>
    </row>
    <row r="42" spans="1:29" ht="15.75" thickBot="1">
      <c r="A42" s="617" t="s">
        <v>2763</v>
      </c>
      <c r="B42" s="889"/>
      <c r="C42" s="2658" t="e">
        <f>R43</f>
        <v>#DIV/0!</v>
      </c>
      <c r="D42" s="2659"/>
      <c r="E42" s="2660" t="e">
        <f>R42</f>
        <v>#DIV/0!</v>
      </c>
      <c r="F42" s="2660"/>
      <c r="G42" s="2658" t="e">
        <f>T42</f>
        <v>#DIV/0!</v>
      </c>
      <c r="H42" s="2659"/>
      <c r="I42" s="2660" t="e">
        <f>V42</f>
        <v>#DIV/0!</v>
      </c>
      <c r="J42" s="2659"/>
      <c r="K42" s="1612"/>
      <c r="L42" s="2145"/>
      <c r="M42" s="2146"/>
      <c r="N42" s="2135"/>
      <c r="O42" s="2146"/>
      <c r="P42" s="3517" t="str">
        <f>A42</f>
        <v>比较价格（元/平方米）</v>
      </c>
      <c r="Q42" s="3517"/>
      <c r="R42" s="3621" t="e">
        <f>IF(F1="售价",ROUND(PRODUCT(R41,AA7:AA40),0),ROUND(PRODUCT(R41,AA7:AA40),1))</f>
        <v>#DIV/0!</v>
      </c>
      <c r="S42" s="3621"/>
      <c r="T42" s="3621" t="e">
        <f>IF(F1="售价",ROUND(PRODUCT(T41,AB7:AB40),0),ROUND(PRODUCT(T41,AB7:AB40),1))</f>
        <v>#DIV/0!</v>
      </c>
      <c r="U42" s="3621"/>
      <c r="V42" s="3621" t="e">
        <f>IF(F1="售价",ROUND(PRODUCT(V41,AC7:AC40),0),ROUND(PRODUCT(V41,AC7:AC40),1))</f>
        <v>#DIV/0!</v>
      </c>
      <c r="W42" s="3621"/>
      <c r="X42" s="1559"/>
      <c r="Y42" s="1559"/>
      <c r="Z42" s="1559"/>
      <c r="AA42" s="1559"/>
      <c r="AB42" s="1559"/>
      <c r="AC42" s="1559"/>
    </row>
    <row r="43" spans="1:29" ht="15.75" thickBot="1">
      <c r="A43" s="623" t="s">
        <v>2930</v>
      </c>
      <c r="B43" s="624"/>
      <c r="C43" s="2661" t="e">
        <f>R43</f>
        <v>#DIV/0!</v>
      </c>
      <c r="D43" s="2661"/>
      <c r="E43" s="2661"/>
      <c r="F43" s="2661"/>
      <c r="G43" s="2661"/>
      <c r="H43" s="2661"/>
      <c r="I43" s="2661"/>
      <c r="J43" s="2661"/>
      <c r="K43" s="1613"/>
      <c r="L43" s="2145"/>
      <c r="M43" s="2146"/>
      <c r="N43" s="2146"/>
      <c r="O43" s="2146"/>
      <c r="P43" s="3539" t="str">
        <f>A43</f>
        <v>估价对象XX用房的比较价格（楼面单价，元/平方米）</v>
      </c>
      <c r="Q43" s="3540"/>
      <c r="R43" s="3622" t="e">
        <f>IF(F1="售价",ROUND(AVERAGE(R42:V42),0),ROUND(AVERAGE(R42:V42),1))</f>
        <v>#DIV/0!</v>
      </c>
      <c r="S43" s="3622"/>
      <c r="T43" s="3622"/>
      <c r="U43" s="3622"/>
      <c r="V43" s="3622"/>
      <c r="W43" s="3622"/>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575</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7" t="s">
        <v>530</v>
      </c>
      <c r="B52" s="648"/>
      <c r="C52" s="2829" t="str">
        <f>YEAR(C7)&amp;"-"&amp;MONTH(C7)</f>
        <v>2017-11</v>
      </c>
      <c r="D52" s="2831">
        <f>EDATE(C52,-1)</f>
        <v>43009</v>
      </c>
      <c r="E52" s="2831">
        <f t="shared" ref="E52:O52" si="16">EDATE(D52,-1)</f>
        <v>42979</v>
      </c>
      <c r="F52" s="2831">
        <f t="shared" si="16"/>
        <v>42948</v>
      </c>
      <c r="G52" s="2831">
        <f t="shared" si="16"/>
        <v>42917</v>
      </c>
      <c r="H52" s="2831">
        <f t="shared" si="16"/>
        <v>42887</v>
      </c>
      <c r="I52" s="2831">
        <f t="shared" si="16"/>
        <v>42856</v>
      </c>
      <c r="J52" s="2831">
        <f t="shared" si="16"/>
        <v>42826</v>
      </c>
      <c r="K52" s="2831">
        <f t="shared" si="16"/>
        <v>42795</v>
      </c>
      <c r="L52" s="2831">
        <f t="shared" si="16"/>
        <v>42767</v>
      </c>
      <c r="M52" s="2831">
        <f t="shared" si="16"/>
        <v>42736</v>
      </c>
      <c r="N52" s="2831">
        <f t="shared" si="16"/>
        <v>42705</v>
      </c>
      <c r="O52" s="2831">
        <f t="shared" si="16"/>
        <v>42675</v>
      </c>
      <c r="P52" s="2161"/>
      <c r="Q52" s="2162"/>
      <c r="R52" s="2162"/>
      <c r="S52" s="2162"/>
      <c r="T52" s="2162"/>
      <c r="U52" s="2162"/>
      <c r="V52" s="2162"/>
      <c r="W52" s="2162"/>
      <c r="X52" s="2162"/>
      <c r="Y52" s="2162"/>
      <c r="Z52" s="2162"/>
      <c r="AA52" s="2162"/>
      <c r="AB52" s="2162"/>
      <c r="AC52" s="2162"/>
    </row>
    <row r="53" spans="1:29" s="1220" customFormat="1" ht="15">
      <c r="A53" s="649"/>
      <c r="B53" s="650"/>
      <c r="C53" s="651">
        <v>100</v>
      </c>
      <c r="D53" s="652"/>
      <c r="E53" s="652"/>
      <c r="F53" s="652"/>
      <c r="G53" s="652"/>
      <c r="H53" s="652"/>
      <c r="I53" s="652"/>
      <c r="J53" s="652"/>
      <c r="K53" s="652"/>
      <c r="L53" s="652"/>
      <c r="M53" s="653"/>
      <c r="N53" s="652"/>
      <c r="O53" s="654"/>
      <c r="P53" s="2159"/>
      <c r="Q53" s="1994"/>
      <c r="R53" s="1994"/>
      <c r="S53" s="1994"/>
      <c r="T53" s="1994"/>
      <c r="U53" s="1994"/>
      <c r="V53" s="1994"/>
      <c r="W53" s="1994"/>
      <c r="X53" s="1994"/>
      <c r="Y53" s="1994"/>
      <c r="Z53" s="1994"/>
      <c r="AA53" s="1994"/>
      <c r="AB53" s="1994"/>
      <c r="AC53" s="1994"/>
    </row>
    <row r="54" spans="1:29" s="1220" customFormat="1" ht="15.75" thickBot="1">
      <c r="A54" s="655" t="s">
        <v>576</v>
      </c>
      <c r="B54" s="656"/>
      <c r="C54" s="657"/>
      <c r="D54" s="658"/>
      <c r="E54" s="658"/>
      <c r="F54" s="658"/>
      <c r="G54" s="658"/>
      <c r="H54" s="658"/>
      <c r="I54" s="658"/>
      <c r="J54" s="658"/>
      <c r="K54" s="658"/>
      <c r="L54" s="658"/>
      <c r="M54" s="659"/>
      <c r="N54" s="658"/>
      <c r="O54" s="660"/>
      <c r="P54" s="2159"/>
      <c r="Q54" s="2159"/>
      <c r="R54" s="1994"/>
      <c r="S54" s="1994"/>
      <c r="T54" s="1994"/>
      <c r="U54" s="1994"/>
      <c r="V54" s="1994"/>
      <c r="W54" s="1994"/>
      <c r="X54" s="1994"/>
      <c r="Y54" s="1994"/>
      <c r="Z54" s="1994"/>
      <c r="AA54" s="1994"/>
      <c r="AB54" s="1994"/>
      <c r="AC54" s="1994"/>
    </row>
    <row r="55" spans="1:29" s="1220" customFormat="1" ht="15">
      <c r="A55" s="661" t="s">
        <v>532</v>
      </c>
      <c r="B55" s="650"/>
      <c r="C55" s="662" t="s">
        <v>577</v>
      </c>
      <c r="D55" s="663"/>
      <c r="E55" s="663"/>
      <c r="F55" s="663"/>
      <c r="G55" s="663"/>
      <c r="H55" s="663"/>
      <c r="I55" s="663"/>
      <c r="J55" s="663"/>
      <c r="K55" s="663"/>
      <c r="L55" s="664"/>
      <c r="M55" s="665"/>
      <c r="N55" s="2163"/>
      <c r="O55" s="2163"/>
      <c r="P55" s="2164"/>
      <c r="Q55" s="2159"/>
      <c r="R55" s="1994"/>
      <c r="S55" s="1994"/>
      <c r="T55" s="1994"/>
      <c r="U55" s="1994"/>
      <c r="V55" s="1994"/>
      <c r="W55" s="1994"/>
      <c r="X55" s="1994"/>
      <c r="Y55" s="1994"/>
      <c r="Z55" s="1994"/>
      <c r="AA55" s="1994"/>
      <c r="AB55" s="1994"/>
      <c r="AC55" s="1994"/>
    </row>
    <row r="56" spans="1:29" s="1220" customFormat="1" ht="15.75" thickBot="1">
      <c r="A56" s="661"/>
      <c r="B56" s="650"/>
      <c r="C56" s="651">
        <v>100</v>
      </c>
      <c r="D56" s="652"/>
      <c r="E56" s="652"/>
      <c r="F56" s="652"/>
      <c r="G56" s="652"/>
      <c r="H56" s="652"/>
      <c r="I56" s="652"/>
      <c r="J56" s="652"/>
      <c r="K56" s="652"/>
      <c r="L56" s="652"/>
      <c r="M56" s="654"/>
      <c r="N56" s="2163"/>
      <c r="O56" s="2163"/>
      <c r="P56" s="2159"/>
      <c r="Q56" s="2159"/>
      <c r="R56" s="1994"/>
      <c r="S56" s="1994"/>
      <c r="T56" s="1994"/>
      <c r="U56" s="1994"/>
      <c r="V56" s="1994"/>
      <c r="W56" s="1994"/>
      <c r="X56" s="1994"/>
      <c r="Y56" s="1994"/>
      <c r="Z56" s="1994"/>
      <c r="AA56" s="1994"/>
      <c r="AB56" s="1994"/>
      <c r="AC56" s="1994"/>
    </row>
    <row r="57" spans="1:29">
      <c r="A57" s="666" t="s">
        <v>578</v>
      </c>
      <c r="B57" s="667" t="s">
        <v>535</v>
      </c>
      <c r="C57" s="706">
        <f>C9</f>
        <v>0</v>
      </c>
      <c r="D57" s="600"/>
      <c r="E57" s="600"/>
      <c r="F57" s="600"/>
      <c r="G57" s="600"/>
      <c r="H57" s="600"/>
      <c r="I57" s="600"/>
      <c r="J57" s="600"/>
      <c r="K57" s="668"/>
      <c r="L57" s="669"/>
      <c r="M57" s="670"/>
      <c r="N57" s="2165"/>
      <c r="O57" s="2165"/>
      <c r="P57" s="2166"/>
      <c r="Q57" s="2159"/>
      <c r="R57" s="2146"/>
      <c r="S57" s="2146"/>
      <c r="T57" s="2146"/>
      <c r="U57" s="2146"/>
      <c r="V57" s="2146"/>
      <c r="W57" s="2146"/>
      <c r="X57" s="2146"/>
      <c r="Y57" s="2146"/>
      <c r="Z57" s="2146"/>
      <c r="AA57" s="2146"/>
      <c r="AB57" s="2146"/>
      <c r="AC57" s="2146"/>
    </row>
    <row r="58" spans="1:29" ht="15.75" thickBot="1">
      <c r="A58" s="671"/>
      <c r="B58" s="672"/>
      <c r="C58" s="673"/>
      <c r="D58" s="673"/>
      <c r="E58" s="673"/>
      <c r="F58" s="673"/>
      <c r="G58" s="673"/>
      <c r="H58" s="673"/>
      <c r="I58" s="673"/>
      <c r="J58" s="673"/>
      <c r="K58" s="673"/>
      <c r="L58" s="673"/>
      <c r="M58" s="674"/>
      <c r="N58" s="2167"/>
      <c r="O58" s="2167"/>
      <c r="P58" s="2166"/>
      <c r="Q58" s="2159"/>
      <c r="R58" s="2146"/>
      <c r="S58" s="2146"/>
      <c r="T58" s="2146"/>
      <c r="U58" s="2146"/>
      <c r="V58" s="2146"/>
      <c r="W58" s="2146"/>
      <c r="X58" s="2146"/>
      <c r="Y58" s="2146"/>
      <c r="Z58" s="2146"/>
      <c r="AA58" s="2146"/>
      <c r="AB58" s="2146"/>
      <c r="AC58" s="2146"/>
    </row>
    <row r="59" spans="1:29" ht="27.75" thickTop="1">
      <c r="A59" s="671"/>
      <c r="B59" s="675" t="s">
        <v>538</v>
      </c>
      <c r="C59" s="676" t="s">
        <v>737</v>
      </c>
      <c r="D59" s="676" t="s">
        <v>738</v>
      </c>
      <c r="E59" s="676" t="s">
        <v>739</v>
      </c>
      <c r="F59" s="676" t="s">
        <v>740</v>
      </c>
      <c r="G59" s="676" t="s">
        <v>741</v>
      </c>
      <c r="H59" s="676" t="s">
        <v>742</v>
      </c>
      <c r="I59" s="676" t="s">
        <v>743</v>
      </c>
      <c r="J59" s="676"/>
      <c r="K59" s="677"/>
      <c r="L59" s="678"/>
      <c r="M59" s="679"/>
      <c r="N59" s="2165"/>
      <c r="O59" s="2165"/>
      <c r="P59" s="2166"/>
      <c r="Q59" s="2159"/>
      <c r="R59" s="2146"/>
      <c r="S59" s="2146"/>
      <c r="T59" s="2146"/>
      <c r="U59" s="2146"/>
      <c r="V59" s="2146"/>
      <c r="W59" s="2146"/>
      <c r="X59" s="2146"/>
      <c r="Y59" s="2146"/>
      <c r="Z59" s="2146"/>
      <c r="AA59" s="2146"/>
      <c r="AB59" s="2146"/>
      <c r="AC59" s="2146"/>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67"/>
      <c r="O60" s="2167"/>
      <c r="P60" s="2166"/>
      <c r="Q60" s="2159"/>
      <c r="R60" s="2146"/>
      <c r="S60" s="2146"/>
      <c r="T60" s="2146"/>
      <c r="U60" s="2146"/>
      <c r="V60" s="2146"/>
      <c r="W60" s="2146"/>
      <c r="X60" s="2146"/>
      <c r="Y60" s="2146"/>
      <c r="Z60" s="2146"/>
      <c r="AA60" s="2146"/>
      <c r="AB60" s="2146"/>
      <c r="AC60" s="2146"/>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8"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71"/>
      <c r="B62" s="685"/>
      <c r="C62" s="544"/>
      <c r="D62" s="544"/>
      <c r="E62" s="544"/>
      <c r="F62" s="544"/>
      <c r="G62" s="544"/>
      <c r="H62" s="544"/>
      <c r="I62" s="544"/>
      <c r="J62" s="544"/>
      <c r="K62" s="686"/>
      <c r="L62" s="687"/>
      <c r="M62" s="688"/>
      <c r="N62" s="2165"/>
      <c r="O62" s="2165"/>
      <c r="P62" s="2166"/>
      <c r="Q62" s="2159"/>
      <c r="R62" s="2146"/>
      <c r="S62" s="2146"/>
      <c r="T62" s="2146"/>
      <c r="U62" s="2146"/>
      <c r="V62" s="2146"/>
      <c r="W62" s="2146"/>
      <c r="X62" s="2146"/>
      <c r="Y62" s="2146"/>
      <c r="Z62" s="2146"/>
      <c r="AA62" s="2146"/>
      <c r="AB62" s="2146"/>
      <c r="AC62" s="2146"/>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9"/>
      <c r="B64" s="675">
        <f>B12</f>
        <v>111</v>
      </c>
      <c r="C64" s="690"/>
      <c r="D64" s="690"/>
      <c r="E64" s="690"/>
      <c r="F64" s="690"/>
      <c r="G64" s="690"/>
      <c r="H64" s="691"/>
      <c r="I64" s="691"/>
      <c r="J64" s="691"/>
      <c r="K64" s="691"/>
      <c r="L64" s="692"/>
      <c r="M64" s="693"/>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9"/>
      <c r="B65" s="680"/>
      <c r="C65" s="694"/>
      <c r="D65" s="673"/>
      <c r="E65" s="673"/>
      <c r="F65" s="673"/>
      <c r="G65" s="673"/>
      <c r="H65" s="673"/>
      <c r="I65" s="673"/>
      <c r="J65" s="673"/>
      <c r="K65" s="673"/>
      <c r="L65" s="673"/>
      <c r="M65" s="674"/>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9"/>
      <c r="B66" s="675">
        <f>B13</f>
        <v>111</v>
      </c>
      <c r="C66" s="690"/>
      <c r="D66" s="690"/>
      <c r="E66" s="690"/>
      <c r="F66" s="690"/>
      <c r="G66" s="690"/>
      <c r="H66" s="691"/>
      <c r="I66" s="691"/>
      <c r="J66" s="691"/>
      <c r="K66" s="691"/>
      <c r="L66" s="692"/>
      <c r="M66" s="693"/>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9"/>
      <c r="B67" s="680"/>
      <c r="C67" s="694"/>
      <c r="D67" s="673"/>
      <c r="E67" s="673"/>
      <c r="F67" s="673"/>
      <c r="G67" s="694"/>
      <c r="H67" s="695"/>
      <c r="I67" s="695"/>
      <c r="J67" s="695"/>
      <c r="K67" s="695"/>
      <c r="L67" s="695"/>
      <c r="M67" s="696"/>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9"/>
      <c r="B68" s="683">
        <f>B14</f>
        <v>111</v>
      </c>
      <c r="C68" s="663"/>
      <c r="D68" s="663"/>
      <c r="E68" s="663"/>
      <c r="F68" s="663"/>
      <c r="G68" s="663"/>
      <c r="H68" s="697"/>
      <c r="I68" s="697"/>
      <c r="J68" s="697"/>
      <c r="K68" s="697"/>
      <c r="L68" s="698"/>
      <c r="M68" s="699"/>
      <c r="N68" s="2168"/>
      <c r="O68" s="2168"/>
      <c r="P68" s="2174"/>
      <c r="Q68" s="2170"/>
      <c r="R68" s="2171"/>
      <c r="S68" s="2171"/>
      <c r="T68" s="2171"/>
      <c r="U68" s="2171"/>
      <c r="V68" s="2171"/>
      <c r="W68" s="2171"/>
      <c r="X68" s="2171"/>
      <c r="Y68" s="2171"/>
      <c r="Z68" s="2171"/>
      <c r="AA68" s="2171"/>
      <c r="AB68" s="2171"/>
      <c r="AC68" s="2171"/>
    </row>
    <row r="69" spans="1:29" s="1339" customFormat="1" ht="15.75" thickBot="1">
      <c r="A69" s="700"/>
      <c r="B69" s="701"/>
      <c r="C69" s="702"/>
      <c r="D69" s="702"/>
      <c r="E69" s="702"/>
      <c r="F69" s="702"/>
      <c r="G69" s="702"/>
      <c r="H69" s="703"/>
      <c r="I69" s="703"/>
      <c r="J69" s="703"/>
      <c r="K69" s="703"/>
      <c r="L69" s="703"/>
      <c r="M69" s="704"/>
      <c r="N69" s="2168"/>
      <c r="O69" s="2168"/>
      <c r="P69" s="2169"/>
      <c r="Q69" s="2170"/>
      <c r="R69" s="2171"/>
      <c r="S69" s="2171"/>
      <c r="T69" s="2171"/>
      <c r="U69" s="2171"/>
      <c r="V69" s="2171"/>
      <c r="W69" s="2171"/>
      <c r="X69" s="2171"/>
      <c r="Y69" s="2171"/>
      <c r="Z69" s="2171"/>
      <c r="AA69" s="2171"/>
      <c r="AB69" s="2171"/>
      <c r="AC69" s="2171"/>
    </row>
    <row r="70" spans="1:29">
      <c r="A70" s="666" t="s">
        <v>540</v>
      </c>
      <c r="B70" s="667" t="s">
        <v>586</v>
      </c>
      <c r="C70" s="705" t="s">
        <v>580</v>
      </c>
      <c r="D70" s="705" t="s">
        <v>581</v>
      </c>
      <c r="E70" s="705" t="s">
        <v>582</v>
      </c>
      <c r="F70" s="705" t="s">
        <v>583</v>
      </c>
      <c r="G70" s="705" t="s">
        <v>584</v>
      </c>
      <c r="H70" s="706"/>
      <c r="I70" s="706"/>
      <c r="J70" s="706"/>
      <c r="K70" s="707"/>
      <c r="L70" s="708"/>
      <c r="M70" s="709"/>
      <c r="N70" s="2165"/>
      <c r="O70" s="2165"/>
      <c r="P70" s="2175"/>
      <c r="Q70" s="2159"/>
      <c r="R70" s="2146"/>
      <c r="S70" s="2146"/>
      <c r="T70" s="2146"/>
      <c r="U70" s="2146"/>
      <c r="V70" s="2146"/>
      <c r="W70" s="2146"/>
      <c r="X70" s="2146"/>
      <c r="Y70" s="2146"/>
      <c r="Z70" s="2146"/>
      <c r="AA70" s="2146"/>
      <c r="AB70" s="2146"/>
      <c r="AC70" s="2146"/>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67"/>
      <c r="O71" s="2167"/>
      <c r="P71" s="2166"/>
      <c r="Q71" s="2159"/>
      <c r="R71" s="2146"/>
      <c r="S71" s="2146"/>
      <c r="T71" s="2146"/>
      <c r="U71" s="2146"/>
      <c r="V71" s="2146"/>
      <c r="W71" s="2146"/>
      <c r="X71" s="2146"/>
      <c r="Y71" s="2146"/>
      <c r="Z71" s="2146"/>
      <c r="AA71" s="2146"/>
      <c r="AB71" s="2146"/>
      <c r="AC71" s="2146"/>
    </row>
    <row r="72" spans="1:29" ht="15.75" thickTop="1">
      <c r="A72" s="671"/>
      <c r="B72" s="675" t="s">
        <v>587</v>
      </c>
      <c r="C72" s="710" t="s">
        <v>580</v>
      </c>
      <c r="D72" s="710" t="s">
        <v>581</v>
      </c>
      <c r="E72" s="710" t="s">
        <v>582</v>
      </c>
      <c r="F72" s="710" t="s">
        <v>583</v>
      </c>
      <c r="G72" s="710" t="s">
        <v>584</v>
      </c>
      <c r="H72" s="676"/>
      <c r="I72" s="676"/>
      <c r="J72" s="676"/>
      <c r="K72" s="677"/>
      <c r="L72" s="678"/>
      <c r="M72" s="679"/>
      <c r="N72" s="2165"/>
      <c r="O72" s="2165"/>
      <c r="P72" s="2166"/>
      <c r="Q72" s="2159"/>
      <c r="R72" s="2146"/>
      <c r="S72" s="2146"/>
      <c r="T72" s="2146"/>
      <c r="U72" s="2146"/>
      <c r="V72" s="2146"/>
      <c r="W72" s="2146"/>
      <c r="X72" s="2146"/>
      <c r="Y72" s="2146"/>
      <c r="Z72" s="2146"/>
      <c r="AA72" s="2146"/>
      <c r="AB72" s="2146"/>
      <c r="AC72" s="2146"/>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67"/>
      <c r="O73" s="2167"/>
      <c r="P73" s="2166"/>
      <c r="Q73" s="2159"/>
      <c r="R73" s="2146"/>
      <c r="S73" s="2146"/>
      <c r="T73" s="2146"/>
      <c r="U73" s="2146"/>
      <c r="V73" s="2146"/>
      <c r="W73" s="2146"/>
      <c r="X73" s="2146"/>
      <c r="Y73" s="2146"/>
      <c r="Z73" s="2146"/>
      <c r="AA73" s="2146"/>
      <c r="AB73" s="2146"/>
      <c r="AC73" s="2146"/>
    </row>
    <row r="74" spans="1:29" ht="15.75" thickTop="1">
      <c r="A74" s="671"/>
      <c r="B74" s="1897" t="s">
        <v>2559</v>
      </c>
      <c r="C74" s="710" t="s">
        <v>580</v>
      </c>
      <c r="D74" s="710" t="s">
        <v>581</v>
      </c>
      <c r="E74" s="710" t="s">
        <v>582</v>
      </c>
      <c r="F74" s="710" t="s">
        <v>583</v>
      </c>
      <c r="G74" s="710" t="s">
        <v>584</v>
      </c>
      <c r="H74" s="676"/>
      <c r="I74" s="676"/>
      <c r="J74" s="676"/>
      <c r="K74" s="677"/>
      <c r="L74" s="678"/>
      <c r="M74" s="679"/>
      <c r="N74" s="2165"/>
      <c r="O74" s="2165"/>
      <c r="P74" s="2166"/>
      <c r="Q74" s="2159"/>
      <c r="R74" s="2146"/>
      <c r="S74" s="2146"/>
      <c r="T74" s="2146"/>
      <c r="U74" s="2146"/>
      <c r="V74" s="2146"/>
      <c r="W74" s="2146"/>
      <c r="X74" s="2146"/>
      <c r="Y74" s="2146"/>
      <c r="Z74" s="2146"/>
      <c r="AA74" s="2146"/>
      <c r="AB74" s="2146"/>
      <c r="AC74" s="2146"/>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67"/>
      <c r="O75" s="2167"/>
      <c r="P75" s="2166"/>
      <c r="Q75" s="2159"/>
      <c r="R75" s="2146"/>
      <c r="S75" s="2146"/>
      <c r="T75" s="2146"/>
      <c r="U75" s="2146"/>
      <c r="V75" s="2146"/>
      <c r="W75" s="2146"/>
      <c r="X75" s="2146"/>
      <c r="Y75" s="2146"/>
      <c r="Z75" s="2146"/>
      <c r="AA75" s="2146"/>
      <c r="AB75" s="2146"/>
      <c r="AC75" s="2146"/>
    </row>
    <row r="76" spans="1:29" ht="15.75" thickTop="1">
      <c r="A76" s="671"/>
      <c r="B76" s="2622" t="s">
        <v>2560</v>
      </c>
      <c r="C76" s="2623" t="s">
        <v>2561</v>
      </c>
      <c r="D76" s="2623" t="s">
        <v>2562</v>
      </c>
      <c r="E76" s="2623" t="s">
        <v>2563</v>
      </c>
      <c r="F76" s="2623" t="s">
        <v>2564</v>
      </c>
      <c r="G76" s="2623" t="s">
        <v>2565</v>
      </c>
      <c r="H76" s="936"/>
      <c r="I76" s="936"/>
      <c r="J76" s="936"/>
      <c r="K76" s="936"/>
      <c r="L76" s="936"/>
      <c r="M76" s="562"/>
      <c r="N76" s="2167"/>
      <c r="O76" s="2167"/>
      <c r="P76" s="2166"/>
      <c r="Q76" s="2159"/>
      <c r="R76" s="2146"/>
      <c r="S76" s="2146"/>
      <c r="T76" s="2146"/>
      <c r="U76" s="2146"/>
      <c r="V76" s="2146"/>
      <c r="W76" s="2146"/>
      <c r="X76" s="2146"/>
      <c r="Y76" s="2146"/>
      <c r="Z76" s="2146"/>
      <c r="AA76" s="2146"/>
      <c r="AB76" s="2146"/>
      <c r="AC76" s="2146"/>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67"/>
      <c r="O77" s="2167"/>
      <c r="P77" s="2166"/>
      <c r="Q77" s="2159"/>
      <c r="R77" s="2146"/>
      <c r="S77" s="2146"/>
      <c r="T77" s="2146"/>
      <c r="U77" s="2146"/>
      <c r="V77" s="2146"/>
      <c r="W77" s="2146"/>
      <c r="X77" s="2146"/>
      <c r="Y77" s="2146"/>
      <c r="Z77" s="2146"/>
      <c r="AA77" s="2146"/>
      <c r="AB77" s="2146"/>
      <c r="AC77" s="2146"/>
    </row>
    <row r="78" spans="1:29" ht="15.75" thickTop="1">
      <c r="A78" s="671"/>
      <c r="B78" s="675" t="s">
        <v>784</v>
      </c>
      <c r="C78" s="710" t="s">
        <v>580</v>
      </c>
      <c r="D78" s="710" t="s">
        <v>581</v>
      </c>
      <c r="E78" s="710" t="s">
        <v>582</v>
      </c>
      <c r="F78" s="710" t="s">
        <v>583</v>
      </c>
      <c r="G78" s="710" t="s">
        <v>584</v>
      </c>
      <c r="H78" s="676"/>
      <c r="I78" s="676"/>
      <c r="J78" s="676"/>
      <c r="K78" s="677"/>
      <c r="L78" s="678"/>
      <c r="M78" s="679"/>
      <c r="N78" s="2165"/>
      <c r="O78" s="2165"/>
      <c r="P78" s="2166"/>
      <c r="Q78" s="2159"/>
      <c r="R78" s="2146"/>
      <c r="S78" s="2146"/>
      <c r="T78" s="2146"/>
      <c r="U78" s="2146"/>
      <c r="V78" s="2146"/>
      <c r="W78" s="2146"/>
      <c r="X78" s="2146"/>
      <c r="Y78" s="2146"/>
      <c r="Z78" s="2146"/>
      <c r="AA78" s="2146"/>
      <c r="AB78" s="2146"/>
      <c r="AC78" s="2146"/>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67"/>
      <c r="O79" s="2167"/>
      <c r="P79" s="2166"/>
      <c r="Q79" s="2159"/>
      <c r="R79" s="2146"/>
      <c r="S79" s="2146"/>
      <c r="T79" s="2146"/>
      <c r="U79" s="2146"/>
      <c r="V79" s="2146"/>
      <c r="W79" s="2146"/>
      <c r="X79" s="2146"/>
      <c r="Y79" s="2146"/>
      <c r="Z79" s="2146"/>
      <c r="AA79" s="2146"/>
      <c r="AB79" s="2146"/>
      <c r="AC79" s="2146"/>
    </row>
    <row r="80" spans="1:29" s="1220" customFormat="1" ht="15.75" thickTop="1">
      <c r="A80" s="711"/>
      <c r="B80" s="675">
        <f>B25</f>
        <v>111</v>
      </c>
      <c r="C80" s="690"/>
      <c r="D80" s="690"/>
      <c r="E80" s="690"/>
      <c r="F80" s="690"/>
      <c r="G80" s="690"/>
      <c r="H80" s="690"/>
      <c r="I80" s="690"/>
      <c r="J80" s="690"/>
      <c r="K80" s="690"/>
      <c r="L80" s="891"/>
      <c r="M80" s="892"/>
      <c r="N80" s="2163"/>
      <c r="O80" s="2163"/>
      <c r="P80" s="2166"/>
      <c r="Q80" s="2159"/>
      <c r="R80" s="1994"/>
      <c r="S80" s="1994"/>
      <c r="T80" s="1994"/>
      <c r="U80" s="1994"/>
      <c r="V80" s="1994"/>
      <c r="W80" s="1994"/>
      <c r="X80" s="1994"/>
      <c r="Y80" s="1994"/>
      <c r="Z80" s="1994"/>
      <c r="AA80" s="1994"/>
      <c r="AB80" s="1994"/>
      <c r="AC80" s="1994"/>
    </row>
    <row r="81" spans="1:29" s="1220" customFormat="1" ht="15.75" thickBot="1">
      <c r="A81" s="711"/>
      <c r="B81" s="680"/>
      <c r="C81" s="694"/>
      <c r="D81" s="673"/>
      <c r="E81" s="673"/>
      <c r="F81" s="673"/>
      <c r="G81" s="673"/>
      <c r="H81" s="673"/>
      <c r="I81" s="673"/>
      <c r="J81" s="673"/>
      <c r="K81" s="673"/>
      <c r="L81" s="673"/>
      <c r="M81" s="674"/>
      <c r="N81" s="2167"/>
      <c r="O81" s="2167"/>
      <c r="P81" s="2166"/>
      <c r="Q81" s="2159"/>
      <c r="R81" s="1994"/>
      <c r="S81" s="1994"/>
      <c r="T81" s="1994"/>
      <c r="U81" s="1994"/>
      <c r="V81" s="1994"/>
      <c r="W81" s="1994"/>
      <c r="X81" s="1994"/>
      <c r="Y81" s="1994"/>
      <c r="Z81" s="1994"/>
      <c r="AA81" s="1994"/>
      <c r="AB81" s="1994"/>
      <c r="AC81" s="1994"/>
    </row>
    <row r="82" spans="1:29" s="1220" customFormat="1" ht="15.75" thickTop="1">
      <c r="A82" s="711"/>
      <c r="B82" s="675">
        <f>B26</f>
        <v>111</v>
      </c>
      <c r="C82" s="690"/>
      <c r="D82" s="690"/>
      <c r="E82" s="690"/>
      <c r="F82" s="690"/>
      <c r="G82" s="690"/>
      <c r="H82" s="690"/>
      <c r="I82" s="690"/>
      <c r="J82" s="690"/>
      <c r="K82" s="690"/>
      <c r="L82" s="891"/>
      <c r="M82" s="892"/>
      <c r="N82" s="2163"/>
      <c r="O82" s="2163"/>
      <c r="P82" s="2166"/>
      <c r="Q82" s="2159"/>
      <c r="R82" s="1994"/>
      <c r="S82" s="1994"/>
      <c r="T82" s="1994"/>
      <c r="U82" s="1994"/>
      <c r="V82" s="1994"/>
      <c r="W82" s="1994"/>
      <c r="X82" s="1994"/>
      <c r="Y82" s="1994"/>
      <c r="Z82" s="1994"/>
      <c r="AA82" s="1994"/>
      <c r="AB82" s="1994"/>
      <c r="AC82" s="1994"/>
    </row>
    <row r="83" spans="1:29" s="1220" customFormat="1" ht="15.75" thickBot="1">
      <c r="A83" s="711"/>
      <c r="B83" s="680"/>
      <c r="C83" s="694"/>
      <c r="D83" s="673"/>
      <c r="E83" s="673"/>
      <c r="F83" s="673"/>
      <c r="G83" s="673"/>
      <c r="H83" s="673"/>
      <c r="I83" s="673"/>
      <c r="J83" s="673"/>
      <c r="K83" s="673"/>
      <c r="L83" s="673"/>
      <c r="M83" s="674"/>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9"/>
      <c r="B84" s="675">
        <f>B27</f>
        <v>111</v>
      </c>
      <c r="C84" s="690"/>
      <c r="D84" s="690"/>
      <c r="E84" s="690"/>
      <c r="F84" s="690"/>
      <c r="G84" s="690"/>
      <c r="H84" s="690"/>
      <c r="I84" s="690"/>
      <c r="J84" s="690"/>
      <c r="K84" s="690"/>
      <c r="L84" s="891"/>
      <c r="M84" s="892"/>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9"/>
      <c r="B85" s="680"/>
      <c r="C85" s="694"/>
      <c r="D85" s="673"/>
      <c r="E85" s="673"/>
      <c r="F85" s="673"/>
      <c r="G85" s="673"/>
      <c r="H85" s="673"/>
      <c r="I85" s="673"/>
      <c r="J85" s="673"/>
      <c r="K85" s="673"/>
      <c r="L85" s="673"/>
      <c r="M85" s="674"/>
      <c r="N85" s="2168"/>
      <c r="O85" s="2168"/>
      <c r="P85" s="2169"/>
      <c r="Q85" s="2170"/>
      <c r="R85" s="2171"/>
      <c r="S85" s="2171"/>
      <c r="T85" s="2171"/>
      <c r="U85" s="2171"/>
      <c r="V85" s="2171"/>
      <c r="W85" s="2171"/>
      <c r="X85" s="2171"/>
      <c r="Y85" s="2171"/>
      <c r="Z85" s="2171"/>
      <c r="AA85" s="2171"/>
      <c r="AB85" s="2171"/>
      <c r="AC85" s="2171"/>
    </row>
    <row r="86" spans="1:29" ht="15.75" thickTop="1">
      <c r="A86" s="671"/>
      <c r="B86" s="683">
        <f>B28</f>
        <v>111</v>
      </c>
      <c r="C86" s="663"/>
      <c r="D86" s="663"/>
      <c r="E86" s="663"/>
      <c r="F86" s="663"/>
      <c r="G86" s="724"/>
      <c r="H86" s="724"/>
      <c r="I86" s="724"/>
      <c r="J86" s="724"/>
      <c r="K86" s="725"/>
      <c r="L86" s="726"/>
      <c r="M86" s="727"/>
      <c r="N86" s="2165"/>
      <c r="O86" s="2165"/>
      <c r="P86" s="2166"/>
      <c r="Q86" s="2159"/>
      <c r="R86" s="2146"/>
      <c r="S86" s="2146"/>
      <c r="T86" s="2146"/>
      <c r="U86" s="2146"/>
      <c r="V86" s="2146"/>
      <c r="W86" s="2146"/>
      <c r="X86" s="2146"/>
      <c r="Y86" s="2146"/>
      <c r="Z86" s="2146"/>
      <c r="AA86" s="2146"/>
      <c r="AB86" s="2146"/>
      <c r="AC86" s="2146"/>
    </row>
    <row r="87" spans="1:29" ht="15.75" thickBot="1">
      <c r="A87" s="894"/>
      <c r="B87" s="701"/>
      <c r="C87" s="702"/>
      <c r="D87" s="702"/>
      <c r="E87" s="702"/>
      <c r="F87" s="702"/>
      <c r="G87" s="728"/>
      <c r="H87" s="728"/>
      <c r="I87" s="728"/>
      <c r="J87" s="728"/>
      <c r="K87" s="728"/>
      <c r="L87" s="728"/>
      <c r="M87" s="729"/>
      <c r="N87" s="2167"/>
      <c r="O87" s="2167"/>
      <c r="P87" s="2166"/>
      <c r="Q87" s="2159"/>
      <c r="R87" s="2146"/>
      <c r="S87" s="2146"/>
      <c r="T87" s="2146"/>
      <c r="U87" s="2146"/>
      <c r="V87" s="2146"/>
      <c r="W87" s="2146"/>
      <c r="X87" s="2146"/>
      <c r="Y87" s="2146"/>
      <c r="Z87" s="2146"/>
      <c r="AA87" s="2146"/>
      <c r="AB87" s="2146"/>
      <c r="AC87" s="2146"/>
    </row>
    <row r="88" spans="1:29">
      <c r="A88" s="666" t="s">
        <v>552</v>
      </c>
      <c r="B88" s="667" t="s">
        <v>747</v>
      </c>
      <c r="C88" s="600"/>
      <c r="D88" s="600"/>
      <c r="E88" s="600"/>
      <c r="F88" s="600"/>
      <c r="G88" s="600"/>
      <c r="H88" s="600"/>
      <c r="I88" s="600"/>
      <c r="J88" s="600"/>
      <c r="K88" s="668"/>
      <c r="L88" s="669"/>
      <c r="M88" s="670"/>
      <c r="N88" s="2165"/>
      <c r="O88" s="2165"/>
      <c r="P88" s="2166"/>
      <c r="Q88" s="2159"/>
      <c r="R88" s="2146"/>
      <c r="S88" s="2146"/>
      <c r="T88" s="2146"/>
      <c r="U88" s="2146"/>
      <c r="V88" s="2146"/>
      <c r="W88" s="2146"/>
      <c r="X88" s="2146"/>
      <c r="Y88" s="2146"/>
      <c r="Z88" s="2146"/>
      <c r="AA88" s="2146"/>
      <c r="AB88" s="2146"/>
      <c r="AC88" s="2146"/>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71"/>
      <c r="B90" s="675" t="s">
        <v>748</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30"/>
      <c r="B91" s="731"/>
      <c r="C91" s="732"/>
      <c r="D91" s="732"/>
      <c r="E91" s="732"/>
      <c r="F91" s="732"/>
      <c r="G91" s="732"/>
      <c r="H91" s="732"/>
      <c r="I91" s="732"/>
      <c r="J91" s="733"/>
      <c r="K91" s="733"/>
      <c r="L91" s="734"/>
      <c r="M91" s="735"/>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9"/>
      <c r="B92" s="680"/>
      <c r="C92" s="694"/>
      <c r="D92" s="673"/>
      <c r="E92" s="673"/>
      <c r="F92" s="673"/>
      <c r="G92" s="673"/>
      <c r="H92" s="673"/>
      <c r="I92" s="673"/>
      <c r="J92" s="673"/>
      <c r="K92" s="673"/>
      <c r="L92" s="673"/>
      <c r="M92" s="674"/>
      <c r="N92" s="2167"/>
      <c r="O92" s="2167"/>
      <c r="P92" s="2169"/>
      <c r="Q92" s="2170"/>
      <c r="R92" s="2171"/>
      <c r="S92" s="2171"/>
      <c r="T92" s="2171"/>
      <c r="U92" s="2171"/>
      <c r="V92" s="2171"/>
      <c r="W92" s="2171"/>
      <c r="X92" s="2171"/>
      <c r="Y92" s="2171"/>
      <c r="Z92" s="2171"/>
      <c r="AA92" s="2171"/>
      <c r="AB92" s="2171"/>
      <c r="AC92" s="2171"/>
    </row>
    <row r="93" spans="1:29" ht="15" thickTop="1">
      <c r="A93" s="737"/>
      <c r="B93" s="675" t="s">
        <v>749</v>
      </c>
      <c r="C93" s="690"/>
      <c r="D93" s="690"/>
      <c r="E93" s="720"/>
      <c r="F93" s="720"/>
      <c r="G93" s="720"/>
      <c r="H93" s="720"/>
      <c r="I93" s="720"/>
      <c r="J93" s="720"/>
      <c r="K93" s="721"/>
      <c r="L93" s="722"/>
      <c r="M93" s="723"/>
      <c r="N93" s="2165"/>
      <c r="O93" s="2165"/>
      <c r="P93" s="2166"/>
      <c r="Q93" s="2159"/>
      <c r="R93" s="2146"/>
      <c r="S93" s="2146"/>
      <c r="T93" s="2146"/>
      <c r="U93" s="2146"/>
      <c r="V93" s="2146"/>
      <c r="W93" s="2146"/>
      <c r="X93" s="2146"/>
      <c r="Y93" s="2146"/>
      <c r="Z93" s="2146"/>
      <c r="AA93" s="2146"/>
      <c r="AB93" s="2146"/>
      <c r="AC93" s="2146"/>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7"/>
      <c r="B95" s="675" t="s">
        <v>751</v>
      </c>
      <c r="C95" s="690"/>
      <c r="D95" s="690"/>
      <c r="E95" s="690"/>
      <c r="F95" s="720"/>
      <c r="G95" s="720"/>
      <c r="H95" s="720"/>
      <c r="I95" s="720"/>
      <c r="J95" s="720"/>
      <c r="K95" s="721"/>
      <c r="L95" s="722"/>
      <c r="M95" s="723"/>
      <c r="N95" s="2165"/>
      <c r="O95" s="2165"/>
      <c r="P95" s="2166"/>
      <c r="Q95" s="2159"/>
      <c r="R95" s="2146"/>
      <c r="S95" s="2146"/>
      <c r="T95" s="2146"/>
      <c r="U95" s="2146"/>
      <c r="V95" s="2146"/>
      <c r="W95" s="2146"/>
      <c r="X95" s="2146"/>
      <c r="Y95" s="2146"/>
      <c r="Z95" s="2146"/>
      <c r="AA95" s="2146"/>
      <c r="AB95" s="2146"/>
      <c r="AC95" s="2146"/>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7"/>
      <c r="B97" s="675" t="s">
        <v>752</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5"/>
      <c r="O97" s="2165"/>
      <c r="P97" s="2166"/>
      <c r="Q97" s="2159"/>
      <c r="R97" s="2146"/>
      <c r="S97" s="2146"/>
      <c r="T97" s="2146"/>
      <c r="U97" s="2146"/>
      <c r="V97" s="2146"/>
      <c r="W97" s="2146"/>
      <c r="X97" s="2146"/>
      <c r="Y97" s="2146"/>
      <c r="Z97" s="2146"/>
      <c r="AA97" s="2146"/>
      <c r="AB97" s="2146"/>
      <c r="AC97" s="2146"/>
    </row>
    <row r="98" spans="1:29">
      <c r="A98" s="737"/>
      <c r="B98" s="683"/>
      <c r="C98" s="895">
        <v>0.5</v>
      </c>
      <c r="D98" s="895">
        <v>0.6</v>
      </c>
      <c r="E98" s="895">
        <v>0.7</v>
      </c>
      <c r="F98" s="895">
        <v>0.8</v>
      </c>
      <c r="G98" s="895">
        <v>0.9</v>
      </c>
      <c r="H98" s="895">
        <v>1.0001</v>
      </c>
      <c r="I98" s="906"/>
      <c r="J98" s="906"/>
      <c r="K98" s="907"/>
      <c r="L98" s="908"/>
      <c r="M98" s="909"/>
      <c r="N98" s="2165"/>
      <c r="O98" s="2165"/>
      <c r="P98" s="2166"/>
      <c r="Q98" s="2159"/>
      <c r="R98" s="2146"/>
      <c r="S98" s="2146"/>
      <c r="T98" s="2146"/>
      <c r="U98" s="2146"/>
      <c r="V98" s="2146"/>
      <c r="W98" s="2146"/>
      <c r="X98" s="2146"/>
      <c r="Y98" s="2146"/>
      <c r="Z98" s="2146"/>
      <c r="AA98" s="2146"/>
      <c r="AB98" s="2146"/>
      <c r="AC98" s="2146"/>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30"/>
      <c r="B100" s="675" t="s">
        <v>753</v>
      </c>
      <c r="C100" s="690"/>
      <c r="D100" s="690"/>
      <c r="E100" s="690"/>
      <c r="F100" s="690"/>
      <c r="G100" s="690"/>
      <c r="H100" s="720"/>
      <c r="I100" s="720"/>
      <c r="J100" s="720"/>
      <c r="K100" s="721"/>
      <c r="L100" s="722"/>
      <c r="M100" s="723"/>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7"/>
      <c r="B102" s="1897" t="s">
        <v>2558</v>
      </c>
      <c r="C102" s="690"/>
      <c r="D102" s="690"/>
      <c r="E102" s="690"/>
      <c r="F102" s="690"/>
      <c r="G102" s="690"/>
      <c r="H102" s="720"/>
      <c r="I102" s="720"/>
      <c r="J102" s="720"/>
      <c r="K102" s="721"/>
      <c r="L102" s="722"/>
      <c r="M102" s="723"/>
      <c r="N102" s="2165"/>
      <c r="O102" s="2165"/>
      <c r="P102" s="2166"/>
      <c r="Q102" s="2159"/>
      <c r="R102" s="2146"/>
      <c r="S102" s="2146"/>
      <c r="T102" s="2146"/>
      <c r="U102" s="2146"/>
      <c r="V102" s="2146"/>
      <c r="W102" s="2146"/>
      <c r="X102" s="2146"/>
      <c r="Y102" s="2146"/>
      <c r="Z102" s="2146"/>
      <c r="AA102" s="2146"/>
      <c r="AB102" s="2146"/>
      <c r="AC102" s="2146"/>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7"/>
      <c r="B104" s="675" t="s">
        <v>755</v>
      </c>
      <c r="C104" s="690"/>
      <c r="D104" s="690"/>
      <c r="E104" s="690"/>
      <c r="F104" s="690"/>
      <c r="G104" s="690"/>
      <c r="H104" s="720"/>
      <c r="I104" s="720"/>
      <c r="J104" s="720"/>
      <c r="K104" s="721"/>
      <c r="L104" s="722"/>
      <c r="M104" s="723"/>
      <c r="N104" s="2165"/>
      <c r="O104" s="2165"/>
      <c r="P104" s="2166"/>
      <c r="Q104" s="2159"/>
      <c r="R104" s="2146"/>
      <c r="S104" s="2146"/>
      <c r="T104" s="2146"/>
      <c r="U104" s="2146"/>
      <c r="V104" s="2146"/>
      <c r="W104" s="2146"/>
      <c r="X104" s="2146"/>
      <c r="Y104" s="2146"/>
      <c r="Z104" s="2146"/>
      <c r="AA104" s="2146"/>
      <c r="AB104" s="2146"/>
      <c r="AC104" s="2146"/>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67"/>
      <c r="O105" s="2167"/>
      <c r="P105" s="2166"/>
      <c r="Q105" s="2159"/>
      <c r="R105" s="2146"/>
      <c r="S105" s="2146"/>
      <c r="T105" s="2146"/>
      <c r="U105" s="2146"/>
      <c r="V105" s="2146"/>
      <c r="W105" s="2146"/>
      <c r="X105" s="2146"/>
      <c r="Y105" s="2146"/>
      <c r="Z105" s="2146"/>
      <c r="AA105" s="2146"/>
      <c r="AB105" s="2146"/>
      <c r="AC105" s="2146"/>
    </row>
    <row r="106" spans="1:29" ht="27.75" thickTop="1">
      <c r="A106" s="737"/>
      <c r="B106" s="918" t="s">
        <v>791</v>
      </c>
      <c r="C106" s="710" t="s">
        <v>580</v>
      </c>
      <c r="D106" s="710" t="s">
        <v>581</v>
      </c>
      <c r="E106" s="710" t="s">
        <v>582</v>
      </c>
      <c r="F106" s="710" t="s">
        <v>583</v>
      </c>
      <c r="G106" s="710" t="s">
        <v>584</v>
      </c>
      <c r="H106" s="676"/>
      <c r="I106" s="676"/>
      <c r="J106" s="676"/>
      <c r="K106" s="677"/>
      <c r="L106" s="678"/>
      <c r="M106" s="679"/>
      <c r="N106" s="2167"/>
      <c r="O106" s="2167"/>
      <c r="P106" s="2206"/>
      <c r="Q106" s="2207"/>
      <c r="R106" s="2146"/>
      <c r="S106" s="2146"/>
      <c r="T106" s="2146"/>
      <c r="U106" s="2146"/>
      <c r="V106" s="2146"/>
      <c r="W106" s="2146"/>
      <c r="X106" s="2146"/>
      <c r="Y106" s="2146"/>
      <c r="Z106" s="2146"/>
      <c r="AA106" s="2146"/>
      <c r="AB106" s="2146"/>
      <c r="AC106" s="2146"/>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30"/>
      <c r="B108" s="675">
        <f>B38</f>
        <v>111</v>
      </c>
      <c r="C108" s="690"/>
      <c r="D108" s="690"/>
      <c r="E108" s="690"/>
      <c r="F108" s="690"/>
      <c r="G108" s="690"/>
      <c r="H108" s="691"/>
      <c r="I108" s="691"/>
      <c r="J108" s="691"/>
      <c r="K108" s="691"/>
      <c r="L108" s="692"/>
      <c r="M108" s="693"/>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9"/>
      <c r="B109" s="672"/>
      <c r="C109" s="694"/>
      <c r="D109" s="673"/>
      <c r="E109" s="673"/>
      <c r="F109" s="673"/>
      <c r="G109" s="694"/>
      <c r="H109" s="695"/>
      <c r="I109" s="695"/>
      <c r="J109" s="695"/>
      <c r="K109" s="695"/>
      <c r="L109" s="695"/>
      <c r="M109" s="696"/>
      <c r="N109" s="2168"/>
      <c r="O109" s="2168"/>
      <c r="P109" s="2169"/>
      <c r="Q109" s="2170"/>
      <c r="R109" s="2171"/>
      <c r="S109" s="2171"/>
      <c r="T109" s="2171"/>
      <c r="U109" s="2171"/>
      <c r="V109" s="2171"/>
      <c r="W109" s="2171"/>
      <c r="X109" s="2171"/>
      <c r="Y109" s="2171"/>
      <c r="Z109" s="2171"/>
      <c r="AA109" s="2171"/>
      <c r="AB109" s="2171"/>
      <c r="AC109" s="2171"/>
    </row>
    <row r="110" spans="1:29" ht="15" thickTop="1">
      <c r="A110" s="737"/>
      <c r="B110" s="675">
        <f>B39</f>
        <v>111</v>
      </c>
      <c r="C110" s="690"/>
      <c r="D110" s="690"/>
      <c r="E110" s="690"/>
      <c r="F110" s="690"/>
      <c r="G110" s="690"/>
      <c r="H110" s="691"/>
      <c r="I110" s="691"/>
      <c r="J110" s="691"/>
      <c r="K110" s="691"/>
      <c r="L110" s="692"/>
      <c r="M110" s="693"/>
      <c r="N110" s="2165"/>
      <c r="O110" s="2165"/>
      <c r="P110" s="2166"/>
      <c r="Q110" s="2159"/>
      <c r="R110" s="2146"/>
      <c r="S110" s="2146"/>
      <c r="T110" s="2146"/>
      <c r="U110" s="2146"/>
      <c r="V110" s="2146"/>
      <c r="W110" s="2146"/>
      <c r="X110" s="2146"/>
      <c r="Y110" s="2146"/>
      <c r="Z110" s="2146"/>
      <c r="AA110" s="2146"/>
      <c r="AB110" s="2146"/>
      <c r="AC110" s="2146"/>
    </row>
    <row r="111" spans="1:29" ht="15.75" thickBot="1">
      <c r="A111" s="671"/>
      <c r="B111" s="680"/>
      <c r="C111" s="694"/>
      <c r="D111" s="673"/>
      <c r="E111" s="673"/>
      <c r="F111" s="673"/>
      <c r="G111" s="694"/>
      <c r="H111" s="695"/>
      <c r="I111" s="695"/>
      <c r="J111" s="695"/>
      <c r="K111" s="695"/>
      <c r="L111" s="695"/>
      <c r="M111" s="696"/>
      <c r="N111" s="2167"/>
      <c r="O111" s="2167"/>
      <c r="P111" s="2166"/>
      <c r="Q111" s="2159"/>
      <c r="R111" s="2146"/>
      <c r="S111" s="2146"/>
      <c r="T111" s="2146"/>
      <c r="U111" s="2146"/>
      <c r="V111" s="2146"/>
      <c r="W111" s="2146"/>
      <c r="X111" s="2146"/>
      <c r="Y111" s="2146"/>
      <c r="Z111" s="2146"/>
      <c r="AA111" s="2146"/>
      <c r="AB111" s="2146"/>
      <c r="AC111" s="2146"/>
    </row>
    <row r="112" spans="1:29" ht="15" thickTop="1">
      <c r="A112" s="737"/>
      <c r="B112" s="683">
        <f>B40</f>
        <v>111</v>
      </c>
      <c r="C112" s="663"/>
      <c r="D112" s="663"/>
      <c r="E112" s="663"/>
      <c r="F112" s="663"/>
      <c r="G112" s="724"/>
      <c r="H112" s="724"/>
      <c r="I112" s="724"/>
      <c r="J112" s="724"/>
      <c r="K112" s="663"/>
      <c r="L112" s="664"/>
      <c r="M112" s="727"/>
      <c r="N112" s="2165"/>
      <c r="O112" s="2165"/>
      <c r="P112" s="2166"/>
      <c r="Q112" s="2159"/>
      <c r="R112" s="2146"/>
      <c r="S112" s="2146"/>
      <c r="T112" s="2146"/>
      <c r="U112" s="2146"/>
      <c r="V112" s="2146"/>
      <c r="W112" s="2146"/>
      <c r="X112" s="2146"/>
      <c r="Y112" s="2146"/>
      <c r="Z112" s="2146"/>
      <c r="AA112" s="2146"/>
      <c r="AB112" s="2146"/>
      <c r="AC112" s="2146"/>
    </row>
    <row r="113" spans="1:29" ht="15.75" thickBot="1">
      <c r="A113" s="894"/>
      <c r="B113" s="701"/>
      <c r="C113" s="702"/>
      <c r="D113" s="702"/>
      <c r="E113" s="702"/>
      <c r="F113" s="702"/>
      <c r="G113" s="728"/>
      <c r="H113" s="728"/>
      <c r="I113" s="728"/>
      <c r="J113" s="728"/>
      <c r="K113" s="728"/>
      <c r="L113" s="728"/>
      <c r="M113" s="729"/>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719</v>
      </c>
      <c r="B1" s="924"/>
      <c r="C1" s="507" t="s">
        <v>792</v>
      </c>
      <c r="D1" s="851"/>
      <c r="E1" s="509"/>
      <c r="F1" s="2834"/>
      <c r="G1" s="1601" t="s">
        <v>793</v>
      </c>
      <c r="H1" s="509"/>
      <c r="I1" s="509"/>
      <c r="J1" s="509"/>
      <c r="K1" s="510"/>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6" t="s">
        <v>794</v>
      </c>
      <c r="B2" s="852"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12" t="s">
        <v>795</v>
      </c>
      <c r="B3" s="513" t="e">
        <f>IF(B37="元/平方米",C39,ROUND(B2*10000/D3,0))</f>
        <v>#DIV/0!</v>
      </c>
      <c r="C3" s="854" t="s">
        <v>796</v>
      </c>
      <c r="D3" s="853">
        <f>SUMIF('数据-汇总表'!$C19:$C33,D1,'数据-汇总表'!$E19:$E33)</f>
        <v>0</v>
      </c>
      <c r="E3" s="1849" t="s">
        <v>2079</v>
      </c>
      <c r="F3" s="853">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31"/>
    </row>
    <row r="4" spans="1:29" ht="15">
      <c r="A4" s="515" t="s">
        <v>797</v>
      </c>
      <c r="B4" s="516"/>
      <c r="C4" s="3523" t="s">
        <v>798</v>
      </c>
      <c r="D4" s="3524"/>
      <c r="E4" s="3523" t="s">
        <v>799</v>
      </c>
      <c r="F4" s="3524"/>
      <c r="G4" s="3523" t="s">
        <v>800</v>
      </c>
      <c r="H4" s="3524"/>
      <c r="I4" s="3523" t="s">
        <v>801</v>
      </c>
      <c r="J4" s="3524"/>
      <c r="K4" s="517" t="s">
        <v>802</v>
      </c>
      <c r="L4" s="2134"/>
      <c r="M4" s="2135"/>
      <c r="N4" s="2135"/>
      <c r="O4" s="2135"/>
      <c r="P4" s="3525" t="s">
        <v>803</v>
      </c>
      <c r="Q4" s="3526"/>
      <c r="R4" s="3511" t="s">
        <v>799</v>
      </c>
      <c r="S4" s="3512"/>
      <c r="T4" s="3511" t="s">
        <v>800</v>
      </c>
      <c r="U4" s="3512"/>
      <c r="V4" s="3531" t="s">
        <v>801</v>
      </c>
      <c r="W4" s="3531"/>
      <c r="X4" s="1567"/>
      <c r="Y4" s="3511" t="s">
        <v>803</v>
      </c>
      <c r="Z4" s="3512"/>
      <c r="AA4" s="3506" t="s">
        <v>799</v>
      </c>
      <c r="AB4" s="3507" t="s">
        <v>800</v>
      </c>
      <c r="AC4" s="3506" t="s">
        <v>801</v>
      </c>
    </row>
    <row r="5" spans="1:29" ht="15">
      <c r="A5" s="518"/>
      <c r="B5" s="519"/>
      <c r="C5" s="3534" t="s">
        <v>2924</v>
      </c>
      <c r="D5" s="3535"/>
      <c r="E5" s="3534" t="s">
        <v>2925</v>
      </c>
      <c r="F5" s="3535"/>
      <c r="G5" s="3534" t="s">
        <v>2926</v>
      </c>
      <c r="H5" s="3535"/>
      <c r="I5" s="3534" t="s">
        <v>2927</v>
      </c>
      <c r="J5" s="3535"/>
      <c r="K5" s="517"/>
      <c r="L5" s="2134"/>
      <c r="M5" s="2135"/>
      <c r="N5" s="2135"/>
      <c r="O5" s="2135"/>
      <c r="P5" s="3527"/>
      <c r="Q5" s="3528"/>
      <c r="R5" s="3513"/>
      <c r="S5" s="3514"/>
      <c r="T5" s="3513"/>
      <c r="U5" s="3514"/>
      <c r="V5" s="3531"/>
      <c r="W5" s="3531"/>
      <c r="X5" s="1567"/>
      <c r="Y5" s="3513"/>
      <c r="Z5" s="3514"/>
      <c r="AA5" s="3507"/>
      <c r="AB5" s="3507"/>
      <c r="AC5" s="3507"/>
    </row>
    <row r="6" spans="1:29" ht="15.75" thickBot="1">
      <c r="A6" s="520"/>
      <c r="B6" s="521"/>
      <c r="C6" s="3532" t="s">
        <v>2928</v>
      </c>
      <c r="D6" s="3533"/>
      <c r="E6" s="3536" t="s">
        <v>2928</v>
      </c>
      <c r="F6" s="3537"/>
      <c r="G6" s="3532" t="s">
        <v>2928</v>
      </c>
      <c r="H6" s="3533"/>
      <c r="I6" s="3532" t="s">
        <v>2928</v>
      </c>
      <c r="J6" s="3533"/>
      <c r="K6" s="517" t="s">
        <v>529</v>
      </c>
      <c r="L6" s="2134"/>
      <c r="M6" s="2135"/>
      <c r="N6" s="2135"/>
      <c r="O6" s="2135"/>
      <c r="P6" s="3529"/>
      <c r="Q6" s="3530"/>
      <c r="R6" s="3513"/>
      <c r="S6" s="3514"/>
      <c r="T6" s="3515"/>
      <c r="U6" s="3516"/>
      <c r="V6" s="3531"/>
      <c r="W6" s="3531"/>
      <c r="X6" s="1567"/>
      <c r="Y6" s="3515"/>
      <c r="Z6" s="3516"/>
      <c r="AA6" s="3508"/>
      <c r="AB6" s="3508"/>
      <c r="AC6" s="3508"/>
    </row>
    <row r="7" spans="1:29" s="1220" customFormat="1" ht="15.75" thickBot="1">
      <c r="A7" s="2939"/>
      <c r="B7" s="2946" t="s">
        <v>530</v>
      </c>
      <c r="C7" s="522">
        <f>'数据-取费表'!B2</f>
        <v>43052</v>
      </c>
      <c r="D7" s="523">
        <v>100</v>
      </c>
      <c r="E7" s="524"/>
      <c r="F7" s="525">
        <f>SUMIF(48:48,YEAR(E7)&amp;"-"&amp;MONTH(E7),49:49)</f>
        <v>0</v>
      </c>
      <c r="G7" s="526"/>
      <c r="H7" s="523">
        <f>SUMIF(48:48,YEAR(G7)&amp;"-"&amp;MONTH(G7),49:49)</f>
        <v>0</v>
      </c>
      <c r="I7" s="526"/>
      <c r="J7" s="523">
        <f>SUMIF(48:48,YEAR(I7)&amp;"-"&amp;MONTH(I7),49:49)</f>
        <v>0</v>
      </c>
      <c r="K7" s="527"/>
      <c r="L7" s="2136"/>
      <c r="M7" s="2137"/>
      <c r="N7" s="2137"/>
      <c r="O7" s="2137"/>
      <c r="P7" s="3509" t="s">
        <v>531</v>
      </c>
      <c r="Q7" s="3518"/>
      <c r="R7" s="1568" t="s">
        <v>8</v>
      </c>
      <c r="S7" s="1569">
        <f t="shared" ref="S7:S14" si="0">F7</f>
        <v>0</v>
      </c>
      <c r="T7" s="1568" t="s">
        <v>8</v>
      </c>
      <c r="U7" s="1569">
        <f t="shared" ref="U7:U14" si="1">H7</f>
        <v>0</v>
      </c>
      <c r="V7" s="1568" t="s">
        <v>8</v>
      </c>
      <c r="W7" s="1569">
        <f t="shared" ref="W7:W14" si="2">J7</f>
        <v>0</v>
      </c>
      <c r="X7" s="1570"/>
      <c r="Y7" s="3509" t="s">
        <v>531</v>
      </c>
      <c r="Z7" s="3510"/>
      <c r="AA7" s="1571" t="e">
        <f>D7/F7</f>
        <v>#DIV/0!</v>
      </c>
      <c r="AB7" s="1571" t="e">
        <f>D7/H7</f>
        <v>#DIV/0!</v>
      </c>
      <c r="AC7" s="1571" t="e">
        <f>D7/J7</f>
        <v>#DIV/0!</v>
      </c>
    </row>
    <row r="8" spans="1:29" s="1220" customFormat="1" ht="15.75" thickBot="1">
      <c r="A8" s="2940"/>
      <c r="B8" s="2947" t="s">
        <v>532</v>
      </c>
      <c r="C8" s="528" t="s">
        <v>577</v>
      </c>
      <c r="D8" s="523">
        <v>100</v>
      </c>
      <c r="E8" s="528"/>
      <c r="F8" s="525">
        <f>SUMIF(51:51,E8,52:52)-SUMIF(51:51,C8,52:52)+100</f>
        <v>0</v>
      </c>
      <c r="G8" s="528"/>
      <c r="H8" s="523">
        <f>SUMIF(51:51,G8,52:52)-SUMIF(51:51,C8,52:52)+100</f>
        <v>0</v>
      </c>
      <c r="I8" s="528"/>
      <c r="J8" s="523">
        <f>SUMIF(51:51,I8,52:52)-SUMIF(51:51,C8,52:52)+100</f>
        <v>0</v>
      </c>
      <c r="K8" s="527"/>
      <c r="L8" s="2136"/>
      <c r="M8" s="2137"/>
      <c r="N8" s="2137"/>
      <c r="O8" s="2137"/>
      <c r="P8" s="3509" t="s">
        <v>534</v>
      </c>
      <c r="Q8" s="3510"/>
      <c r="R8" s="1568" t="s">
        <v>8</v>
      </c>
      <c r="S8" s="1569">
        <f t="shared" si="0"/>
        <v>0</v>
      </c>
      <c r="T8" s="1568" t="s">
        <v>8</v>
      </c>
      <c r="U8" s="1569">
        <f t="shared" si="1"/>
        <v>0</v>
      </c>
      <c r="V8" s="1568" t="s">
        <v>8</v>
      </c>
      <c r="W8" s="1569">
        <f t="shared" si="2"/>
        <v>0</v>
      </c>
      <c r="X8" s="1570"/>
      <c r="Y8" s="3509" t="s">
        <v>534</v>
      </c>
      <c r="Z8" s="3510"/>
      <c r="AA8" s="1571" t="e">
        <f t="shared" ref="AA8:AA36" si="3">D8/F8</f>
        <v>#DIV/0!</v>
      </c>
      <c r="AB8" s="1571" t="e">
        <f t="shared" ref="AB8:AB36" si="4">D8/H8</f>
        <v>#DIV/0!</v>
      </c>
      <c r="AC8" s="1571" t="e">
        <f t="shared" ref="AC8:AC36" si="5">D8/J8</f>
        <v>#DIV/0!</v>
      </c>
    </row>
    <row r="9" spans="1:29" s="1220" customFormat="1" ht="15">
      <c r="A9" s="2941"/>
      <c r="B9" s="2948" t="s">
        <v>2759</v>
      </c>
      <c r="C9" s="859"/>
      <c r="D9" s="254">
        <v>100</v>
      </c>
      <c r="E9" s="862"/>
      <c r="F9" s="254">
        <f>SUMIF(53:53,E9,54:54)-SUMIF(53:53,C9,54:54)+100</f>
        <v>100</v>
      </c>
      <c r="G9" s="860"/>
      <c r="H9" s="254">
        <f>SUMIF(53:53,G9,54:54)-SUMIF(53:53,C9,54:54)+100</f>
        <v>100</v>
      </c>
      <c r="I9" s="860"/>
      <c r="J9" s="254">
        <f>SUMIF(53:53,I9,54:54)-SUMIF(53:53,C9,54:54)+100</f>
        <v>100</v>
      </c>
      <c r="K9" s="527"/>
      <c r="L9" s="2136"/>
      <c r="M9" s="2137"/>
      <c r="N9" s="2137"/>
      <c r="O9" s="2138"/>
      <c r="P9" s="3517" t="s">
        <v>536</v>
      </c>
      <c r="Q9" s="1151" t="str">
        <f t="shared" ref="Q9:Q14" si="6">B9</f>
        <v>用途</v>
      </c>
      <c r="R9" s="1568" t="s">
        <v>8</v>
      </c>
      <c r="S9" s="1569">
        <f t="shared" si="0"/>
        <v>100</v>
      </c>
      <c r="T9" s="1568" t="s">
        <v>8</v>
      </c>
      <c r="U9" s="1569">
        <f t="shared" si="1"/>
        <v>100</v>
      </c>
      <c r="V9" s="1568" t="s">
        <v>8</v>
      </c>
      <c r="W9" s="1569">
        <f t="shared" si="2"/>
        <v>100</v>
      </c>
      <c r="X9" s="1570"/>
      <c r="Y9" s="3474" t="s">
        <v>537</v>
      </c>
      <c r="Z9" s="1150" t="str">
        <f t="shared" ref="Z9:Z14" si="7">Q9</f>
        <v>用途</v>
      </c>
      <c r="AA9" s="1571">
        <f t="shared" si="3"/>
        <v>1</v>
      </c>
      <c r="AB9" s="1571">
        <f t="shared" si="4"/>
        <v>1</v>
      </c>
      <c r="AC9" s="1571">
        <f t="shared" si="5"/>
        <v>1</v>
      </c>
    </row>
    <row r="10" spans="1:29" s="1338" customFormat="1" ht="27">
      <c r="A10" s="2942"/>
      <c r="B10" s="2947" t="s">
        <v>2760</v>
      </c>
      <c r="C10" s="863"/>
      <c r="D10" s="255">
        <v>100</v>
      </c>
      <c r="E10" s="863"/>
      <c r="F10" s="255">
        <f>SUMIF(55:55,E10,56:56)-SUMIF(55:55,C10,56:56)+100</f>
        <v>100</v>
      </c>
      <c r="G10" s="864"/>
      <c r="H10" s="255">
        <f>SUMIF(55:55,G10,56:56)-SUMIF(55:55,C10,56:56)+100</f>
        <v>100</v>
      </c>
      <c r="I10" s="863"/>
      <c r="J10" s="255">
        <f>SUMIF(55:55,I10,56:56)-SUMIF(55:55,C10,56:56)+100</f>
        <v>100</v>
      </c>
      <c r="K10" s="586"/>
      <c r="L10" s="2139"/>
      <c r="M10" s="2179"/>
      <c r="N10" s="2179"/>
      <c r="O10" s="2140"/>
      <c r="P10" s="3517"/>
      <c r="Q10" s="1151" t="str">
        <f t="shared" si="6"/>
        <v>土地使用年限（年）</v>
      </c>
      <c r="R10" s="1568" t="s">
        <v>8</v>
      </c>
      <c r="S10" s="1569">
        <f t="shared" si="0"/>
        <v>100</v>
      </c>
      <c r="T10" s="1568" t="s">
        <v>8</v>
      </c>
      <c r="U10" s="1569">
        <f t="shared" si="1"/>
        <v>100</v>
      </c>
      <c r="V10" s="1568" t="s">
        <v>8</v>
      </c>
      <c r="W10" s="1569">
        <f t="shared" si="2"/>
        <v>100</v>
      </c>
      <c r="X10" s="1570"/>
      <c r="Y10" s="3474"/>
      <c r="Z10" s="1150" t="str">
        <f t="shared" si="7"/>
        <v>土地使用年限（年）</v>
      </c>
      <c r="AA10" s="1571">
        <f t="shared" si="3"/>
        <v>1</v>
      </c>
      <c r="AB10" s="1571">
        <f t="shared" si="4"/>
        <v>1</v>
      </c>
      <c r="AC10" s="1571">
        <f t="shared" si="5"/>
        <v>1</v>
      </c>
    </row>
    <row r="11" spans="1:29" ht="15">
      <c r="A11" s="2944"/>
      <c r="B11" s="2950">
        <v>111</v>
      </c>
      <c r="C11" s="531"/>
      <c r="D11" s="255">
        <v>100</v>
      </c>
      <c r="E11" s="531"/>
      <c r="F11" s="255">
        <f>SUMIF(57:57,E11,58:58)-SUMIF(57:57,C11,58:58)+100</f>
        <v>100</v>
      </c>
      <c r="G11" s="531"/>
      <c r="H11" s="255">
        <f>SUMIF(57:57,G11,58:58)-SUMIF(57:57,C11,58:58)+100</f>
        <v>100</v>
      </c>
      <c r="I11" s="531"/>
      <c r="J11" s="255">
        <f>SUMIF(57:57,I11,58:58)-SUMIF(57:57,C11,58:58)+100</f>
        <v>100</v>
      </c>
      <c r="K11" s="583"/>
      <c r="L11" s="2141"/>
      <c r="M11" s="2135"/>
      <c r="N11" s="2135"/>
      <c r="O11" s="2142"/>
      <c r="P11" s="3517"/>
      <c r="Q11" s="1151">
        <f t="shared" si="6"/>
        <v>111</v>
      </c>
      <c r="R11" s="1568" t="s">
        <v>8</v>
      </c>
      <c r="S11" s="1569">
        <f t="shared" si="0"/>
        <v>100</v>
      </c>
      <c r="T11" s="1568" t="s">
        <v>8</v>
      </c>
      <c r="U11" s="1569">
        <f t="shared" si="1"/>
        <v>100</v>
      </c>
      <c r="V11" s="1568" t="s">
        <v>8</v>
      </c>
      <c r="W11" s="1569">
        <f t="shared" si="2"/>
        <v>100</v>
      </c>
      <c r="X11" s="1570"/>
      <c r="Y11" s="3474"/>
      <c r="Z11" s="1150">
        <f t="shared" si="7"/>
        <v>111</v>
      </c>
      <c r="AA11" s="1571">
        <f t="shared" si="3"/>
        <v>1</v>
      </c>
      <c r="AB11" s="1571">
        <f t="shared" si="4"/>
        <v>1</v>
      </c>
      <c r="AC11" s="1571">
        <f t="shared" si="5"/>
        <v>1</v>
      </c>
    </row>
    <row r="12" spans="1:29" s="1220" customFormat="1" ht="15">
      <c r="A12" s="2944"/>
      <c r="B12" s="2950">
        <v>111</v>
      </c>
      <c r="C12" s="531"/>
      <c r="D12" s="541">
        <v>100</v>
      </c>
      <c r="E12" s="531"/>
      <c r="F12" s="255">
        <f>SUMIF(59:59,E12,60:60)-SUMIF(59:59,C12,60:60)+100</f>
        <v>100</v>
      </c>
      <c r="G12" s="531"/>
      <c r="H12" s="255">
        <f>SUMIF(59:59,G12,60:60)-SUMIF(59:59,C12,60:60)+100</f>
        <v>100</v>
      </c>
      <c r="I12" s="531"/>
      <c r="J12" s="255">
        <f>SUMIF(59:59,I12,60:60)-SUMIF(59:59,C12,60:60)+100</f>
        <v>100</v>
      </c>
      <c r="K12" s="583"/>
      <c r="L12" s="2136"/>
      <c r="M12" s="2137"/>
      <c r="N12" s="2137"/>
      <c r="O12" s="2138"/>
      <c r="P12" s="3517"/>
      <c r="Q12" s="1151">
        <f t="shared" si="6"/>
        <v>111</v>
      </c>
      <c r="R12" s="1568" t="s">
        <v>8</v>
      </c>
      <c r="S12" s="1569">
        <f t="shared" si="0"/>
        <v>100</v>
      </c>
      <c r="T12" s="1568" t="s">
        <v>8</v>
      </c>
      <c r="U12" s="1569">
        <f t="shared" si="1"/>
        <v>100</v>
      </c>
      <c r="V12" s="1568" t="s">
        <v>8</v>
      </c>
      <c r="W12" s="1569">
        <f t="shared" si="2"/>
        <v>100</v>
      </c>
      <c r="X12" s="1570"/>
      <c r="Y12" s="3474"/>
      <c r="Z12" s="1150">
        <f t="shared" si="7"/>
        <v>111</v>
      </c>
      <c r="AA12" s="1571">
        <f>D12/F12</f>
        <v>1</v>
      </c>
      <c r="AB12" s="1571">
        <f>D12/H12</f>
        <v>1</v>
      </c>
      <c r="AC12" s="1571">
        <f>D12/J12</f>
        <v>1</v>
      </c>
    </row>
    <row r="13" spans="1:29" ht="15.75" thickBot="1">
      <c r="A13" s="2945"/>
      <c r="B13" s="2951">
        <v>111</v>
      </c>
      <c r="C13" s="542"/>
      <c r="D13" s="543">
        <v>100</v>
      </c>
      <c r="E13" s="531"/>
      <c r="F13" s="255">
        <f>SUMIF(61:61,E13,62:62)-SUMIF(61:61,C13,62:62)+100</f>
        <v>100</v>
      </c>
      <c r="G13" s="531"/>
      <c r="H13" s="543">
        <f>SUMIF(61:61,G13,62:62)-SUMIF(61:61,C13,62:62)+100</f>
        <v>100</v>
      </c>
      <c r="I13" s="531"/>
      <c r="J13" s="543">
        <f>SUMIF(61:61,I13,62:62)-SUMIF(61:61,C13,62:62)+100</f>
        <v>100</v>
      </c>
      <c r="K13" s="583"/>
      <c r="L13" s="2143"/>
      <c r="M13" s="2135"/>
      <c r="N13" s="2135"/>
      <c r="O13" s="2142"/>
      <c r="P13" s="3517"/>
      <c r="Q13" s="1151">
        <f t="shared" si="6"/>
        <v>111</v>
      </c>
      <c r="R13" s="1568" t="s">
        <v>8</v>
      </c>
      <c r="S13" s="1569">
        <f t="shared" si="0"/>
        <v>100</v>
      </c>
      <c r="T13" s="1568" t="s">
        <v>8</v>
      </c>
      <c r="U13" s="1569">
        <f t="shared" si="1"/>
        <v>100</v>
      </c>
      <c r="V13" s="1568" t="s">
        <v>8</v>
      </c>
      <c r="W13" s="1569">
        <f t="shared" si="2"/>
        <v>100</v>
      </c>
      <c r="X13" s="1570"/>
      <c r="Y13" s="3474"/>
      <c r="Z13" s="1150">
        <f t="shared" si="7"/>
        <v>111</v>
      </c>
      <c r="AA13" s="1571">
        <f t="shared" si="3"/>
        <v>1</v>
      </c>
      <c r="AB13" s="1571">
        <f t="shared" si="4"/>
        <v>1</v>
      </c>
      <c r="AC13" s="1571">
        <f t="shared" si="5"/>
        <v>1</v>
      </c>
    </row>
    <row r="14" spans="1:29" ht="71.25">
      <c r="A14" s="2937" t="s">
        <v>2757</v>
      </c>
      <c r="B14" s="550" t="s">
        <v>544</v>
      </c>
      <c r="C14" s="922" t="str">
        <f>IF(B1="工业",估价对象房地状况!G4,估价对象房地状况!C6)</f>
        <v>周边道路状况、公共交通通达情况、停车便捷程度（大理荒草坝机场</v>
      </c>
      <c r="D14" s="552">
        <v>100</v>
      </c>
      <c r="E14" s="553"/>
      <c r="F14" s="554">
        <f>SUMIF(63:63,E15,64:64)-SUMIF(63:63,C15,64:64)+100</f>
        <v>100</v>
      </c>
      <c r="G14" s="555"/>
      <c r="H14" s="552">
        <f>SUMIF(63:63,G15,64:64)-SUMIF(63:63,C15,64:64)+100</f>
        <v>100</v>
      </c>
      <c r="I14" s="553"/>
      <c r="J14" s="552">
        <f>SUMIF(63:63,I15,64:64)-SUMIF(63:63,C15,64:64)+100</f>
        <v>100</v>
      </c>
      <c r="K14" s="899"/>
      <c r="L14" s="2143"/>
      <c r="M14" s="2135"/>
      <c r="N14" s="2135"/>
      <c r="O14" s="2142"/>
      <c r="P14" s="3519" t="s">
        <v>541</v>
      </c>
      <c r="Q14" s="1572" t="str">
        <f t="shared" si="6"/>
        <v>交通便捷度</v>
      </c>
      <c r="R14" s="1573" t="s">
        <v>8</v>
      </c>
      <c r="S14" s="1574">
        <f t="shared" si="0"/>
        <v>100</v>
      </c>
      <c r="T14" s="1573" t="s">
        <v>8</v>
      </c>
      <c r="U14" s="1574">
        <f t="shared" si="1"/>
        <v>100</v>
      </c>
      <c r="V14" s="1573" t="s">
        <v>8</v>
      </c>
      <c r="W14" s="1574">
        <f t="shared" si="2"/>
        <v>100</v>
      </c>
      <c r="X14" s="1567"/>
      <c r="Y14" s="3519" t="s">
        <v>541</v>
      </c>
      <c r="Z14" s="1575" t="str">
        <f t="shared" si="7"/>
        <v>交通便捷度</v>
      </c>
      <c r="AA14" s="1576">
        <f t="shared" si="3"/>
        <v>1</v>
      </c>
      <c r="AB14" s="1576">
        <f t="shared" si="4"/>
        <v>1</v>
      </c>
      <c r="AC14" s="1576">
        <f t="shared" si="5"/>
        <v>1</v>
      </c>
    </row>
    <row r="15" spans="1:29" ht="15">
      <c r="A15" s="518"/>
      <c r="B15" s="925"/>
      <c r="C15" s="578"/>
      <c r="D15" s="558"/>
      <c r="E15" s="578"/>
      <c r="F15" s="560"/>
      <c r="G15" s="578"/>
      <c r="H15" s="562"/>
      <c r="I15" s="578"/>
      <c r="J15" s="558"/>
      <c r="K15" s="900"/>
      <c r="L15" s="2143"/>
      <c r="M15" s="2135"/>
      <c r="N15" s="2135"/>
      <c r="O15" s="2142"/>
      <c r="P15" s="3520"/>
      <c r="Q15" s="1572"/>
      <c r="R15" s="1573"/>
      <c r="S15" s="1574"/>
      <c r="T15" s="1573"/>
      <c r="U15" s="1574"/>
      <c r="V15" s="1573"/>
      <c r="W15" s="1574"/>
      <c r="X15" s="1567"/>
      <c r="Y15" s="3520"/>
      <c r="Z15" s="1575"/>
      <c r="AA15" s="1576">
        <v>1</v>
      </c>
      <c r="AB15" s="1576">
        <v>1</v>
      </c>
      <c r="AC15" s="1576">
        <v>1</v>
      </c>
    </row>
    <row r="16" spans="1:29" ht="42.75">
      <c r="A16" s="518"/>
      <c r="B16" s="2628" t="s">
        <v>2548</v>
      </c>
      <c r="C16" s="874" t="str">
        <f>IF(B1="工业",估价对象房地状况!G5,估价对象房地状况!C7)</f>
        <v>大理技师学院 与较成熟区域距离5-6公里</v>
      </c>
      <c r="D16" s="567">
        <v>100</v>
      </c>
      <c r="E16" s="574"/>
      <c r="F16" s="573">
        <f>SUMIF(65:65,E17,66:66)-SUMIF(65:65,C17,66:66)+100</f>
        <v>100</v>
      </c>
      <c r="G16" s="574"/>
      <c r="H16" s="567">
        <f>SUMIF(65:65,G17,66:66)-SUMIF(65:65,C17,66:66)+100</f>
        <v>100</v>
      </c>
      <c r="I16" s="572"/>
      <c r="J16" s="567">
        <f>SUMIF(65:65,I17,66:66)-SUMIF(65:65,C17,66:66)+100</f>
        <v>100</v>
      </c>
      <c r="K16" s="899"/>
      <c r="L16" s="2143"/>
      <c r="M16" s="2135"/>
      <c r="N16" s="2135"/>
      <c r="O16" s="2142"/>
      <c r="P16" s="3520"/>
      <c r="Q16" s="1572" t="str">
        <f>B16</f>
        <v>公共配套设施</v>
      </c>
      <c r="R16" s="1573" t="s">
        <v>8</v>
      </c>
      <c r="S16" s="1574">
        <f>F16</f>
        <v>100</v>
      </c>
      <c r="T16" s="1573" t="s">
        <v>8</v>
      </c>
      <c r="U16" s="1574">
        <f>H16</f>
        <v>100</v>
      </c>
      <c r="V16" s="1573" t="s">
        <v>8</v>
      </c>
      <c r="W16" s="1574">
        <f>J16</f>
        <v>100</v>
      </c>
      <c r="X16" s="1567"/>
      <c r="Y16" s="3520"/>
      <c r="Z16" s="1575" t="str">
        <f>Q16</f>
        <v>公共配套设施</v>
      </c>
      <c r="AA16" s="1576">
        <f t="shared" si="3"/>
        <v>1</v>
      </c>
      <c r="AB16" s="1576">
        <f t="shared" si="4"/>
        <v>1</v>
      </c>
      <c r="AC16" s="1576">
        <f t="shared" si="5"/>
        <v>1</v>
      </c>
    </row>
    <row r="17" spans="1:29" ht="15">
      <c r="A17" s="518"/>
      <c r="B17" s="568"/>
      <c r="C17" s="875"/>
      <c r="D17" s="558"/>
      <c r="E17" s="578"/>
      <c r="F17" s="560"/>
      <c r="G17" s="578"/>
      <c r="H17" s="558"/>
      <c r="I17" s="578"/>
      <c r="J17" s="558"/>
      <c r="K17" s="900"/>
      <c r="L17" s="2143"/>
      <c r="M17" s="2135"/>
      <c r="N17" s="2135"/>
      <c r="O17" s="2142"/>
      <c r="P17" s="3520"/>
      <c r="Q17" s="1572"/>
      <c r="R17" s="1573"/>
      <c r="S17" s="1574"/>
      <c r="T17" s="1573"/>
      <c r="U17" s="1574"/>
      <c r="V17" s="1573"/>
      <c r="W17" s="1574"/>
      <c r="X17" s="1567"/>
      <c r="Y17" s="3520"/>
      <c r="Z17" s="1575"/>
      <c r="AA17" s="1576">
        <v>1</v>
      </c>
      <c r="AB17" s="1576">
        <v>1</v>
      </c>
      <c r="AC17" s="1576">
        <v>1</v>
      </c>
    </row>
    <row r="18" spans="1:29" ht="15">
      <c r="A18" s="518"/>
      <c r="B18" s="2616" t="s">
        <v>2560</v>
      </c>
      <c r="C18" s="874">
        <f>IF(B1="工业",估价对象房地状况!G6,估价对象房地状况!C8)</f>
        <v>0</v>
      </c>
      <c r="D18" s="562">
        <v>100</v>
      </c>
      <c r="E18" s="574"/>
      <c r="F18" s="573">
        <f>SUMIF(67:67,E19,68:68)-SUMIF(67:67,C19,68:68)+100</f>
        <v>100</v>
      </c>
      <c r="G18" s="574"/>
      <c r="H18" s="567">
        <f>SUMIF(67:67,G19,68:68)-SUMIF(67:67,C19,68:68)+100</f>
        <v>100</v>
      </c>
      <c r="I18" s="572"/>
      <c r="J18" s="567">
        <f>SUMIF(67:67,I19,68:68)-SUMIF(67:67,C19,68:68)+100</f>
        <v>100</v>
      </c>
      <c r="K18" s="899"/>
      <c r="L18" s="2143"/>
      <c r="M18" s="2135"/>
      <c r="N18" s="2135"/>
      <c r="O18" s="2142"/>
      <c r="P18" s="3520"/>
      <c r="Q18" s="2604" t="str">
        <f>B18</f>
        <v>基础设施水平</v>
      </c>
      <c r="R18" s="1573" t="s">
        <v>8</v>
      </c>
      <c r="S18" s="1574">
        <f>F18</f>
        <v>100</v>
      </c>
      <c r="T18" s="1573" t="s">
        <v>8</v>
      </c>
      <c r="U18" s="1574">
        <f>H18</f>
        <v>100</v>
      </c>
      <c r="V18" s="1573" t="s">
        <v>8</v>
      </c>
      <c r="W18" s="1574">
        <f>J18</f>
        <v>100</v>
      </c>
      <c r="X18" s="2606"/>
      <c r="Y18" s="3520"/>
      <c r="Z18" s="2605" t="str">
        <f>Q18</f>
        <v>基础设施水平</v>
      </c>
      <c r="AA18" s="1576">
        <f t="shared" ref="AA18" si="8">D18/F18</f>
        <v>1</v>
      </c>
      <c r="AB18" s="1576">
        <f t="shared" ref="AB18" si="9">D18/H18</f>
        <v>1</v>
      </c>
      <c r="AC18" s="1576">
        <f t="shared" ref="AC18" si="10">D18/J18</f>
        <v>1</v>
      </c>
    </row>
    <row r="19" spans="1:29" ht="15">
      <c r="A19" s="518"/>
      <c r="B19" s="580"/>
      <c r="C19" s="875"/>
      <c r="D19" s="562"/>
      <c r="E19" s="578"/>
      <c r="F19" s="560"/>
      <c r="G19" s="578"/>
      <c r="H19" s="558"/>
      <c r="I19" s="578"/>
      <c r="J19" s="558"/>
      <c r="K19" s="2627"/>
      <c r="L19" s="2143"/>
      <c r="M19" s="2135"/>
      <c r="N19" s="2135"/>
      <c r="O19" s="2142"/>
      <c r="P19" s="3520"/>
      <c r="Q19" s="2604"/>
      <c r="R19" s="1573"/>
      <c r="S19" s="1574"/>
      <c r="T19" s="1573"/>
      <c r="U19" s="1574"/>
      <c r="V19" s="1573"/>
      <c r="W19" s="1574"/>
      <c r="X19" s="2606"/>
      <c r="Y19" s="3520"/>
      <c r="Z19" s="2605"/>
      <c r="AA19" s="1576">
        <v>1</v>
      </c>
      <c r="AB19" s="1576">
        <v>1</v>
      </c>
      <c r="AC19" s="1576">
        <v>1</v>
      </c>
    </row>
    <row r="20" spans="1:29" ht="15">
      <c r="A20" s="518"/>
      <c r="B20" s="563" t="s">
        <v>804</v>
      </c>
      <c r="C20" s="874" t="str">
        <f>IF(B1="工业",估价对象房地状况!G7,估价对象房地状况!C9)</f>
        <v>洱海</v>
      </c>
      <c r="D20" s="567">
        <v>100</v>
      </c>
      <c r="E20" s="564"/>
      <c r="F20" s="565">
        <f>SUMIF(69:69,E21,70:70)-SUMIF(69:69,C21,70:70)+100</f>
        <v>100</v>
      </c>
      <c r="G20" s="566"/>
      <c r="H20" s="562">
        <f>SUMIF(69:69,G21,70:70)-SUMIF(69:69,C21,70:70)+100</f>
        <v>100</v>
      </c>
      <c r="I20" s="564"/>
      <c r="J20" s="562">
        <f>SUMIF(69:69,I21,70:70)-SUMIF(69:69,C21,70:70)+100</f>
        <v>100</v>
      </c>
      <c r="K20" s="899"/>
      <c r="L20" s="2143"/>
      <c r="M20" s="2135"/>
      <c r="N20" s="2135"/>
      <c r="O20" s="2142"/>
      <c r="P20" s="3520"/>
      <c r="Q20" s="1572" t="str">
        <f>B20</f>
        <v>自然及人文环境</v>
      </c>
      <c r="R20" s="1573" t="s">
        <v>8</v>
      </c>
      <c r="S20" s="1574">
        <f>F20</f>
        <v>100</v>
      </c>
      <c r="T20" s="1573" t="s">
        <v>8</v>
      </c>
      <c r="U20" s="1574">
        <f>H20</f>
        <v>100</v>
      </c>
      <c r="V20" s="1573" t="s">
        <v>8</v>
      </c>
      <c r="W20" s="1574">
        <f>J20</f>
        <v>100</v>
      </c>
      <c r="X20" s="1567"/>
      <c r="Y20" s="3520"/>
      <c r="Z20" s="1575" t="str">
        <f>Q20</f>
        <v>自然及人文环境</v>
      </c>
      <c r="AA20" s="1576">
        <f t="shared" si="3"/>
        <v>1</v>
      </c>
      <c r="AB20" s="1576">
        <f t="shared" si="4"/>
        <v>1</v>
      </c>
      <c r="AC20" s="1576">
        <f t="shared" si="5"/>
        <v>1</v>
      </c>
    </row>
    <row r="21" spans="1:29" ht="15">
      <c r="A21" s="518"/>
      <c r="B21" s="568"/>
      <c r="C21" s="578"/>
      <c r="D21" s="558"/>
      <c r="E21" s="578"/>
      <c r="F21" s="560"/>
      <c r="G21" s="578"/>
      <c r="H21" s="558"/>
      <c r="I21" s="578"/>
      <c r="J21" s="558"/>
      <c r="K21" s="900"/>
      <c r="L21" s="2143"/>
      <c r="M21" s="2135"/>
      <c r="N21" s="2135"/>
      <c r="O21" s="2142"/>
      <c r="P21" s="3520"/>
      <c r="Q21" s="1572"/>
      <c r="R21" s="1573"/>
      <c r="S21" s="1574"/>
      <c r="T21" s="1573"/>
      <c r="U21" s="1574"/>
      <c r="V21" s="1573"/>
      <c r="W21" s="1574"/>
      <c r="X21" s="1567"/>
      <c r="Y21" s="3520"/>
      <c r="Z21" s="1575"/>
      <c r="AA21" s="1576">
        <v>1</v>
      </c>
      <c r="AB21" s="1576">
        <v>1</v>
      </c>
      <c r="AC21" s="1576">
        <v>1</v>
      </c>
    </row>
    <row r="22" spans="1:29" ht="15">
      <c r="A22" s="518"/>
      <c r="B22" s="563" t="s">
        <v>805</v>
      </c>
      <c r="C22" s="585"/>
      <c r="D22" s="562">
        <v>100</v>
      </c>
      <c r="E22" s="585"/>
      <c r="F22" s="577">
        <f>SUMIF(71:71,E22,72:72)-SUMIF(71:71,C22,72:72)+100</f>
        <v>100</v>
      </c>
      <c r="G22" s="585"/>
      <c r="H22" s="543">
        <f>SUMIF(71:71,G22,72:72)-SUMIF(71:71,C22,72:72)+100</f>
        <v>100</v>
      </c>
      <c r="I22" s="585"/>
      <c r="J22" s="543">
        <f>SUMIF(71:71,I22,72:72)-SUMIF(71:71,C22,72:72)+100</f>
        <v>100</v>
      </c>
      <c r="K22" s="586"/>
      <c r="L22" s="2143"/>
      <c r="M22" s="2135"/>
      <c r="N22" s="2135"/>
      <c r="O22" s="2142"/>
      <c r="P22" s="3520"/>
      <c r="Q22" s="1572" t="str">
        <f>B22</f>
        <v>楼层</v>
      </c>
      <c r="R22" s="1573" t="s">
        <v>8</v>
      </c>
      <c r="S22" s="1574">
        <f>F22</f>
        <v>100</v>
      </c>
      <c r="T22" s="1573" t="s">
        <v>8</v>
      </c>
      <c r="U22" s="1574">
        <f>H22</f>
        <v>100</v>
      </c>
      <c r="V22" s="1573" t="s">
        <v>8</v>
      </c>
      <c r="W22" s="1574">
        <f>J22</f>
        <v>100</v>
      </c>
      <c r="X22" s="1567"/>
      <c r="Y22" s="3520"/>
      <c r="Z22" s="1575" t="str">
        <f>Q22</f>
        <v>楼层</v>
      </c>
      <c r="AA22" s="1576">
        <f t="shared" si="3"/>
        <v>1</v>
      </c>
      <c r="AB22" s="1576">
        <f t="shared" si="4"/>
        <v>1</v>
      </c>
      <c r="AC22" s="1576">
        <f t="shared" si="5"/>
        <v>1</v>
      </c>
    </row>
    <row r="23" spans="1:29" ht="15">
      <c r="A23" s="518"/>
      <c r="B23" s="926">
        <v>111</v>
      </c>
      <c r="C23" s="531"/>
      <c r="D23" s="543">
        <v>100</v>
      </c>
      <c r="E23" s="531"/>
      <c r="F23" s="577">
        <f>SUMIF(73:73,E23,74:74)-SUMIF(73:73,C23,74:74)+100</f>
        <v>100</v>
      </c>
      <c r="G23" s="531"/>
      <c r="H23" s="543">
        <f>SUMIF(73:73,G23,74:74)-SUMIF(73:73,C23,74:74)+100</f>
        <v>100</v>
      </c>
      <c r="I23" s="531"/>
      <c r="J23" s="543">
        <f>SUMIF(73:73,I23,74:74)-SUMIF(73:73,C23,74:74)+100</f>
        <v>100</v>
      </c>
      <c r="K23" s="583"/>
      <c r="L23" s="2143"/>
      <c r="M23" s="2135"/>
      <c r="N23" s="2135"/>
      <c r="O23" s="2142"/>
      <c r="P23" s="3520"/>
      <c r="Q23" s="1572">
        <f>B23</f>
        <v>111</v>
      </c>
      <c r="R23" s="1573" t="s">
        <v>8</v>
      </c>
      <c r="S23" s="1574">
        <f>F23</f>
        <v>100</v>
      </c>
      <c r="T23" s="1573" t="s">
        <v>8</v>
      </c>
      <c r="U23" s="1574">
        <f>H23</f>
        <v>100</v>
      </c>
      <c r="V23" s="1573" t="s">
        <v>8</v>
      </c>
      <c r="W23" s="1574">
        <f>J23</f>
        <v>100</v>
      </c>
      <c r="X23" s="1567"/>
      <c r="Y23" s="3520"/>
      <c r="Z23" s="1575">
        <f>Q23</f>
        <v>111</v>
      </c>
      <c r="AA23" s="1576">
        <f t="shared" si="3"/>
        <v>1</v>
      </c>
      <c r="AB23" s="1576">
        <f t="shared" si="4"/>
        <v>1</v>
      </c>
      <c r="AC23" s="1576">
        <f t="shared" si="5"/>
        <v>1</v>
      </c>
    </row>
    <row r="24" spans="1:29" ht="15">
      <c r="A24" s="518"/>
      <c r="B24" s="926">
        <v>111</v>
      </c>
      <c r="C24" s="531"/>
      <c r="D24" s="543">
        <v>100</v>
      </c>
      <c r="E24" s="531"/>
      <c r="F24" s="577">
        <f>SUMIF(75:75,E24,76:76)-SUMIF(75:75,C24,76:76)+100</f>
        <v>100</v>
      </c>
      <c r="G24" s="531"/>
      <c r="H24" s="543">
        <f>SUMIF(75:75,G24,76:76)-SUMIF(75:75,C24,76:76)+100</f>
        <v>100</v>
      </c>
      <c r="I24" s="531"/>
      <c r="J24" s="543">
        <f>SUMIF(75:75,I24,76:76)-SUMIF(75:75,C24,76:76)+100</f>
        <v>100</v>
      </c>
      <c r="K24" s="583"/>
      <c r="L24" s="2143"/>
      <c r="M24" s="2135"/>
      <c r="N24" s="2135"/>
      <c r="O24" s="2142"/>
      <c r="P24" s="3520"/>
      <c r="Q24" s="1572">
        <f t="shared" ref="Q24:Q36" si="11">B24</f>
        <v>111</v>
      </c>
      <c r="R24" s="1573" t="s">
        <v>8</v>
      </c>
      <c r="S24" s="1574">
        <f>F24</f>
        <v>100</v>
      </c>
      <c r="T24" s="1573" t="s">
        <v>8</v>
      </c>
      <c r="U24" s="1574">
        <f>H24</f>
        <v>100</v>
      </c>
      <c r="V24" s="1573" t="s">
        <v>8</v>
      </c>
      <c r="W24" s="1574">
        <f>J24</f>
        <v>100</v>
      </c>
      <c r="X24" s="1567"/>
      <c r="Y24" s="3520"/>
      <c r="Z24" s="1575">
        <f>Q24</f>
        <v>111</v>
      </c>
      <c r="AA24" s="1576">
        <f t="shared" si="3"/>
        <v>1</v>
      </c>
      <c r="AB24" s="1576">
        <f t="shared" si="4"/>
        <v>1</v>
      </c>
      <c r="AC24" s="1576">
        <f t="shared" si="5"/>
        <v>1</v>
      </c>
    </row>
    <row r="25" spans="1:29" s="1220" customFormat="1" ht="15.75" thickBot="1">
      <c r="A25" s="579"/>
      <c r="B25" s="915">
        <v>111</v>
      </c>
      <c r="C25" s="548"/>
      <c r="D25" s="927">
        <v>100</v>
      </c>
      <c r="E25" s="912"/>
      <c r="F25" s="928">
        <f>SUMIF(77:77,E25,78:78)-SUMIF(77:77,C25,78:78)+100</f>
        <v>100</v>
      </c>
      <c r="G25" s="912"/>
      <c r="H25" s="927">
        <f>SUMIF(77:77,G25,78:78)-SUMIF(77:77,C25,78:78)+100</f>
        <v>100</v>
      </c>
      <c r="I25" s="912"/>
      <c r="J25" s="927">
        <f>SUMIF(77:77,I25,78:78)-SUMIF(77:77,C25,78:78)+100</f>
        <v>100</v>
      </c>
      <c r="K25" s="583"/>
      <c r="L25" s="2136"/>
      <c r="M25" s="2137"/>
      <c r="N25" s="2137"/>
      <c r="O25" s="2138"/>
      <c r="P25" s="3520"/>
      <c r="Q25" s="1151">
        <f t="shared" si="11"/>
        <v>111</v>
      </c>
      <c r="R25" s="1568" t="s">
        <v>8</v>
      </c>
      <c r="S25" s="1569">
        <f>F25</f>
        <v>100</v>
      </c>
      <c r="T25" s="1568" t="s">
        <v>8</v>
      </c>
      <c r="U25" s="1569">
        <f>H25</f>
        <v>100</v>
      </c>
      <c r="V25" s="1568" t="s">
        <v>8</v>
      </c>
      <c r="W25" s="1569">
        <f>J25</f>
        <v>100</v>
      </c>
      <c r="X25" s="1570"/>
      <c r="Y25" s="3520"/>
      <c r="Z25" s="1150">
        <f>Q25</f>
        <v>111</v>
      </c>
      <c r="AA25" s="1576">
        <f>D25/F25</f>
        <v>1</v>
      </c>
      <c r="AB25" s="1576">
        <f>D25/H25</f>
        <v>1</v>
      </c>
      <c r="AC25" s="1576">
        <f>D25/J25</f>
        <v>1</v>
      </c>
    </row>
    <row r="26" spans="1:29" ht="15">
      <c r="A26" s="2934" t="s">
        <v>2758</v>
      </c>
      <c r="B26" s="170" t="s">
        <v>806</v>
      </c>
      <c r="C26" s="929">
        <f>B1</f>
        <v>0</v>
      </c>
      <c r="D26" s="558">
        <v>100</v>
      </c>
      <c r="E26" s="578"/>
      <c r="F26" s="560">
        <f>SUMIF(79:79,E26,80:80)-SUMIF(79:79,C26,80:80)+100</f>
        <v>100</v>
      </c>
      <c r="G26" s="578"/>
      <c r="H26" s="558">
        <f>SUMIF(79:79,G26,80:80)-SUMIF(79:79,C26,80:80)+100</f>
        <v>100</v>
      </c>
      <c r="I26" s="578"/>
      <c r="J26" s="558">
        <f>SUMIF(79:79,I26,80:80)-SUMIF(79:79,C26,80:80)+100</f>
        <v>100</v>
      </c>
      <c r="K26" s="586"/>
      <c r="L26" s="2143"/>
      <c r="M26" s="2135"/>
      <c r="N26" s="2135"/>
      <c r="O26" s="2142"/>
      <c r="P26" s="3521"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522" t="s">
        <v>551</v>
      </c>
      <c r="Z26" s="1575" t="str">
        <f t="shared" ref="Z26:Z36" si="15">Q26</f>
        <v>配套类型</v>
      </c>
      <c r="AA26" s="1576">
        <f t="shared" si="3"/>
        <v>1</v>
      </c>
      <c r="AB26" s="1576">
        <f t="shared" si="4"/>
        <v>1</v>
      </c>
      <c r="AC26" s="1576">
        <f t="shared" si="5"/>
        <v>1</v>
      </c>
    </row>
    <row r="27" spans="1:29" s="1339" customFormat="1" ht="15">
      <c r="A27" s="930"/>
      <c r="B27" s="584" t="s">
        <v>807</v>
      </c>
      <c r="C27" s="931"/>
      <c r="D27" s="255">
        <v>100</v>
      </c>
      <c r="E27" s="931"/>
      <c r="F27" s="577">
        <f>SUMIF(81:81,E27,82:82)-SUMIF(81:81,C27,82:82)+100</f>
        <v>100</v>
      </c>
      <c r="G27" s="931"/>
      <c r="H27" s="543">
        <f>SUMIF(81:81,G27,82:82)-SUMIF(81:81,C27,82:82)+100</f>
        <v>100</v>
      </c>
      <c r="I27" s="931"/>
      <c r="J27" s="543">
        <f>SUMIF(81:81,I27,82:82)-SUMIF(81:81,C27,82:82)+100</f>
        <v>100</v>
      </c>
      <c r="K27" s="583"/>
      <c r="L27" s="2141"/>
      <c r="M27" s="2172"/>
      <c r="N27" s="2172"/>
      <c r="O27" s="2144"/>
      <c r="P27" s="3522"/>
      <c r="Q27" s="1605" t="str">
        <f t="shared" si="11"/>
        <v>项目停车位配比</v>
      </c>
      <c r="R27" s="1577" t="s">
        <v>8</v>
      </c>
      <c r="S27" s="1578">
        <f t="shared" si="12"/>
        <v>100</v>
      </c>
      <c r="T27" s="1577" t="s">
        <v>8</v>
      </c>
      <c r="U27" s="1578">
        <f t="shared" si="13"/>
        <v>100</v>
      </c>
      <c r="V27" s="1577" t="s">
        <v>8</v>
      </c>
      <c r="W27" s="1578">
        <f t="shared" si="14"/>
        <v>100</v>
      </c>
      <c r="X27" s="1579"/>
      <c r="Y27" s="3522"/>
      <c r="Z27" s="1580" t="str">
        <f t="shared" si="15"/>
        <v>项目停车位配比</v>
      </c>
      <c r="AA27" s="1576">
        <f t="shared" si="3"/>
        <v>1</v>
      </c>
      <c r="AB27" s="1576">
        <f t="shared" si="4"/>
        <v>1</v>
      </c>
      <c r="AC27" s="1576">
        <f t="shared" si="5"/>
        <v>1</v>
      </c>
    </row>
    <row r="28" spans="1:29" ht="15">
      <c r="A28" s="932"/>
      <c r="B28" s="584" t="s">
        <v>808</v>
      </c>
      <c r="C28" s="576"/>
      <c r="D28" s="543">
        <v>100</v>
      </c>
      <c r="E28" s="576"/>
      <c r="F28" s="577">
        <f>SUMIF(83:83,E28,84:84)-SUMIF(83:83,C28,84:84)+100</f>
        <v>100</v>
      </c>
      <c r="G28" s="576"/>
      <c r="H28" s="543">
        <f>SUMIF(83:83,G28,84:84)-SUMIF(83:83,C28,84:84)+100</f>
        <v>100</v>
      </c>
      <c r="I28" s="576"/>
      <c r="J28" s="543">
        <f>SUMIF(83:83,I28,84:84)-SUMIF(83:83,C28,84:84)+100</f>
        <v>100</v>
      </c>
      <c r="K28" s="586"/>
      <c r="L28" s="2143"/>
      <c r="M28" s="2135"/>
      <c r="N28" s="2135"/>
      <c r="O28" s="2142"/>
      <c r="P28" s="3522"/>
      <c r="Q28" s="1572" t="str">
        <f t="shared" si="11"/>
        <v>公共部分装修</v>
      </c>
      <c r="R28" s="1573" t="s">
        <v>8</v>
      </c>
      <c r="S28" s="1574">
        <f t="shared" si="12"/>
        <v>100</v>
      </c>
      <c r="T28" s="1573" t="s">
        <v>8</v>
      </c>
      <c r="U28" s="1574">
        <f t="shared" si="13"/>
        <v>100</v>
      </c>
      <c r="V28" s="1573" t="s">
        <v>8</v>
      </c>
      <c r="W28" s="1574">
        <f t="shared" si="14"/>
        <v>100</v>
      </c>
      <c r="X28" s="1567"/>
      <c r="Y28" s="3522"/>
      <c r="Z28" s="1575" t="str">
        <f t="shared" si="15"/>
        <v>公共部分装修</v>
      </c>
      <c r="AA28" s="1576">
        <f t="shared" si="3"/>
        <v>1</v>
      </c>
      <c r="AB28" s="1576">
        <f t="shared" si="4"/>
        <v>1</v>
      </c>
      <c r="AC28" s="1576">
        <f t="shared" si="5"/>
        <v>1</v>
      </c>
    </row>
    <row r="29" spans="1:29" ht="15">
      <c r="A29" s="932"/>
      <c r="B29" s="584" t="s">
        <v>809</v>
      </c>
      <c r="C29" s="881"/>
      <c r="D29" s="543">
        <v>100</v>
      </c>
      <c r="E29" s="884"/>
      <c r="F29" s="577" t="e">
        <f>LOOKUP(E29,86:86,87:87)-LOOKUP(C29,86:86,87:87)+100</f>
        <v>#N/A</v>
      </c>
      <c r="G29" s="884"/>
      <c r="H29" s="577" t="e">
        <f>LOOKUP(G29,86:86,87:87)-LOOKUP(C29,86:86,87:87)+100</f>
        <v>#N/A</v>
      </c>
      <c r="I29" s="884"/>
      <c r="J29" s="543" t="e">
        <f>LOOKUP(I29,86:86,87:87)-LOOKUP(C29,86:86,87:87)+100</f>
        <v>#N/A</v>
      </c>
      <c r="K29" s="586"/>
      <c r="L29" s="2143"/>
      <c r="M29" s="2135"/>
      <c r="N29" s="2135"/>
      <c r="O29" s="2142"/>
      <c r="P29" s="3522"/>
      <c r="Q29" s="1572" t="str">
        <f t="shared" si="11"/>
        <v>成新率</v>
      </c>
      <c r="R29" s="1573" t="s">
        <v>8</v>
      </c>
      <c r="S29" s="1574" t="e">
        <f t="shared" si="12"/>
        <v>#N/A</v>
      </c>
      <c r="T29" s="1573" t="s">
        <v>8</v>
      </c>
      <c r="U29" s="1574" t="e">
        <f t="shared" si="13"/>
        <v>#N/A</v>
      </c>
      <c r="V29" s="1573" t="s">
        <v>8</v>
      </c>
      <c r="W29" s="1574" t="e">
        <f t="shared" si="14"/>
        <v>#N/A</v>
      </c>
      <c r="X29" s="1567"/>
      <c r="Y29" s="3522"/>
      <c r="Z29" s="1575" t="str">
        <f t="shared" si="15"/>
        <v>成新率</v>
      </c>
      <c r="AA29" s="1576" t="e">
        <f t="shared" si="3"/>
        <v>#N/A</v>
      </c>
      <c r="AB29" s="1576" t="e">
        <f t="shared" si="4"/>
        <v>#N/A</v>
      </c>
      <c r="AC29" s="1576" t="e">
        <f t="shared" si="5"/>
        <v>#N/A</v>
      </c>
    </row>
    <row r="30" spans="1:29" ht="15">
      <c r="A30" s="932"/>
      <c r="B30" s="584" t="s">
        <v>810</v>
      </c>
      <c r="C30" s="933"/>
      <c r="D30" s="543">
        <v>100</v>
      </c>
      <c r="E30" s="933"/>
      <c r="F30" s="577">
        <f>SUMIF(88:88,E30,89:89)-SUMIF(88:88,C30,89:89)+100</f>
        <v>100</v>
      </c>
      <c r="G30" s="933"/>
      <c r="H30" s="543">
        <f>SUMIF(88:88,E30,89:89)-SUMIF(88:88,C30,89:89)+100</f>
        <v>100</v>
      </c>
      <c r="I30" s="933"/>
      <c r="J30" s="543">
        <f>SUMIF(88:88,E30,89:89)-SUMIF(88:88,C30,89:89)+100</f>
        <v>100</v>
      </c>
      <c r="K30" s="586"/>
      <c r="L30" s="2143"/>
      <c r="M30" s="2135"/>
      <c r="N30" s="2135"/>
      <c r="O30" s="2142"/>
      <c r="P30" s="3522"/>
      <c r="Q30" s="1572" t="str">
        <f t="shared" si="11"/>
        <v>物业等级</v>
      </c>
      <c r="R30" s="1573" t="s">
        <v>8</v>
      </c>
      <c r="S30" s="1574">
        <f t="shared" si="12"/>
        <v>100</v>
      </c>
      <c r="T30" s="1573" t="s">
        <v>8</v>
      </c>
      <c r="U30" s="1574">
        <f t="shared" si="13"/>
        <v>100</v>
      </c>
      <c r="V30" s="1573" t="s">
        <v>8</v>
      </c>
      <c r="W30" s="1574">
        <f t="shared" si="14"/>
        <v>100</v>
      </c>
      <c r="X30" s="1567"/>
      <c r="Y30" s="3522"/>
      <c r="Z30" s="1575" t="str">
        <f t="shared" si="15"/>
        <v>物业等级</v>
      </c>
      <c r="AA30" s="1576">
        <f t="shared" si="3"/>
        <v>1</v>
      </c>
      <c r="AB30" s="1576">
        <f t="shared" si="4"/>
        <v>1</v>
      </c>
      <c r="AC30" s="1576">
        <f t="shared" si="5"/>
        <v>1</v>
      </c>
    </row>
    <row r="31" spans="1:29" s="1220" customFormat="1" ht="15">
      <c r="A31" s="934"/>
      <c r="B31" s="584" t="s">
        <v>811</v>
      </c>
      <c r="C31" s="881"/>
      <c r="D31" s="255">
        <v>100</v>
      </c>
      <c r="E31" s="881"/>
      <c r="F31" s="577" t="e">
        <f>LOOKUP(E31,91:91,92:92)-LOOKUP(C31,91:91,92:92)+100</f>
        <v>#N/A</v>
      </c>
      <c r="G31" s="881"/>
      <c r="H31" s="543" t="e">
        <f>LOOKUP(G31,91:91,92:92)-LOOKUP(C31,91:91,92:92)+100</f>
        <v>#N/A</v>
      </c>
      <c r="I31" s="881"/>
      <c r="J31" s="543" t="e">
        <f>LOOKUP(I31,91:91,92:92)-LOOKUP(C31,91:91,92:92)+100</f>
        <v>#N/A</v>
      </c>
      <c r="K31" s="586"/>
      <c r="L31" s="2136"/>
      <c r="M31" s="2137"/>
      <c r="N31" s="2137"/>
      <c r="O31" s="2138"/>
      <c r="P31" s="3522"/>
      <c r="Q31" s="1151" t="str">
        <f t="shared" si="11"/>
        <v>停车位面积</v>
      </c>
      <c r="R31" s="1568" t="s">
        <v>8</v>
      </c>
      <c r="S31" s="1569" t="e">
        <f t="shared" si="12"/>
        <v>#N/A</v>
      </c>
      <c r="T31" s="1568" t="s">
        <v>8</v>
      </c>
      <c r="U31" s="1569" t="e">
        <f t="shared" si="13"/>
        <v>#N/A</v>
      </c>
      <c r="V31" s="1568" t="s">
        <v>8</v>
      </c>
      <c r="W31" s="1569" t="e">
        <f t="shared" si="14"/>
        <v>#N/A</v>
      </c>
      <c r="X31" s="1570"/>
      <c r="Y31" s="3522"/>
      <c r="Z31" s="1150" t="str">
        <f t="shared" si="15"/>
        <v>停车位面积</v>
      </c>
      <c r="AA31" s="1571" t="e">
        <f t="shared" si="3"/>
        <v>#N/A</v>
      </c>
      <c r="AB31" s="1571" t="e">
        <f t="shared" si="4"/>
        <v>#N/A</v>
      </c>
      <c r="AC31" s="1571" t="e">
        <f t="shared" si="5"/>
        <v>#N/A</v>
      </c>
    </row>
    <row r="32" spans="1:29" ht="15">
      <c r="A32" s="932"/>
      <c r="B32" s="584" t="s">
        <v>812</v>
      </c>
      <c r="C32" s="576"/>
      <c r="D32" s="543">
        <v>100</v>
      </c>
      <c r="E32" s="576"/>
      <c r="F32" s="577">
        <f>SUMIF(93:93,E32,94:94)-SUMIF(93:93,C32,94:94)+100</f>
        <v>100</v>
      </c>
      <c r="G32" s="576"/>
      <c r="H32" s="543">
        <f>SUMIF(93:93,G32,94:94)-SUMIF(93:93,C32,94:94)+100</f>
        <v>100</v>
      </c>
      <c r="I32" s="576"/>
      <c r="J32" s="543">
        <f>SUMIF(93:93,I32,94:94)-SUMIF(93:93,C32,94:94)+100</f>
        <v>100</v>
      </c>
      <c r="K32" s="586"/>
      <c r="L32" s="2143"/>
      <c r="M32" s="2135"/>
      <c r="N32" s="2135"/>
      <c r="O32" s="2142"/>
      <c r="P32" s="3522" t="s">
        <v>551</v>
      </c>
      <c r="Q32" s="1572" t="str">
        <f t="shared" si="11"/>
        <v>车位类型</v>
      </c>
      <c r="R32" s="1573" t="s">
        <v>8</v>
      </c>
      <c r="S32" s="1574">
        <f t="shared" si="12"/>
        <v>100</v>
      </c>
      <c r="T32" s="1573" t="s">
        <v>8</v>
      </c>
      <c r="U32" s="1574">
        <f t="shared" si="13"/>
        <v>100</v>
      </c>
      <c r="V32" s="1573" t="s">
        <v>8</v>
      </c>
      <c r="W32" s="1574">
        <f t="shared" si="14"/>
        <v>100</v>
      </c>
      <c r="X32" s="1567"/>
      <c r="Y32" s="3522" t="s">
        <v>551</v>
      </c>
      <c r="Z32" s="1575" t="str">
        <f t="shared" si="15"/>
        <v>车位类型</v>
      </c>
      <c r="AA32" s="1576">
        <f t="shared" si="3"/>
        <v>1</v>
      </c>
      <c r="AB32" s="1576">
        <f t="shared" si="4"/>
        <v>1</v>
      </c>
      <c r="AC32" s="1576">
        <f t="shared" si="5"/>
        <v>1</v>
      </c>
    </row>
    <row r="33" spans="1:29" ht="15">
      <c r="A33" s="932"/>
      <c r="B33" s="584" t="s">
        <v>813</v>
      </c>
      <c r="C33" s="576"/>
      <c r="D33" s="543">
        <v>100</v>
      </c>
      <c r="E33" s="576"/>
      <c r="F33" s="577">
        <f>SUMIF(95:95,E33,96:96)-SUMIF(95:95,C33,96:96)+100</f>
        <v>100</v>
      </c>
      <c r="G33" s="576"/>
      <c r="H33" s="543">
        <f>SUMIF(95:95,G33,96:96)-SUMIF(95:95,C33,96:96)+100</f>
        <v>100</v>
      </c>
      <c r="I33" s="576"/>
      <c r="J33" s="543">
        <f>SUMIF(95:95,I33,96:96)-SUMIF(95:95,C33,96:96)+100</f>
        <v>100</v>
      </c>
      <c r="K33" s="586"/>
      <c r="L33" s="2143"/>
      <c r="M33" s="2135"/>
      <c r="N33" s="2135"/>
      <c r="O33" s="2142"/>
      <c r="P33" s="3522"/>
      <c r="Q33" s="1572" t="str">
        <f t="shared" si="11"/>
        <v>是否直接入户</v>
      </c>
      <c r="R33" s="1573" t="s">
        <v>8</v>
      </c>
      <c r="S33" s="1574">
        <f t="shared" si="12"/>
        <v>100</v>
      </c>
      <c r="T33" s="1573" t="s">
        <v>8</v>
      </c>
      <c r="U33" s="1574">
        <f t="shared" si="13"/>
        <v>100</v>
      </c>
      <c r="V33" s="1573" t="s">
        <v>8</v>
      </c>
      <c r="W33" s="1574">
        <f t="shared" si="14"/>
        <v>100</v>
      </c>
      <c r="X33" s="1567"/>
      <c r="Y33" s="3522"/>
      <c r="Z33" s="1575" t="str">
        <f t="shared" si="15"/>
        <v>是否直接入户</v>
      </c>
      <c r="AA33" s="1576">
        <f t="shared" si="3"/>
        <v>1</v>
      </c>
      <c r="AB33" s="1576">
        <f t="shared" si="4"/>
        <v>1</v>
      </c>
      <c r="AC33" s="1576">
        <f t="shared" si="5"/>
        <v>1</v>
      </c>
    </row>
    <row r="34" spans="1:29" ht="15">
      <c r="A34" s="932"/>
      <c r="B34" s="926">
        <v>111</v>
      </c>
      <c r="C34" s="531"/>
      <c r="D34" s="543">
        <v>100</v>
      </c>
      <c r="E34" s="531"/>
      <c r="F34" s="577">
        <f>SUMIF(97:97,E34,98:98)-SUMIF(97:97,C34,98:98)+100</f>
        <v>100</v>
      </c>
      <c r="G34" s="531"/>
      <c r="H34" s="543">
        <f>SUMIF(97:97,G34,98:98)-SUMIF(97:97,C34,98:98)+100</f>
        <v>100</v>
      </c>
      <c r="I34" s="531"/>
      <c r="J34" s="543">
        <f>SUMIF(97:97,I34,98:98)-SUMIF(97:97,C34,98:98)+100</f>
        <v>100</v>
      </c>
      <c r="K34" s="583"/>
      <c r="L34" s="2143"/>
      <c r="M34" s="2135"/>
      <c r="N34" s="2135"/>
      <c r="O34" s="2142"/>
      <c r="P34" s="3522"/>
      <c r="Q34" s="1572">
        <f t="shared" si="11"/>
        <v>111</v>
      </c>
      <c r="R34" s="1573" t="s">
        <v>8</v>
      </c>
      <c r="S34" s="1574">
        <f t="shared" si="12"/>
        <v>100</v>
      </c>
      <c r="T34" s="1573" t="s">
        <v>8</v>
      </c>
      <c r="U34" s="1574">
        <f t="shared" si="13"/>
        <v>100</v>
      </c>
      <c r="V34" s="1573" t="s">
        <v>8</v>
      </c>
      <c r="W34" s="1574">
        <f t="shared" si="14"/>
        <v>100</v>
      </c>
      <c r="X34" s="1567"/>
      <c r="Y34" s="3522"/>
      <c r="Z34" s="1575">
        <f t="shared" si="15"/>
        <v>111</v>
      </c>
      <c r="AA34" s="1576">
        <f t="shared" si="3"/>
        <v>1</v>
      </c>
      <c r="AB34" s="1576">
        <f t="shared" si="4"/>
        <v>1</v>
      </c>
      <c r="AC34" s="1576">
        <f t="shared" si="5"/>
        <v>1</v>
      </c>
    </row>
    <row r="35" spans="1:29" s="1339" customFormat="1" ht="15">
      <c r="A35" s="930"/>
      <c r="B35" s="926">
        <v>111</v>
      </c>
      <c r="C35" s="531"/>
      <c r="D35" s="543">
        <v>100</v>
      </c>
      <c r="E35" s="531"/>
      <c r="F35" s="577">
        <f>SUMIF(99:99,E35,100:100)-SUMIF(99:99,C35,100:100)+100</f>
        <v>100</v>
      </c>
      <c r="G35" s="531"/>
      <c r="H35" s="543">
        <f>SUMIF(99:99,G35,100:100)-SUMIF(99:99,C35,100:100)+100</f>
        <v>100</v>
      </c>
      <c r="I35" s="531"/>
      <c r="J35" s="543">
        <f>SUMIF(99:99,I35,100:100)-SUMIF(99:99,C35,100:100)+100</f>
        <v>100</v>
      </c>
      <c r="K35" s="583"/>
      <c r="L35" s="2141"/>
      <c r="M35" s="2172"/>
      <c r="N35" s="2172"/>
      <c r="O35" s="2144"/>
      <c r="P35" s="3522"/>
      <c r="Q35" s="1605">
        <f t="shared" si="11"/>
        <v>111</v>
      </c>
      <c r="R35" s="1577" t="s">
        <v>8</v>
      </c>
      <c r="S35" s="1578">
        <f t="shared" si="12"/>
        <v>100</v>
      </c>
      <c r="T35" s="1577" t="s">
        <v>8</v>
      </c>
      <c r="U35" s="1578">
        <f t="shared" si="13"/>
        <v>100</v>
      </c>
      <c r="V35" s="1577" t="s">
        <v>8</v>
      </c>
      <c r="W35" s="1578">
        <f t="shared" si="14"/>
        <v>100</v>
      </c>
      <c r="X35" s="1579"/>
      <c r="Y35" s="3522"/>
      <c r="Z35" s="1580">
        <f t="shared" si="15"/>
        <v>111</v>
      </c>
      <c r="AA35" s="1576">
        <f t="shared" si="3"/>
        <v>1</v>
      </c>
      <c r="AB35" s="1576">
        <f t="shared" si="4"/>
        <v>1</v>
      </c>
      <c r="AC35" s="1576">
        <f t="shared" si="5"/>
        <v>1</v>
      </c>
    </row>
    <row r="36" spans="1:29" ht="15.75" thickBot="1">
      <c r="A36" s="935"/>
      <c r="B36" s="915">
        <v>111</v>
      </c>
      <c r="C36" s="542"/>
      <c r="D36" s="543">
        <v>100</v>
      </c>
      <c r="E36" s="531"/>
      <c r="F36" s="577">
        <f>SUMIF(101:101,E36,102:102)-SUMIF(101:101,C36,102:102)+100</f>
        <v>100</v>
      </c>
      <c r="G36" s="531"/>
      <c r="H36" s="543">
        <f>SUMIF(101:101,G36,102:102)-SUMIF(101:101,C36,102:102)+100</f>
        <v>100</v>
      </c>
      <c r="I36" s="531"/>
      <c r="J36" s="543">
        <f>SUMIF(101:101,I36,102:102)-SUMIF(101:101,C36,102:102)+100</f>
        <v>100</v>
      </c>
      <c r="K36" s="583"/>
      <c r="L36" s="2143"/>
      <c r="M36" s="2135"/>
      <c r="N36" s="2135"/>
      <c r="O36" s="2142"/>
      <c r="P36" s="3522"/>
      <c r="Q36" s="1572">
        <f t="shared" si="11"/>
        <v>111</v>
      </c>
      <c r="R36" s="1573" t="s">
        <v>8</v>
      </c>
      <c r="S36" s="1574">
        <f t="shared" si="12"/>
        <v>100</v>
      </c>
      <c r="T36" s="1573" t="s">
        <v>8</v>
      </c>
      <c r="U36" s="1574">
        <f t="shared" si="13"/>
        <v>100</v>
      </c>
      <c r="V36" s="1573" t="s">
        <v>8</v>
      </c>
      <c r="W36" s="1574">
        <f t="shared" si="14"/>
        <v>100</v>
      </c>
      <c r="X36" s="1567"/>
      <c r="Y36" s="3522"/>
      <c r="Z36" s="1575">
        <f t="shared" si="15"/>
        <v>111</v>
      </c>
      <c r="AA36" s="1576">
        <f t="shared" si="3"/>
        <v>1</v>
      </c>
      <c r="AB36" s="1576">
        <f t="shared" si="4"/>
        <v>1</v>
      </c>
      <c r="AC36" s="1576">
        <f t="shared" si="5"/>
        <v>1</v>
      </c>
    </row>
    <row r="37" spans="1:29" ht="15">
      <c r="A37" s="1847" t="s">
        <v>2080</v>
      </c>
      <c r="B37" s="1848" t="s">
        <v>2081</v>
      </c>
      <c r="C37" s="2652" t="s">
        <v>1</v>
      </c>
      <c r="D37" s="2653"/>
      <c r="E37" s="2654"/>
      <c r="F37" s="2655"/>
      <c r="G37" s="2656"/>
      <c r="H37" s="2657"/>
      <c r="I37" s="2654"/>
      <c r="J37" s="2657"/>
      <c r="K37" s="1611"/>
      <c r="L37" s="2145"/>
      <c r="M37" s="2146"/>
      <c r="N37" s="2135"/>
      <c r="O37" s="2146"/>
      <c r="P37" s="3517" t="str">
        <f>A37</f>
        <v>成交单价</v>
      </c>
      <c r="Q37" s="3517"/>
      <c r="R37" s="3621">
        <f>E37</f>
        <v>0</v>
      </c>
      <c r="S37" s="3621"/>
      <c r="T37" s="3621">
        <f>G37</f>
        <v>0</v>
      </c>
      <c r="U37" s="3621"/>
      <c r="V37" s="3621">
        <f>I37</f>
        <v>0</v>
      </c>
      <c r="W37" s="3621"/>
      <c r="X37" s="1559"/>
      <c r="Y37" s="1581"/>
      <c r="Z37" s="1559"/>
      <c r="AA37" s="1559"/>
      <c r="AB37" s="1559"/>
      <c r="AC37" s="1559"/>
    </row>
    <row r="38" spans="1:29" ht="15.75" thickBot="1">
      <c r="A38" s="617" t="s">
        <v>2763</v>
      </c>
      <c r="B38" s="889"/>
      <c r="C38" s="2658" t="e">
        <f>R39</f>
        <v>#DIV/0!</v>
      </c>
      <c r="D38" s="2659"/>
      <c r="E38" s="2660" t="e">
        <f>R38</f>
        <v>#DIV/0!</v>
      </c>
      <c r="F38" s="2660"/>
      <c r="G38" s="2658" t="e">
        <f>T38</f>
        <v>#DIV/0!</v>
      </c>
      <c r="H38" s="2659"/>
      <c r="I38" s="2660" t="e">
        <f>V38</f>
        <v>#DIV/0!</v>
      </c>
      <c r="J38" s="2659"/>
      <c r="K38" s="1612"/>
      <c r="L38" s="2145"/>
      <c r="M38" s="2146"/>
      <c r="N38" s="2146"/>
      <c r="O38" s="2146"/>
      <c r="P38" s="3517" t="str">
        <f>A38</f>
        <v>比较价格（元/平方米）</v>
      </c>
      <c r="Q38" s="3517"/>
      <c r="R38" s="3621" t="e">
        <f>IF(F1="售价",ROUND(PRODUCT(R37,AA7:AA36),0),ROUND(PRODUCT(R37,AA7:AA36),1))</f>
        <v>#DIV/0!</v>
      </c>
      <c r="S38" s="3621"/>
      <c r="T38" s="3621" t="e">
        <f>IF(F1="售价",ROUND(PRODUCT(T37,AB7:AB36),0),ROUND(PRODUCT(T37,AB7:AB36),1))</f>
        <v>#DIV/0!</v>
      </c>
      <c r="U38" s="3621"/>
      <c r="V38" s="3621" t="e">
        <f>IF(F1="售价",ROUND(PRODUCT(V37,AC7:AC36),0),ROUND(PRODUCT(V37,AC7:AC36),1))</f>
        <v>#DIV/0!</v>
      </c>
      <c r="W38" s="3621"/>
      <c r="X38" s="1559"/>
      <c r="Y38" s="1559"/>
      <c r="Z38" s="1559"/>
      <c r="AA38" s="1559"/>
      <c r="AB38" s="1559"/>
      <c r="AC38" s="1559"/>
    </row>
    <row r="39" spans="1:29" ht="15.75" thickBot="1">
      <c r="A39" s="623" t="s">
        <v>2930</v>
      </c>
      <c r="B39" s="624"/>
      <c r="C39" s="2661" t="e">
        <f>R39</f>
        <v>#DIV/0!</v>
      </c>
      <c r="D39" s="2661"/>
      <c r="E39" s="2661"/>
      <c r="F39" s="2661"/>
      <c r="G39" s="2661"/>
      <c r="H39" s="2661"/>
      <c r="I39" s="2661"/>
      <c r="J39" s="2661"/>
      <c r="K39" s="1613"/>
      <c r="L39" s="2145"/>
      <c r="M39" s="2146"/>
      <c r="N39" s="2146"/>
      <c r="O39" s="2146"/>
      <c r="P39" s="3539" t="str">
        <f>A39</f>
        <v>估价对象XX用房的比较价格（楼面单价，元/平方米）</v>
      </c>
      <c r="Q39" s="3540"/>
      <c r="R39" s="3622" t="e">
        <f>IF(F1="售价",ROUND(AVERAGE(R38:V38),0),ROUND(AVERAGE(R38:V38),1))</f>
        <v>#DIV/0!</v>
      </c>
      <c r="S39" s="3622"/>
      <c r="T39" s="3622"/>
      <c r="U39" s="3622"/>
      <c r="V39" s="3622"/>
      <c r="W39" s="3622"/>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575</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7" t="s">
        <v>530</v>
      </c>
      <c r="B48" s="648"/>
      <c r="C48" s="2829" t="str">
        <f>YEAR(C7)&amp;"-"&amp;MONTH(C7)</f>
        <v>2017-11</v>
      </c>
      <c r="D48" s="2831">
        <f>EDATE(C48,-1)</f>
        <v>43009</v>
      </c>
      <c r="E48" s="2831">
        <f t="shared" ref="E48:O48" si="16">EDATE(D48,-1)</f>
        <v>42979</v>
      </c>
      <c r="F48" s="2831">
        <f t="shared" si="16"/>
        <v>42948</v>
      </c>
      <c r="G48" s="2831">
        <f t="shared" si="16"/>
        <v>42917</v>
      </c>
      <c r="H48" s="2831">
        <f t="shared" si="16"/>
        <v>42887</v>
      </c>
      <c r="I48" s="2831">
        <f t="shared" si="16"/>
        <v>42856</v>
      </c>
      <c r="J48" s="2831">
        <f t="shared" si="16"/>
        <v>42826</v>
      </c>
      <c r="K48" s="2831">
        <f t="shared" si="16"/>
        <v>42795</v>
      </c>
      <c r="L48" s="2831">
        <f t="shared" si="16"/>
        <v>42767</v>
      </c>
      <c r="M48" s="2831">
        <f t="shared" si="16"/>
        <v>42736</v>
      </c>
      <c r="N48" s="2831">
        <f t="shared" si="16"/>
        <v>42705</v>
      </c>
      <c r="O48" s="2831">
        <f t="shared" si="16"/>
        <v>42675</v>
      </c>
      <c r="P48" s="2161"/>
      <c r="Q48" s="2162"/>
      <c r="R48" s="2162"/>
      <c r="S48" s="2162"/>
      <c r="T48" s="2162"/>
      <c r="U48" s="2162"/>
      <c r="V48" s="2162"/>
      <c r="W48" s="2162"/>
      <c r="X48" s="2162"/>
      <c r="Y48" s="2162"/>
      <c r="Z48" s="2162"/>
      <c r="AA48" s="2162"/>
      <c r="AB48" s="2162"/>
      <c r="AC48" s="2162"/>
    </row>
    <row r="49" spans="1:29" s="1220" customFormat="1" ht="15">
      <c r="A49" s="649"/>
      <c r="B49" s="650"/>
      <c r="C49" s="2830">
        <v>100</v>
      </c>
      <c r="D49" s="652"/>
      <c r="E49" s="652"/>
      <c r="F49" s="652"/>
      <c r="G49" s="652"/>
      <c r="H49" s="652"/>
      <c r="I49" s="652"/>
      <c r="J49" s="652"/>
      <c r="K49" s="652"/>
      <c r="L49" s="652"/>
      <c r="M49" s="653"/>
      <c r="N49" s="652"/>
      <c r="O49" s="654"/>
      <c r="P49" s="2159"/>
      <c r="Q49" s="1994"/>
      <c r="R49" s="1994"/>
      <c r="S49" s="1994"/>
      <c r="T49" s="1994"/>
      <c r="U49" s="1994"/>
      <c r="V49" s="1994"/>
      <c r="W49" s="1994"/>
      <c r="X49" s="1994"/>
      <c r="Y49" s="1994"/>
      <c r="Z49" s="1994"/>
      <c r="AA49" s="1994"/>
      <c r="AB49" s="1994"/>
      <c r="AC49" s="1994"/>
    </row>
    <row r="50" spans="1:29" s="1220" customFormat="1" ht="15.75" thickBot="1">
      <c r="A50" s="655" t="s">
        <v>576</v>
      </c>
      <c r="B50" s="656"/>
      <c r="C50" s="657"/>
      <c r="D50" s="658"/>
      <c r="E50" s="658"/>
      <c r="F50" s="658"/>
      <c r="G50" s="658"/>
      <c r="H50" s="658"/>
      <c r="I50" s="658"/>
      <c r="J50" s="658"/>
      <c r="K50" s="658"/>
      <c r="L50" s="658"/>
      <c r="M50" s="659"/>
      <c r="N50" s="658"/>
      <c r="O50" s="660"/>
      <c r="P50" s="2159"/>
      <c r="Q50" s="2159"/>
      <c r="R50" s="1994"/>
      <c r="S50" s="1994"/>
      <c r="T50" s="1994"/>
      <c r="U50" s="1994"/>
      <c r="V50" s="1994"/>
      <c r="W50" s="1994"/>
      <c r="X50" s="1994"/>
      <c r="Y50" s="1994"/>
      <c r="Z50" s="1994"/>
      <c r="AA50" s="1994"/>
      <c r="AB50" s="1994"/>
      <c r="AC50" s="1994"/>
    </row>
    <row r="51" spans="1:29" s="1220" customFormat="1" ht="15">
      <c r="A51" s="661" t="s">
        <v>532</v>
      </c>
      <c r="B51" s="650"/>
      <c r="C51" s="662" t="s">
        <v>577</v>
      </c>
      <c r="D51" s="663"/>
      <c r="E51" s="663"/>
      <c r="F51" s="663"/>
      <c r="G51" s="663"/>
      <c r="H51" s="663"/>
      <c r="I51" s="663"/>
      <c r="J51" s="663"/>
      <c r="K51" s="663"/>
      <c r="L51" s="664"/>
      <c r="M51" s="665"/>
      <c r="N51" s="2163"/>
      <c r="O51" s="2163"/>
      <c r="P51" s="2164"/>
      <c r="Q51" s="2159"/>
      <c r="R51" s="1994"/>
      <c r="S51" s="1994"/>
      <c r="T51" s="1994"/>
      <c r="U51" s="1994"/>
      <c r="V51" s="1994"/>
      <c r="W51" s="1994"/>
      <c r="X51" s="1994"/>
      <c r="Y51" s="1994"/>
      <c r="Z51" s="1994"/>
      <c r="AA51" s="1994"/>
      <c r="AB51" s="1994"/>
      <c r="AC51" s="1994"/>
    </row>
    <row r="52" spans="1:29" s="1220" customFormat="1" ht="15.75" thickBot="1">
      <c r="A52" s="661"/>
      <c r="B52" s="650"/>
      <c r="C52" s="651">
        <v>100</v>
      </c>
      <c r="D52" s="652"/>
      <c r="E52" s="652"/>
      <c r="F52" s="652"/>
      <c r="G52" s="652"/>
      <c r="H52" s="652"/>
      <c r="I52" s="652"/>
      <c r="J52" s="652"/>
      <c r="K52" s="652"/>
      <c r="L52" s="652"/>
      <c r="M52" s="654"/>
      <c r="N52" s="2163"/>
      <c r="O52" s="2163"/>
      <c r="P52" s="2159"/>
      <c r="Q52" s="2159"/>
      <c r="R52" s="1994"/>
      <c r="S52" s="1994"/>
      <c r="T52" s="1994"/>
      <c r="U52" s="1994"/>
      <c r="V52" s="1994"/>
      <c r="W52" s="1994"/>
      <c r="X52" s="1994"/>
      <c r="Y52" s="1994"/>
      <c r="Z52" s="1994"/>
      <c r="AA52" s="1994"/>
      <c r="AB52" s="1994"/>
      <c r="AC52" s="1994"/>
    </row>
    <row r="53" spans="1:29">
      <c r="A53" s="666" t="s">
        <v>578</v>
      </c>
      <c r="B53" s="667" t="s">
        <v>535</v>
      </c>
      <c r="C53" s="706">
        <f>C9</f>
        <v>0</v>
      </c>
      <c r="D53" s="600"/>
      <c r="E53" s="600"/>
      <c r="F53" s="600"/>
      <c r="G53" s="600"/>
      <c r="H53" s="600"/>
      <c r="I53" s="600"/>
      <c r="J53" s="600"/>
      <c r="K53" s="668"/>
      <c r="L53" s="669"/>
      <c r="M53" s="670"/>
      <c r="N53" s="2165"/>
      <c r="O53" s="2165"/>
      <c r="P53" s="2166"/>
      <c r="Q53" s="2159"/>
      <c r="R53" s="2146"/>
      <c r="S53" s="2146"/>
      <c r="T53" s="2146"/>
      <c r="U53" s="2146"/>
      <c r="V53" s="2146"/>
      <c r="W53" s="2146"/>
      <c r="X53" s="2146"/>
      <c r="Y53" s="2146"/>
      <c r="Z53" s="2146"/>
      <c r="AA53" s="2146"/>
      <c r="AB53" s="2146"/>
      <c r="AC53" s="2146"/>
    </row>
    <row r="54" spans="1:29" ht="15.75" thickBot="1">
      <c r="A54" s="671"/>
      <c r="B54" s="672"/>
      <c r="C54" s="673"/>
      <c r="D54" s="673"/>
      <c r="E54" s="673"/>
      <c r="F54" s="673"/>
      <c r="G54" s="673"/>
      <c r="H54" s="673"/>
      <c r="I54" s="673"/>
      <c r="J54" s="673"/>
      <c r="K54" s="673"/>
      <c r="L54" s="673"/>
      <c r="M54" s="674"/>
      <c r="N54" s="2167"/>
      <c r="O54" s="2167"/>
      <c r="P54" s="2166"/>
      <c r="Q54" s="2159"/>
      <c r="R54" s="2146"/>
      <c r="S54" s="2146"/>
      <c r="T54" s="2146"/>
      <c r="U54" s="2146"/>
      <c r="V54" s="2146"/>
      <c r="W54" s="2146"/>
      <c r="X54" s="2146"/>
      <c r="Y54" s="2146"/>
      <c r="Z54" s="2146"/>
      <c r="AA54" s="2146"/>
      <c r="AB54" s="2146"/>
      <c r="AC54" s="2146"/>
    </row>
    <row r="55" spans="1:29" ht="27.75" thickTop="1">
      <c r="A55" s="671"/>
      <c r="B55" s="675" t="s">
        <v>538</v>
      </c>
      <c r="C55" s="676" t="s">
        <v>737</v>
      </c>
      <c r="D55" s="676" t="s">
        <v>738</v>
      </c>
      <c r="E55" s="676" t="s">
        <v>739</v>
      </c>
      <c r="F55" s="676" t="s">
        <v>740</v>
      </c>
      <c r="G55" s="676" t="s">
        <v>741</v>
      </c>
      <c r="H55" s="676" t="s">
        <v>742</v>
      </c>
      <c r="I55" s="676" t="s">
        <v>743</v>
      </c>
      <c r="J55" s="676"/>
      <c r="K55" s="677"/>
      <c r="L55" s="678"/>
      <c r="M55" s="679"/>
      <c r="N55" s="2165"/>
      <c r="O55" s="2165"/>
      <c r="P55" s="2166"/>
      <c r="Q55" s="2159"/>
      <c r="R55" s="2146"/>
      <c r="S55" s="2146"/>
      <c r="T55" s="2146"/>
      <c r="U55" s="2146"/>
      <c r="V55" s="2146"/>
      <c r="W55" s="2146"/>
      <c r="X55" s="2146"/>
      <c r="Y55" s="2146"/>
      <c r="Z55" s="2146"/>
      <c r="AA55" s="2146"/>
      <c r="AB55" s="2146"/>
      <c r="AC55" s="2146"/>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67"/>
      <c r="O56" s="2167"/>
      <c r="P56" s="2166"/>
      <c r="Q56" s="2159"/>
      <c r="R56" s="2146"/>
      <c r="S56" s="2146"/>
      <c r="T56" s="2146"/>
      <c r="U56" s="2146"/>
      <c r="V56" s="2146"/>
      <c r="W56" s="2146"/>
      <c r="X56" s="2146"/>
      <c r="Y56" s="2146"/>
      <c r="Z56" s="2146"/>
      <c r="AA56" s="2146"/>
      <c r="AB56" s="2146"/>
      <c r="AC56" s="2146"/>
    </row>
    <row r="57" spans="1:29" ht="15.75" thickTop="1">
      <c r="A57" s="671"/>
      <c r="B57" s="936">
        <f>B11</f>
        <v>111</v>
      </c>
      <c r="C57" s="544"/>
      <c r="D57" s="544"/>
      <c r="E57" s="544"/>
      <c r="F57" s="544"/>
      <c r="G57" s="544"/>
      <c r="H57" s="544"/>
      <c r="I57" s="544"/>
      <c r="J57" s="544"/>
      <c r="K57" s="686"/>
      <c r="L57" s="687"/>
      <c r="M57" s="688"/>
      <c r="N57" s="2165"/>
      <c r="O57" s="2165"/>
      <c r="P57" s="2166"/>
      <c r="Q57" s="2159"/>
      <c r="R57" s="2146"/>
      <c r="S57" s="2146"/>
      <c r="T57" s="2146"/>
      <c r="U57" s="2146"/>
      <c r="V57" s="2146"/>
      <c r="W57" s="2146"/>
      <c r="X57" s="2146"/>
      <c r="Y57" s="2146"/>
      <c r="Z57" s="2146"/>
      <c r="AA57" s="2146"/>
      <c r="AB57" s="2146"/>
      <c r="AC57" s="2146"/>
    </row>
    <row r="58" spans="1:29" ht="15.75" thickBot="1">
      <c r="A58" s="671"/>
      <c r="B58" s="672"/>
      <c r="C58" s="694"/>
      <c r="D58" s="673"/>
      <c r="E58" s="673"/>
      <c r="F58" s="673"/>
      <c r="G58" s="673"/>
      <c r="H58" s="673"/>
      <c r="I58" s="673"/>
      <c r="J58" s="673"/>
      <c r="K58" s="673"/>
      <c r="L58" s="673"/>
      <c r="M58" s="674"/>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9"/>
      <c r="B59" s="675">
        <f>B12</f>
        <v>111</v>
      </c>
      <c r="C59" s="544"/>
      <c r="D59" s="544"/>
      <c r="E59" s="544"/>
      <c r="F59" s="544"/>
      <c r="G59" s="690"/>
      <c r="H59" s="691"/>
      <c r="I59" s="691"/>
      <c r="J59" s="691"/>
      <c r="K59" s="691"/>
      <c r="L59" s="692"/>
      <c r="M59" s="693"/>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9"/>
      <c r="B60" s="680"/>
      <c r="C60" s="694"/>
      <c r="D60" s="673"/>
      <c r="E60" s="673"/>
      <c r="F60" s="673"/>
      <c r="G60" s="673"/>
      <c r="H60" s="673"/>
      <c r="I60" s="673"/>
      <c r="J60" s="673"/>
      <c r="K60" s="673"/>
      <c r="L60" s="673"/>
      <c r="M60" s="674"/>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9"/>
      <c r="B61" s="675">
        <f>B13</f>
        <v>111</v>
      </c>
      <c r="C61" s="690"/>
      <c r="D61" s="690"/>
      <c r="E61" s="690"/>
      <c r="F61" s="690"/>
      <c r="G61" s="690"/>
      <c r="H61" s="691"/>
      <c r="I61" s="691"/>
      <c r="J61" s="691"/>
      <c r="K61" s="691"/>
      <c r="L61" s="692"/>
      <c r="M61" s="693"/>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9"/>
      <c r="B62" s="680"/>
      <c r="C62" s="694"/>
      <c r="D62" s="694"/>
      <c r="E62" s="694"/>
      <c r="F62" s="694"/>
      <c r="G62" s="694"/>
      <c r="H62" s="695"/>
      <c r="I62" s="695"/>
      <c r="J62" s="695"/>
      <c r="K62" s="695"/>
      <c r="L62" s="695"/>
      <c r="M62" s="696"/>
      <c r="N62" s="2168"/>
      <c r="O62" s="2168"/>
      <c r="P62" s="2169"/>
      <c r="Q62" s="2170"/>
      <c r="R62" s="2171"/>
      <c r="S62" s="2171"/>
      <c r="T62" s="2171"/>
      <c r="U62" s="2171"/>
      <c r="V62" s="2171"/>
      <c r="W62" s="2171"/>
      <c r="X62" s="2171"/>
      <c r="Y62" s="2171"/>
      <c r="Z62" s="2171"/>
      <c r="AA62" s="2171"/>
      <c r="AB62" s="2171"/>
      <c r="AC62" s="2171"/>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65"/>
      <c r="O63" s="2165"/>
      <c r="P63" s="2175"/>
      <c r="Q63" s="2159"/>
      <c r="R63" s="2146"/>
      <c r="S63" s="2146"/>
      <c r="T63" s="2146"/>
      <c r="U63" s="2146"/>
      <c r="V63" s="2146"/>
      <c r="W63" s="2146"/>
      <c r="X63" s="2146"/>
      <c r="Y63" s="2146"/>
      <c r="Z63" s="2146"/>
      <c r="AA63" s="2146"/>
      <c r="AB63" s="2146"/>
      <c r="AC63" s="2146"/>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67"/>
      <c r="O64" s="2167"/>
      <c r="P64" s="2166"/>
      <c r="Q64" s="2159"/>
      <c r="R64" s="2146"/>
      <c r="S64" s="2146"/>
      <c r="T64" s="2146"/>
      <c r="U64" s="2146"/>
      <c r="V64" s="2146"/>
      <c r="W64" s="2146"/>
      <c r="X64" s="2146"/>
      <c r="Y64" s="2146"/>
      <c r="Z64" s="2146"/>
      <c r="AA64" s="2146"/>
      <c r="AB64" s="2146"/>
      <c r="AC64" s="2146"/>
    </row>
    <row r="65" spans="1:29" ht="15.75" thickTop="1">
      <c r="A65" s="671"/>
      <c r="B65" s="1897" t="s">
        <v>2559</v>
      </c>
      <c r="C65" s="710" t="s">
        <v>580</v>
      </c>
      <c r="D65" s="710" t="s">
        <v>581</v>
      </c>
      <c r="E65" s="710" t="s">
        <v>582</v>
      </c>
      <c r="F65" s="710" t="s">
        <v>583</v>
      </c>
      <c r="G65" s="710" t="s">
        <v>584</v>
      </c>
      <c r="H65" s="676"/>
      <c r="I65" s="676"/>
      <c r="J65" s="676"/>
      <c r="K65" s="677"/>
      <c r="L65" s="678"/>
      <c r="M65" s="679"/>
      <c r="N65" s="2165"/>
      <c r="O65" s="2165"/>
      <c r="P65" s="2166"/>
      <c r="Q65" s="2159"/>
      <c r="R65" s="2146"/>
      <c r="S65" s="2146"/>
      <c r="T65" s="2146"/>
      <c r="U65" s="2146"/>
      <c r="V65" s="2146"/>
      <c r="W65" s="2146"/>
      <c r="X65" s="2146"/>
      <c r="Y65" s="2146"/>
      <c r="Z65" s="2146"/>
      <c r="AA65" s="2146"/>
      <c r="AB65" s="2146"/>
      <c r="AC65" s="2146"/>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67"/>
      <c r="O66" s="2167"/>
      <c r="P66" s="2166"/>
      <c r="Q66" s="2159"/>
      <c r="R66" s="2146"/>
      <c r="S66" s="2146"/>
      <c r="T66" s="2146"/>
      <c r="U66" s="2146"/>
      <c r="V66" s="2146"/>
      <c r="W66" s="2146"/>
      <c r="X66" s="2146"/>
      <c r="Y66" s="2146"/>
      <c r="Z66" s="2146"/>
      <c r="AA66" s="2146"/>
      <c r="AB66" s="2146"/>
      <c r="AC66" s="2146"/>
    </row>
    <row r="67" spans="1:29" ht="15.75" thickTop="1">
      <c r="A67" s="671"/>
      <c r="B67" s="2622" t="s">
        <v>2560</v>
      </c>
      <c r="C67" s="2623" t="s">
        <v>2561</v>
      </c>
      <c r="D67" s="2623" t="s">
        <v>2562</v>
      </c>
      <c r="E67" s="2623" t="s">
        <v>2563</v>
      </c>
      <c r="F67" s="2623" t="s">
        <v>2564</v>
      </c>
      <c r="G67" s="2623" t="s">
        <v>2565</v>
      </c>
      <c r="H67" s="676"/>
      <c r="I67" s="676"/>
      <c r="J67" s="676"/>
      <c r="K67" s="676"/>
      <c r="L67" s="676"/>
      <c r="M67" s="2626"/>
      <c r="N67" s="2167"/>
      <c r="O67" s="2167"/>
      <c r="P67" s="2166"/>
      <c r="Q67" s="2159"/>
      <c r="R67" s="2146"/>
      <c r="S67" s="2146"/>
      <c r="T67" s="2146"/>
      <c r="U67" s="2146"/>
      <c r="V67" s="2146"/>
      <c r="W67" s="2146"/>
      <c r="X67" s="2146"/>
      <c r="Y67" s="2146"/>
      <c r="Z67" s="2146"/>
      <c r="AA67" s="2146"/>
      <c r="AB67" s="2146"/>
      <c r="AC67" s="2146"/>
    </row>
    <row r="68" spans="1:29" ht="15.75" thickBot="1">
      <c r="A68" s="671"/>
      <c r="B68" s="683"/>
      <c r="C68" s="681">
        <v>100</v>
      </c>
      <c r="D68" s="681">
        <f>C68-$K18</f>
        <v>100</v>
      </c>
      <c r="E68" s="681">
        <f>D68-$K18</f>
        <v>100</v>
      </c>
      <c r="F68" s="681">
        <f>E68-$K18</f>
        <v>100</v>
      </c>
      <c r="G68" s="681">
        <f>F68-$K18</f>
        <v>100</v>
      </c>
      <c r="H68" s="936"/>
      <c r="I68" s="936"/>
      <c r="J68" s="936"/>
      <c r="K68" s="936"/>
      <c r="L68" s="936"/>
      <c r="M68" s="562"/>
      <c r="N68" s="2167"/>
      <c r="O68" s="2167"/>
      <c r="P68" s="2166"/>
      <c r="Q68" s="2159"/>
      <c r="R68" s="2146"/>
      <c r="S68" s="2146"/>
      <c r="T68" s="2146"/>
      <c r="U68" s="2146"/>
      <c r="V68" s="2146"/>
      <c r="W68" s="2146"/>
      <c r="X68" s="2146"/>
      <c r="Y68" s="2146"/>
      <c r="Z68" s="2146"/>
      <c r="AA68" s="2146"/>
      <c r="AB68" s="2146"/>
      <c r="AC68" s="2146"/>
    </row>
    <row r="69" spans="1:29" ht="15.75" thickTop="1">
      <c r="A69" s="671"/>
      <c r="B69" s="675" t="s">
        <v>744</v>
      </c>
      <c r="C69" s="710" t="s">
        <v>580</v>
      </c>
      <c r="D69" s="710" t="s">
        <v>581</v>
      </c>
      <c r="E69" s="710" t="s">
        <v>582</v>
      </c>
      <c r="F69" s="710" t="s">
        <v>583</v>
      </c>
      <c r="G69" s="710" t="s">
        <v>584</v>
      </c>
      <c r="H69" s="676"/>
      <c r="I69" s="676"/>
      <c r="J69" s="676"/>
      <c r="K69" s="677"/>
      <c r="L69" s="678"/>
      <c r="M69" s="679"/>
      <c r="N69" s="2165"/>
      <c r="O69" s="2165"/>
      <c r="P69" s="2166"/>
      <c r="Q69" s="2159"/>
      <c r="R69" s="2146"/>
      <c r="S69" s="2146"/>
      <c r="T69" s="2146"/>
      <c r="U69" s="2146"/>
      <c r="V69" s="2146"/>
      <c r="W69" s="2146"/>
      <c r="X69" s="2146"/>
      <c r="Y69" s="2146"/>
      <c r="Z69" s="2146"/>
      <c r="AA69" s="2146"/>
      <c r="AB69" s="2146"/>
      <c r="AC69" s="2146"/>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67"/>
      <c r="O70" s="2167"/>
      <c r="P70" s="2166"/>
      <c r="Q70" s="2159"/>
      <c r="R70" s="2146"/>
      <c r="S70" s="2146"/>
      <c r="T70" s="2146"/>
      <c r="U70" s="2146"/>
      <c r="V70" s="2146"/>
      <c r="W70" s="2146"/>
      <c r="X70" s="2146"/>
      <c r="Y70" s="2146"/>
      <c r="Z70" s="2146"/>
      <c r="AA70" s="2146"/>
      <c r="AB70" s="2146"/>
      <c r="AC70" s="2146"/>
    </row>
    <row r="71" spans="1:29" ht="15.75" thickTop="1">
      <c r="A71" s="671"/>
      <c r="B71" s="675" t="s">
        <v>745</v>
      </c>
      <c r="C71" s="690"/>
      <c r="D71" s="690"/>
      <c r="E71" s="690"/>
      <c r="F71" s="690"/>
      <c r="G71" s="690"/>
      <c r="H71" s="720"/>
      <c r="I71" s="720"/>
      <c r="J71" s="720"/>
      <c r="K71" s="721"/>
      <c r="L71" s="722"/>
      <c r="M71" s="723"/>
      <c r="N71" s="2165"/>
      <c r="O71" s="2165"/>
      <c r="P71" s="2166"/>
      <c r="Q71" s="2159"/>
      <c r="R71" s="2146"/>
      <c r="S71" s="2146"/>
      <c r="T71" s="2146"/>
      <c r="U71" s="2146"/>
      <c r="V71" s="2146"/>
      <c r="W71" s="2146"/>
      <c r="X71" s="2146"/>
      <c r="Y71" s="2146"/>
      <c r="Z71" s="2146"/>
      <c r="AA71" s="2146"/>
      <c r="AB71" s="2146"/>
      <c r="AC71" s="2146"/>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67"/>
      <c r="O72" s="2167"/>
      <c r="P72" s="2166"/>
      <c r="Q72" s="2159"/>
      <c r="R72" s="2146"/>
      <c r="S72" s="2146"/>
      <c r="T72" s="2146"/>
      <c r="U72" s="2146"/>
      <c r="V72" s="2146"/>
      <c r="W72" s="2146"/>
      <c r="X72" s="2146"/>
      <c r="Y72" s="2146"/>
      <c r="Z72" s="2146"/>
      <c r="AA72" s="2146"/>
      <c r="AB72" s="2146"/>
      <c r="AC72" s="2146"/>
    </row>
    <row r="73" spans="1:29" s="1220" customFormat="1" ht="15.75" thickTop="1">
      <c r="A73" s="711"/>
      <c r="B73" s="675">
        <f>B23</f>
        <v>111</v>
      </c>
      <c r="C73" s="544"/>
      <c r="D73" s="544"/>
      <c r="E73" s="544"/>
      <c r="F73" s="544"/>
      <c r="G73" s="690"/>
      <c r="H73" s="690"/>
      <c r="I73" s="690"/>
      <c r="J73" s="690"/>
      <c r="K73" s="690"/>
      <c r="L73" s="891"/>
      <c r="M73" s="892"/>
      <c r="N73" s="2163"/>
      <c r="O73" s="2163"/>
      <c r="P73" s="2166"/>
      <c r="Q73" s="2159"/>
      <c r="R73" s="1994"/>
      <c r="S73" s="1994"/>
      <c r="T73" s="1994"/>
      <c r="U73" s="1994"/>
      <c r="V73" s="1994"/>
      <c r="W73" s="1994"/>
      <c r="X73" s="1994"/>
      <c r="Y73" s="1994"/>
      <c r="Z73" s="1994"/>
      <c r="AA73" s="1994"/>
      <c r="AB73" s="1994"/>
      <c r="AC73" s="1994"/>
    </row>
    <row r="74" spans="1:29" s="1220" customFormat="1" ht="15.75" thickBot="1">
      <c r="A74" s="711"/>
      <c r="B74" s="680"/>
      <c r="C74" s="694"/>
      <c r="D74" s="673"/>
      <c r="E74" s="673"/>
      <c r="F74" s="673"/>
      <c r="G74" s="673"/>
      <c r="H74" s="673"/>
      <c r="I74" s="673"/>
      <c r="J74" s="673"/>
      <c r="K74" s="673"/>
      <c r="L74" s="673"/>
      <c r="M74" s="674"/>
      <c r="N74" s="2167"/>
      <c r="O74" s="2167"/>
      <c r="P74" s="2166"/>
      <c r="Q74" s="2159"/>
      <c r="R74" s="1994"/>
      <c r="S74" s="1994"/>
      <c r="T74" s="1994"/>
      <c r="U74" s="1994"/>
      <c r="V74" s="1994"/>
      <c r="W74" s="1994"/>
      <c r="X74" s="1994"/>
      <c r="Y74" s="1994"/>
      <c r="Z74" s="1994"/>
      <c r="AA74" s="1994"/>
      <c r="AB74" s="1994"/>
      <c r="AC74" s="1994"/>
    </row>
    <row r="75" spans="1:29" s="1220" customFormat="1" ht="15.75" thickTop="1">
      <c r="A75" s="711"/>
      <c r="B75" s="675">
        <f>B24</f>
        <v>111</v>
      </c>
      <c r="C75" s="544"/>
      <c r="D75" s="544"/>
      <c r="E75" s="544"/>
      <c r="F75" s="544"/>
      <c r="G75" s="690"/>
      <c r="H75" s="690"/>
      <c r="I75" s="690"/>
      <c r="J75" s="690"/>
      <c r="K75" s="690"/>
      <c r="L75" s="690"/>
      <c r="M75" s="892"/>
      <c r="N75" s="2163"/>
      <c r="O75" s="2163"/>
      <c r="P75" s="2166"/>
      <c r="Q75" s="2159"/>
      <c r="R75" s="1994"/>
      <c r="S75" s="1994"/>
      <c r="T75" s="1994"/>
      <c r="U75" s="1994"/>
      <c r="V75" s="1994"/>
      <c r="W75" s="1994"/>
      <c r="X75" s="1994"/>
      <c r="Y75" s="1994"/>
      <c r="Z75" s="1994"/>
      <c r="AA75" s="1994"/>
      <c r="AB75" s="1994"/>
      <c r="AC75" s="1994"/>
    </row>
    <row r="76" spans="1:29" s="1220" customFormat="1" ht="15.75" thickBot="1">
      <c r="A76" s="711"/>
      <c r="B76" s="680"/>
      <c r="C76" s="694"/>
      <c r="D76" s="673"/>
      <c r="E76" s="673"/>
      <c r="F76" s="673"/>
      <c r="G76" s="673"/>
      <c r="H76" s="673"/>
      <c r="I76" s="673"/>
      <c r="J76" s="673"/>
      <c r="K76" s="673"/>
      <c r="L76" s="673"/>
      <c r="M76" s="674"/>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9"/>
      <c r="B77" s="675">
        <f>B25</f>
        <v>111</v>
      </c>
      <c r="C77" s="690"/>
      <c r="D77" s="690"/>
      <c r="E77" s="690"/>
      <c r="F77" s="690"/>
      <c r="G77" s="690"/>
      <c r="H77" s="691"/>
      <c r="I77" s="691"/>
      <c r="J77" s="691"/>
      <c r="K77" s="691"/>
      <c r="L77" s="692"/>
      <c r="M77" s="693"/>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9"/>
      <c r="B78" s="680"/>
      <c r="C78" s="694"/>
      <c r="D78" s="694"/>
      <c r="E78" s="694"/>
      <c r="F78" s="694"/>
      <c r="G78" s="673"/>
      <c r="H78" s="673"/>
      <c r="I78" s="673"/>
      <c r="J78" s="673"/>
      <c r="K78" s="673"/>
      <c r="L78" s="673"/>
      <c r="M78" s="674"/>
      <c r="N78" s="2168"/>
      <c r="O78" s="2168"/>
      <c r="P78" s="2169"/>
      <c r="Q78" s="2170"/>
      <c r="R78" s="2171"/>
      <c r="S78" s="2171"/>
      <c r="T78" s="2171"/>
      <c r="U78" s="2171"/>
      <c r="V78" s="2171"/>
      <c r="W78" s="2171"/>
      <c r="X78" s="2171"/>
      <c r="Y78" s="2171"/>
      <c r="Z78" s="2171"/>
      <c r="AA78" s="2171"/>
      <c r="AB78" s="2171"/>
      <c r="AC78" s="2171"/>
    </row>
    <row r="79" spans="1:29" ht="27.75" thickTop="1">
      <c r="A79" s="666" t="s">
        <v>552</v>
      </c>
      <c r="B79" s="667" t="s">
        <v>814</v>
      </c>
      <c r="C79" s="706">
        <f>C26</f>
        <v>0</v>
      </c>
      <c r="D79" s="600"/>
      <c r="E79" s="600"/>
      <c r="F79" s="600"/>
      <c r="G79" s="600"/>
      <c r="H79" s="600"/>
      <c r="I79" s="600"/>
      <c r="J79" s="600"/>
      <c r="K79" s="668"/>
      <c r="L79" s="669"/>
      <c r="M79" s="670"/>
      <c r="N79" s="2165"/>
      <c r="O79" s="2165"/>
      <c r="P79" s="2166"/>
      <c r="Q79" s="2159"/>
      <c r="R79" s="2146"/>
      <c r="S79" s="2146"/>
      <c r="T79" s="2146"/>
      <c r="U79" s="2146"/>
      <c r="V79" s="2146"/>
      <c r="W79" s="2146"/>
      <c r="X79" s="2146"/>
      <c r="Y79" s="2146"/>
      <c r="Z79" s="2146"/>
      <c r="AA79" s="2146"/>
      <c r="AB79" s="2146"/>
      <c r="AC79" s="2146"/>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71"/>
      <c r="B81" s="675" t="s">
        <v>815</v>
      </c>
      <c r="C81" s="937"/>
      <c r="D81" s="937"/>
      <c r="E81" s="937"/>
      <c r="F81" s="937"/>
      <c r="G81" s="937"/>
      <c r="H81" s="937"/>
      <c r="I81" s="937"/>
      <c r="J81" s="937"/>
      <c r="K81" s="938"/>
      <c r="L81" s="939"/>
      <c r="M81" s="940"/>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9"/>
      <c r="B82" s="680"/>
      <c r="C82" s="694"/>
      <c r="D82" s="673"/>
      <c r="E82" s="673"/>
      <c r="F82" s="673"/>
      <c r="G82" s="673"/>
      <c r="H82" s="673"/>
      <c r="I82" s="673"/>
      <c r="J82" s="673"/>
      <c r="K82" s="673"/>
      <c r="L82" s="673"/>
      <c r="M82" s="674"/>
      <c r="N82" s="2167"/>
      <c r="O82" s="2167"/>
      <c r="P82" s="2169"/>
      <c r="Q82" s="2170"/>
      <c r="R82" s="2171"/>
      <c r="S82" s="2171"/>
      <c r="T82" s="2171"/>
      <c r="U82" s="2171"/>
      <c r="V82" s="2171"/>
      <c r="W82" s="2171"/>
      <c r="X82" s="2171"/>
      <c r="Y82" s="2171"/>
      <c r="Z82" s="2171"/>
      <c r="AA82" s="2171"/>
      <c r="AB82" s="2171"/>
      <c r="AC82" s="2171"/>
    </row>
    <row r="83" spans="1:29" ht="15" thickTop="1">
      <c r="A83" s="737"/>
      <c r="B83" s="675" t="s">
        <v>751</v>
      </c>
      <c r="C83" s="690"/>
      <c r="D83" s="690"/>
      <c r="E83" s="720"/>
      <c r="F83" s="720"/>
      <c r="G83" s="720"/>
      <c r="H83" s="720"/>
      <c r="I83" s="720"/>
      <c r="J83" s="720"/>
      <c r="K83" s="721"/>
      <c r="L83" s="722"/>
      <c r="M83" s="723"/>
      <c r="N83" s="2165"/>
      <c r="O83" s="2165"/>
      <c r="P83" s="2166"/>
      <c r="Q83" s="2159"/>
      <c r="R83" s="2146"/>
      <c r="S83" s="2146"/>
      <c r="T83" s="2146"/>
      <c r="U83" s="2146"/>
      <c r="V83" s="2146"/>
      <c r="W83" s="2146"/>
      <c r="X83" s="2146"/>
      <c r="Y83" s="2146"/>
      <c r="Z83" s="2146"/>
      <c r="AA83" s="2146"/>
      <c r="AB83" s="2146"/>
      <c r="AC83" s="2146"/>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7"/>
      <c r="B85" s="675" t="s">
        <v>816</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5"/>
      <c r="O85" s="2165"/>
      <c r="P85" s="2166"/>
      <c r="Q85" s="2159"/>
      <c r="R85" s="2146"/>
      <c r="S85" s="2146"/>
      <c r="T85" s="2146"/>
      <c r="U85" s="2146"/>
      <c r="V85" s="2146"/>
      <c r="W85" s="2146"/>
      <c r="X85" s="2146"/>
      <c r="Y85" s="2146"/>
      <c r="Z85" s="2146"/>
      <c r="AA85" s="2146"/>
      <c r="AB85" s="2146"/>
      <c r="AC85" s="2146"/>
    </row>
    <row r="86" spans="1:29">
      <c r="A86" s="737"/>
      <c r="B86" s="683"/>
      <c r="C86" s="895">
        <v>0.5</v>
      </c>
      <c r="D86" s="895">
        <v>0.6</v>
      </c>
      <c r="E86" s="895">
        <v>0.7</v>
      </c>
      <c r="F86" s="895">
        <v>0.8</v>
      </c>
      <c r="G86" s="895">
        <v>0.9</v>
      </c>
      <c r="H86" s="895">
        <v>1.0001</v>
      </c>
      <c r="I86" s="906"/>
      <c r="J86" s="906"/>
      <c r="K86" s="907"/>
      <c r="L86" s="908"/>
      <c r="M86" s="909"/>
      <c r="N86" s="2165"/>
      <c r="O86" s="2165"/>
      <c r="P86" s="2166"/>
      <c r="Q86" s="2159"/>
      <c r="R86" s="2146"/>
      <c r="S86" s="2146"/>
      <c r="T86" s="2146"/>
      <c r="U86" s="2146"/>
      <c r="V86" s="2146"/>
      <c r="W86" s="2146"/>
      <c r="X86" s="2146"/>
      <c r="Y86" s="2146"/>
      <c r="Z86" s="2146"/>
      <c r="AA86" s="2146"/>
      <c r="AB86" s="2146"/>
      <c r="AC86" s="2146"/>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7"/>
      <c r="B88" s="683" t="s">
        <v>817</v>
      </c>
      <c r="C88" s="600"/>
      <c r="D88" s="600"/>
      <c r="E88" s="600"/>
      <c r="F88" s="600"/>
      <c r="G88" s="600"/>
      <c r="H88" s="600"/>
      <c r="I88" s="600"/>
      <c r="J88" s="600"/>
      <c r="K88" s="668"/>
      <c r="L88" s="669"/>
      <c r="M88" s="670"/>
      <c r="N88" s="2165"/>
      <c r="O88" s="2165"/>
      <c r="P88" s="2166"/>
      <c r="Q88" s="2159"/>
      <c r="R88" s="2146"/>
      <c r="S88" s="2146"/>
      <c r="T88" s="2146"/>
      <c r="U88" s="2146"/>
      <c r="V88" s="2146"/>
      <c r="W88" s="2146"/>
      <c r="X88" s="2146"/>
      <c r="Y88" s="2146"/>
      <c r="Z88" s="2146"/>
      <c r="AA88" s="2146"/>
      <c r="AB88" s="2146"/>
      <c r="AC88" s="2146"/>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30"/>
      <c r="B90" s="675" t="s">
        <v>818</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30"/>
      <c r="B91" s="683"/>
      <c r="C91" s="732"/>
      <c r="D91" s="732"/>
      <c r="E91" s="732"/>
      <c r="F91" s="732"/>
      <c r="G91" s="732"/>
      <c r="H91" s="732"/>
      <c r="I91" s="732"/>
      <c r="J91" s="733"/>
      <c r="K91" s="733"/>
      <c r="L91" s="734"/>
      <c r="M91" s="735"/>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9"/>
      <c r="B92" s="680"/>
      <c r="C92" s="694"/>
      <c r="D92" s="673"/>
      <c r="E92" s="673"/>
      <c r="F92" s="673"/>
      <c r="G92" s="673"/>
      <c r="H92" s="673"/>
      <c r="I92" s="673"/>
      <c r="J92" s="673"/>
      <c r="K92" s="673"/>
      <c r="L92" s="673"/>
      <c r="M92" s="674"/>
      <c r="N92" s="2168"/>
      <c r="O92" s="2168"/>
      <c r="P92" s="2169"/>
      <c r="Q92" s="2170"/>
      <c r="R92" s="2171"/>
      <c r="S92" s="2171"/>
      <c r="T92" s="2171"/>
      <c r="U92" s="2171"/>
      <c r="V92" s="2171"/>
      <c r="W92" s="2171"/>
      <c r="X92" s="2171"/>
      <c r="Y92" s="2171"/>
      <c r="Z92" s="2171"/>
      <c r="AA92" s="2171"/>
      <c r="AB92" s="2171"/>
      <c r="AC92" s="2171"/>
    </row>
    <row r="93" spans="1:29" ht="15" thickTop="1">
      <c r="A93" s="737"/>
      <c r="B93" s="675" t="s">
        <v>819</v>
      </c>
      <c r="C93" s="690"/>
      <c r="D93" s="690"/>
      <c r="E93" s="720"/>
      <c r="F93" s="720"/>
      <c r="G93" s="720"/>
      <c r="H93" s="720"/>
      <c r="I93" s="720"/>
      <c r="J93" s="720"/>
      <c r="K93" s="721"/>
      <c r="L93" s="722"/>
      <c r="M93" s="723"/>
      <c r="N93" s="2165"/>
      <c r="O93" s="2165"/>
      <c r="P93" s="2166"/>
      <c r="Q93" s="2159"/>
      <c r="R93" s="2146"/>
      <c r="S93" s="2146"/>
      <c r="T93" s="2146"/>
      <c r="U93" s="2146"/>
      <c r="V93" s="2146"/>
      <c r="W93" s="2146"/>
      <c r="X93" s="2146"/>
      <c r="Y93" s="2146"/>
      <c r="Z93" s="2146"/>
      <c r="AA93" s="2146"/>
      <c r="AB93" s="2146"/>
      <c r="AC93" s="2146"/>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7"/>
      <c r="B95" s="675" t="s">
        <v>820</v>
      </c>
      <c r="C95" s="600"/>
      <c r="D95" s="600"/>
      <c r="E95" s="600"/>
      <c r="F95" s="600"/>
      <c r="G95" s="600"/>
      <c r="H95" s="600"/>
      <c r="I95" s="600"/>
      <c r="J95" s="600"/>
      <c r="K95" s="668"/>
      <c r="L95" s="669"/>
      <c r="M95" s="670"/>
      <c r="N95" s="2165"/>
      <c r="O95" s="2165"/>
      <c r="P95" s="2166"/>
      <c r="Q95" s="2159"/>
      <c r="R95" s="2146"/>
      <c r="S95" s="2146"/>
      <c r="T95" s="2146"/>
      <c r="U95" s="2146"/>
      <c r="V95" s="2146"/>
      <c r="W95" s="2146"/>
      <c r="X95" s="2146"/>
      <c r="Y95" s="2146"/>
      <c r="Z95" s="2146"/>
      <c r="AA95" s="2146"/>
      <c r="AB95" s="2146"/>
      <c r="AC95" s="2146"/>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67"/>
      <c r="O96" s="2167"/>
      <c r="P96" s="2166"/>
      <c r="Q96" s="2159"/>
      <c r="R96" s="2146"/>
      <c r="S96" s="2146"/>
      <c r="T96" s="2146"/>
      <c r="U96" s="2146"/>
      <c r="V96" s="2146"/>
      <c r="W96" s="2146"/>
      <c r="X96" s="2146"/>
      <c r="Y96" s="2146"/>
      <c r="Z96" s="2146"/>
      <c r="AA96" s="2146"/>
      <c r="AB96" s="2146"/>
      <c r="AC96" s="2146"/>
    </row>
    <row r="97" spans="1:29" ht="15" thickTop="1">
      <c r="A97" s="737"/>
      <c r="B97" s="918">
        <f>B34</f>
        <v>111</v>
      </c>
      <c r="C97" s="544"/>
      <c r="D97" s="544"/>
      <c r="E97" s="544"/>
      <c r="F97" s="544"/>
      <c r="G97" s="690"/>
      <c r="H97" s="691"/>
      <c r="I97" s="691"/>
      <c r="J97" s="691"/>
      <c r="K97" s="691"/>
      <c r="L97" s="692"/>
      <c r="M97" s="693"/>
      <c r="N97" s="2167"/>
      <c r="O97" s="2167"/>
      <c r="P97" s="2206"/>
      <c r="Q97" s="2207"/>
      <c r="R97" s="2146"/>
      <c r="S97" s="2146"/>
      <c r="T97" s="2146"/>
      <c r="U97" s="2146"/>
      <c r="V97" s="2146"/>
      <c r="W97" s="2146"/>
      <c r="X97" s="2146"/>
      <c r="Y97" s="2146"/>
      <c r="Z97" s="2146"/>
      <c r="AA97" s="2146"/>
      <c r="AB97" s="2146"/>
      <c r="AC97" s="2146"/>
    </row>
    <row r="98" spans="1:29" ht="15.75" thickBot="1">
      <c r="A98" s="671"/>
      <c r="B98" s="680"/>
      <c r="C98" s="694"/>
      <c r="D98" s="673"/>
      <c r="E98" s="673"/>
      <c r="F98" s="673"/>
      <c r="G98" s="694"/>
      <c r="H98" s="695"/>
      <c r="I98" s="695"/>
      <c r="J98" s="695"/>
      <c r="K98" s="695"/>
      <c r="L98" s="695"/>
      <c r="M98" s="696"/>
      <c r="N98" s="2167"/>
      <c r="O98" s="2167"/>
      <c r="P98" s="2166"/>
      <c r="Q98" s="2159"/>
      <c r="R98" s="2146"/>
      <c r="S98" s="2146"/>
      <c r="T98" s="2146"/>
      <c r="U98" s="2146"/>
      <c r="V98" s="2146"/>
      <c r="W98" s="2146"/>
      <c r="X98" s="2146"/>
      <c r="Y98" s="2146"/>
      <c r="Z98" s="2146"/>
      <c r="AA98" s="2146"/>
      <c r="AB98" s="2146"/>
      <c r="AC98" s="2146"/>
    </row>
    <row r="99" spans="1:29" s="1339" customFormat="1" ht="15" thickTop="1">
      <c r="A99" s="730"/>
      <c r="B99" s="675">
        <f>B35</f>
        <v>111</v>
      </c>
      <c r="C99" s="544"/>
      <c r="D99" s="544"/>
      <c r="E99" s="544"/>
      <c r="F99" s="544"/>
      <c r="G99" s="690"/>
      <c r="H99" s="691"/>
      <c r="I99" s="691"/>
      <c r="J99" s="691"/>
      <c r="K99" s="691"/>
      <c r="L99" s="692"/>
      <c r="M99" s="693"/>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9"/>
      <c r="B100" s="672"/>
      <c r="C100" s="694"/>
      <c r="D100" s="673"/>
      <c r="E100" s="673"/>
      <c r="F100" s="673"/>
      <c r="G100" s="694"/>
      <c r="H100" s="695"/>
      <c r="I100" s="695"/>
      <c r="J100" s="695"/>
      <c r="K100" s="695"/>
      <c r="L100" s="695"/>
      <c r="M100" s="696"/>
      <c r="N100" s="2168"/>
      <c r="O100" s="2168"/>
      <c r="P100" s="2169"/>
      <c r="Q100" s="2170"/>
      <c r="R100" s="2171"/>
      <c r="S100" s="2171"/>
      <c r="T100" s="2171"/>
      <c r="U100" s="2171"/>
      <c r="V100" s="2171"/>
      <c r="W100" s="2171"/>
      <c r="X100" s="2171"/>
      <c r="Y100" s="2171"/>
      <c r="Z100" s="2171"/>
      <c r="AA100" s="2171"/>
      <c r="AB100" s="2171"/>
      <c r="AC100" s="2171"/>
    </row>
    <row r="101" spans="1:29" ht="15" thickTop="1">
      <c r="A101" s="737"/>
      <c r="B101" s="675">
        <f>B36</f>
        <v>111</v>
      </c>
      <c r="C101" s="690"/>
      <c r="D101" s="690"/>
      <c r="E101" s="690"/>
      <c r="F101" s="690"/>
      <c r="G101" s="690"/>
      <c r="H101" s="691"/>
      <c r="I101" s="691"/>
      <c r="J101" s="691"/>
      <c r="K101" s="691"/>
      <c r="L101" s="692"/>
      <c r="M101" s="693"/>
      <c r="N101" s="2165"/>
      <c r="O101" s="2165"/>
      <c r="P101" s="2166"/>
      <c r="Q101" s="2159"/>
      <c r="R101" s="2146"/>
      <c r="S101" s="2146"/>
      <c r="T101" s="2146"/>
      <c r="U101" s="2146"/>
      <c r="V101" s="2146"/>
      <c r="W101" s="2146"/>
      <c r="X101" s="2146"/>
      <c r="Y101" s="2146"/>
      <c r="Z101" s="2146"/>
      <c r="AA101" s="2146"/>
      <c r="AB101" s="2146"/>
      <c r="AC101" s="2146"/>
    </row>
    <row r="102" spans="1:29" ht="15.75" thickBot="1">
      <c r="A102" s="671"/>
      <c r="B102" s="680"/>
      <c r="C102" s="694"/>
      <c r="D102" s="694"/>
      <c r="E102" s="694"/>
      <c r="F102" s="694"/>
      <c r="G102" s="694"/>
      <c r="H102" s="695"/>
      <c r="I102" s="695"/>
      <c r="J102" s="695"/>
      <c r="K102" s="695"/>
      <c r="L102" s="695"/>
      <c r="M102" s="696"/>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719</v>
      </c>
      <c r="B1" s="924"/>
      <c r="C1" s="507" t="s">
        <v>792</v>
      </c>
      <c r="D1" s="851"/>
      <c r="E1" s="509"/>
      <c r="F1" s="2834"/>
      <c r="G1" s="1601" t="s">
        <v>793</v>
      </c>
      <c r="H1" s="509"/>
      <c r="I1" s="509"/>
      <c r="J1" s="509"/>
      <c r="K1" s="510"/>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6" t="s">
        <v>794</v>
      </c>
      <c r="B2" s="852"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12" t="s">
        <v>795</v>
      </c>
      <c r="B3" s="513" t="e">
        <f>C37</f>
        <v>#DIV/0!</v>
      </c>
      <c r="C3" s="854" t="s">
        <v>796</v>
      </c>
      <c r="D3" s="853">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31"/>
    </row>
    <row r="4" spans="1:29" ht="15">
      <c r="A4" s="515" t="s">
        <v>797</v>
      </c>
      <c r="B4" s="516"/>
      <c r="C4" s="3523" t="s">
        <v>798</v>
      </c>
      <c r="D4" s="3524"/>
      <c r="E4" s="3548" t="s">
        <v>799</v>
      </c>
      <c r="F4" s="3549"/>
      <c r="G4" s="3523" t="s">
        <v>800</v>
      </c>
      <c r="H4" s="3524"/>
      <c r="I4" s="3523" t="s">
        <v>801</v>
      </c>
      <c r="J4" s="3524"/>
      <c r="K4" s="517" t="s">
        <v>802</v>
      </c>
      <c r="L4" s="2134"/>
      <c r="M4" s="2135"/>
      <c r="N4" s="2135"/>
      <c r="O4" s="2135"/>
      <c r="P4" s="3525" t="s">
        <v>803</v>
      </c>
      <c r="Q4" s="3526"/>
      <c r="R4" s="3511" t="s">
        <v>799</v>
      </c>
      <c r="S4" s="3512"/>
      <c r="T4" s="3511" t="s">
        <v>800</v>
      </c>
      <c r="U4" s="3512"/>
      <c r="V4" s="3531" t="s">
        <v>801</v>
      </c>
      <c r="W4" s="3531"/>
      <c r="X4" s="1567"/>
      <c r="Y4" s="3511" t="s">
        <v>803</v>
      </c>
      <c r="Z4" s="3512"/>
      <c r="AA4" s="3506" t="s">
        <v>799</v>
      </c>
      <c r="AB4" s="3507" t="s">
        <v>800</v>
      </c>
      <c r="AC4" s="3506" t="s">
        <v>801</v>
      </c>
    </row>
    <row r="5" spans="1:29" ht="15">
      <c r="A5" s="518"/>
      <c r="B5" s="519"/>
      <c r="C5" s="3534" t="s">
        <v>2924</v>
      </c>
      <c r="D5" s="3535"/>
      <c r="E5" s="3550" t="s">
        <v>2925</v>
      </c>
      <c r="F5" s="3551"/>
      <c r="G5" s="3534" t="s">
        <v>2926</v>
      </c>
      <c r="H5" s="3535"/>
      <c r="I5" s="3534" t="s">
        <v>2927</v>
      </c>
      <c r="J5" s="3535"/>
      <c r="K5" s="517"/>
      <c r="L5" s="2134"/>
      <c r="M5" s="2135"/>
      <c r="N5" s="2135"/>
      <c r="O5" s="2135"/>
      <c r="P5" s="3527"/>
      <c r="Q5" s="3528"/>
      <c r="R5" s="3513"/>
      <c r="S5" s="3514"/>
      <c r="T5" s="3513"/>
      <c r="U5" s="3514"/>
      <c r="V5" s="3531"/>
      <c r="W5" s="3531"/>
      <c r="X5" s="1567"/>
      <c r="Y5" s="3513"/>
      <c r="Z5" s="3514"/>
      <c r="AA5" s="3507"/>
      <c r="AB5" s="3507"/>
      <c r="AC5" s="3507"/>
    </row>
    <row r="6" spans="1:29" ht="15.75" thickBot="1">
      <c r="A6" s="520"/>
      <c r="B6" s="521"/>
      <c r="C6" s="3532" t="s">
        <v>2928</v>
      </c>
      <c r="D6" s="3533"/>
      <c r="E6" s="3552" t="s">
        <v>2928</v>
      </c>
      <c r="F6" s="3553"/>
      <c r="G6" s="3532" t="s">
        <v>2928</v>
      </c>
      <c r="H6" s="3533"/>
      <c r="I6" s="3532" t="s">
        <v>2928</v>
      </c>
      <c r="J6" s="3533"/>
      <c r="K6" s="517" t="s">
        <v>529</v>
      </c>
      <c r="L6" s="2134"/>
      <c r="M6" s="2135"/>
      <c r="N6" s="2135"/>
      <c r="O6" s="2135"/>
      <c r="P6" s="3529"/>
      <c r="Q6" s="3530"/>
      <c r="R6" s="3513"/>
      <c r="S6" s="3514"/>
      <c r="T6" s="3515"/>
      <c r="U6" s="3516"/>
      <c r="V6" s="3531"/>
      <c r="W6" s="3531"/>
      <c r="X6" s="1567"/>
      <c r="Y6" s="3515"/>
      <c r="Z6" s="3516"/>
      <c r="AA6" s="3508"/>
      <c r="AB6" s="3508"/>
      <c r="AC6" s="3508"/>
    </row>
    <row r="7" spans="1:29" s="1220" customFormat="1" ht="15.75" thickBot="1">
      <c r="A7" s="2939"/>
      <c r="B7" s="2946" t="s">
        <v>530</v>
      </c>
      <c r="C7" s="522">
        <f>'数据-取费表'!B2</f>
        <v>43052</v>
      </c>
      <c r="D7" s="523">
        <v>100</v>
      </c>
      <c r="E7" s="524"/>
      <c r="F7" s="525">
        <f>SUMIF(46:46,YEAR(E7)&amp;"-"&amp;MONTH(E7),47:47)</f>
        <v>0</v>
      </c>
      <c r="G7" s="526"/>
      <c r="H7" s="523">
        <f>SUMIF(46:46,YEAR(G7)&amp;"-"&amp;MONTH(G7),47:47)</f>
        <v>0</v>
      </c>
      <c r="I7" s="526"/>
      <c r="J7" s="523">
        <f>SUMIF(46:46,YEAR(I7)&amp;"-"&amp;MONTH(I7),47:47)</f>
        <v>0</v>
      </c>
      <c r="K7" s="527"/>
      <c r="L7" s="2136"/>
      <c r="M7" s="2137"/>
      <c r="N7" s="2137"/>
      <c r="O7" s="2137"/>
      <c r="P7" s="3509" t="s">
        <v>531</v>
      </c>
      <c r="Q7" s="3518"/>
      <c r="R7" s="1568" t="s">
        <v>8</v>
      </c>
      <c r="S7" s="1569">
        <f t="shared" ref="S7:S14" si="0">F7</f>
        <v>0</v>
      </c>
      <c r="T7" s="1568" t="s">
        <v>8</v>
      </c>
      <c r="U7" s="1569">
        <f t="shared" ref="U7:U14" si="1">H7</f>
        <v>0</v>
      </c>
      <c r="V7" s="1568" t="s">
        <v>8</v>
      </c>
      <c r="W7" s="1569">
        <f t="shared" ref="W7:W14" si="2">J7</f>
        <v>0</v>
      </c>
      <c r="X7" s="1570"/>
      <c r="Y7" s="3509" t="s">
        <v>531</v>
      </c>
      <c r="Z7" s="3510"/>
      <c r="AA7" s="1571" t="e">
        <f>D7/F7</f>
        <v>#DIV/0!</v>
      </c>
      <c r="AB7" s="1571" t="e">
        <f>D7/H7</f>
        <v>#DIV/0!</v>
      </c>
      <c r="AC7" s="1571" t="e">
        <f>D7/J7</f>
        <v>#DIV/0!</v>
      </c>
    </row>
    <row r="8" spans="1:29" s="1220" customFormat="1" ht="15.75" thickBot="1">
      <c r="A8" s="2940"/>
      <c r="B8" s="2947" t="s">
        <v>532</v>
      </c>
      <c r="C8" s="528" t="s">
        <v>577</v>
      </c>
      <c r="D8" s="523">
        <v>100</v>
      </c>
      <c r="E8" s="528"/>
      <c r="F8" s="525">
        <f>SUMIF(49:49,E8,50:50)-SUMIF(49:49,C8,50:50)+100</f>
        <v>0</v>
      </c>
      <c r="G8" s="528"/>
      <c r="H8" s="523">
        <f>SUMIF(49:49,G8,50:50)-SUMIF(49:49,C8,50:50)+100</f>
        <v>0</v>
      </c>
      <c r="I8" s="528"/>
      <c r="J8" s="523">
        <f>SUMIF(49:49,I8,50:50)-SUMIF(49:49,C8,50:50)+100</f>
        <v>0</v>
      </c>
      <c r="K8" s="527"/>
      <c r="L8" s="2136"/>
      <c r="M8" s="2137"/>
      <c r="N8" s="2137"/>
      <c r="O8" s="2137"/>
      <c r="P8" s="3509" t="s">
        <v>534</v>
      </c>
      <c r="Q8" s="3510"/>
      <c r="R8" s="1568" t="s">
        <v>8</v>
      </c>
      <c r="S8" s="1569">
        <f t="shared" si="0"/>
        <v>0</v>
      </c>
      <c r="T8" s="1568" t="s">
        <v>8</v>
      </c>
      <c r="U8" s="1569">
        <f t="shared" si="1"/>
        <v>0</v>
      </c>
      <c r="V8" s="1568" t="s">
        <v>8</v>
      </c>
      <c r="W8" s="1569">
        <f t="shared" si="2"/>
        <v>0</v>
      </c>
      <c r="X8" s="1570"/>
      <c r="Y8" s="3509" t="s">
        <v>534</v>
      </c>
      <c r="Z8" s="3510"/>
      <c r="AA8" s="1571" t="e">
        <f t="shared" ref="AA8:AA34" si="3">D8/F8</f>
        <v>#DIV/0!</v>
      </c>
      <c r="AB8" s="1571" t="e">
        <f t="shared" ref="AB8:AB34" si="4">D8/H8</f>
        <v>#DIV/0!</v>
      </c>
      <c r="AC8" s="1571" t="e">
        <f t="shared" ref="AC8:AC34" si="5">D8/J8</f>
        <v>#DIV/0!</v>
      </c>
    </row>
    <row r="9" spans="1:29" s="1220" customFormat="1" ht="15">
      <c r="A9" s="2941"/>
      <c r="B9" s="2948" t="s">
        <v>2759</v>
      </c>
      <c r="C9" s="859"/>
      <c r="D9" s="254">
        <v>100</v>
      </c>
      <c r="E9" s="862"/>
      <c r="F9" s="254">
        <f>SUMIF(51:51,E9,52:52)-SUMIF(51:51,C9,52:52)+100</f>
        <v>100</v>
      </c>
      <c r="G9" s="862"/>
      <c r="H9" s="254">
        <f>SUMIF(51:51,G9,52:52)-SUMIF(51:51,C9,52:52)+100</f>
        <v>100</v>
      </c>
      <c r="I9" s="862"/>
      <c r="J9" s="254">
        <f>SUMIF(51:51,I9,52:52)-SUMIF(51:51,C9,52:52)+100</f>
        <v>100</v>
      </c>
      <c r="K9" s="527"/>
      <c r="L9" s="2136"/>
      <c r="M9" s="2137"/>
      <c r="N9" s="2137"/>
      <c r="O9" s="2138"/>
      <c r="P9" s="3517" t="s">
        <v>536</v>
      </c>
      <c r="Q9" s="1151" t="str">
        <f t="shared" ref="Q9:Q14" si="6">B9</f>
        <v>用途</v>
      </c>
      <c r="R9" s="1568" t="s">
        <v>8</v>
      </c>
      <c r="S9" s="1569">
        <f t="shared" si="0"/>
        <v>100</v>
      </c>
      <c r="T9" s="1568" t="s">
        <v>8</v>
      </c>
      <c r="U9" s="1569">
        <f t="shared" si="1"/>
        <v>100</v>
      </c>
      <c r="V9" s="1568" t="s">
        <v>8</v>
      </c>
      <c r="W9" s="1569">
        <f t="shared" si="2"/>
        <v>100</v>
      </c>
      <c r="X9" s="1570"/>
      <c r="Y9" s="3474" t="s">
        <v>537</v>
      </c>
      <c r="Z9" s="1150" t="str">
        <f t="shared" ref="Z9:Z14" si="7">Q9</f>
        <v>用途</v>
      </c>
      <c r="AA9" s="1571">
        <f t="shared" si="3"/>
        <v>1</v>
      </c>
      <c r="AB9" s="1571">
        <f t="shared" si="4"/>
        <v>1</v>
      </c>
      <c r="AC9" s="1571">
        <f t="shared" si="5"/>
        <v>1</v>
      </c>
    </row>
    <row r="10" spans="1:29" s="1338" customFormat="1" ht="27">
      <c r="A10" s="2942"/>
      <c r="B10" s="2947" t="s">
        <v>2760</v>
      </c>
      <c r="C10" s="863"/>
      <c r="D10" s="255">
        <v>100</v>
      </c>
      <c r="E10" s="863"/>
      <c r="F10" s="255">
        <f>SUMIF(53:53,E10,54:54)-SUMIF(53:53,C10,54:54)+100</f>
        <v>100</v>
      </c>
      <c r="G10" s="864"/>
      <c r="H10" s="255">
        <f>SUMIF(53:53,G10,54:54)-SUMIF(53:53,C10,54:54)+100</f>
        <v>100</v>
      </c>
      <c r="I10" s="863"/>
      <c r="J10" s="255">
        <f>SUMIF(53:53,I10,54:54)-SUMIF(53:53,C10,54:54)+100</f>
        <v>100</v>
      </c>
      <c r="K10" s="586"/>
      <c r="L10" s="2139"/>
      <c r="M10" s="2179"/>
      <c r="N10" s="2179"/>
      <c r="O10" s="2140"/>
      <c r="P10" s="3517"/>
      <c r="Q10" s="1151" t="str">
        <f t="shared" si="6"/>
        <v>土地使用年限（年）</v>
      </c>
      <c r="R10" s="1568" t="s">
        <v>8</v>
      </c>
      <c r="S10" s="1569">
        <f t="shared" si="0"/>
        <v>100</v>
      </c>
      <c r="T10" s="1568" t="s">
        <v>8</v>
      </c>
      <c r="U10" s="1569">
        <f t="shared" si="1"/>
        <v>100</v>
      </c>
      <c r="V10" s="1568" t="s">
        <v>8</v>
      </c>
      <c r="W10" s="1569">
        <f t="shared" si="2"/>
        <v>100</v>
      </c>
      <c r="X10" s="1570"/>
      <c r="Y10" s="3474"/>
      <c r="Z10" s="1150" t="str">
        <f t="shared" si="7"/>
        <v>土地使用年限（年）</v>
      </c>
      <c r="AA10" s="1571">
        <f t="shared" si="3"/>
        <v>1</v>
      </c>
      <c r="AB10" s="1571">
        <f t="shared" si="4"/>
        <v>1</v>
      </c>
      <c r="AC10" s="1571">
        <f t="shared" si="5"/>
        <v>1</v>
      </c>
    </row>
    <row r="11" spans="1:29" ht="15">
      <c r="A11" s="2944"/>
      <c r="B11" s="2950">
        <v>111</v>
      </c>
      <c r="C11" s="531"/>
      <c r="D11" s="255">
        <v>100</v>
      </c>
      <c r="E11" s="881"/>
      <c r="F11" s="255">
        <f>SUMIF(55:55,E11,56:56)-SUMIF(55:55,C11,56:56)+100</f>
        <v>100</v>
      </c>
      <c r="G11" s="881"/>
      <c r="H11" s="255">
        <f>SUMIF(55:55,G11,56:56)-SUMIF(55:55,C11,56:56)+100</f>
        <v>100</v>
      </c>
      <c r="I11" s="881"/>
      <c r="J11" s="255">
        <f>SUMIF(55:55,I11,56:56)-SUMIF(55:55,C11,56:56)+100</f>
        <v>100</v>
      </c>
      <c r="K11" s="583"/>
      <c r="L11" s="2141"/>
      <c r="M11" s="2135"/>
      <c r="N11" s="2135"/>
      <c r="O11" s="2142"/>
      <c r="P11" s="3517"/>
      <c r="Q11" s="1151">
        <f t="shared" si="6"/>
        <v>111</v>
      </c>
      <c r="R11" s="1568" t="s">
        <v>8</v>
      </c>
      <c r="S11" s="1569">
        <f t="shared" si="0"/>
        <v>100</v>
      </c>
      <c r="T11" s="1568" t="s">
        <v>8</v>
      </c>
      <c r="U11" s="1569">
        <f t="shared" si="1"/>
        <v>100</v>
      </c>
      <c r="V11" s="1568" t="s">
        <v>8</v>
      </c>
      <c r="W11" s="1569">
        <f t="shared" si="2"/>
        <v>100</v>
      </c>
      <c r="X11" s="1570"/>
      <c r="Y11" s="3474"/>
      <c r="Z11" s="1150">
        <f t="shared" si="7"/>
        <v>111</v>
      </c>
      <c r="AA11" s="1571">
        <f t="shared" si="3"/>
        <v>1</v>
      </c>
      <c r="AB11" s="1571">
        <f t="shared" si="4"/>
        <v>1</v>
      </c>
      <c r="AC11" s="1571">
        <f t="shared" si="5"/>
        <v>1</v>
      </c>
    </row>
    <row r="12" spans="1:29" s="1220" customFormat="1" ht="15">
      <c r="A12" s="2944"/>
      <c r="B12" s="2950">
        <v>111</v>
      </c>
      <c r="C12" s="531"/>
      <c r="D12" s="541">
        <v>100</v>
      </c>
      <c r="E12" s="881"/>
      <c r="F12" s="255">
        <f>SUMIF(57:57,E12,58:58)-SUMIF(57:57,C12,58:58)+100</f>
        <v>100</v>
      </c>
      <c r="G12" s="881"/>
      <c r="H12" s="255">
        <f>SUMIF(57:57,G12,58:58)-SUMIF(57:57,C12,58:58)+100</f>
        <v>100</v>
      </c>
      <c r="I12" s="881"/>
      <c r="J12" s="255">
        <f>SUMIF(57:57,I12,58:58)-SUMIF(57:57,C12,58:58)+100</f>
        <v>100</v>
      </c>
      <c r="K12" s="583"/>
      <c r="L12" s="2136"/>
      <c r="M12" s="2137"/>
      <c r="N12" s="2137"/>
      <c r="O12" s="2138"/>
      <c r="P12" s="3517"/>
      <c r="Q12" s="1151">
        <f t="shared" si="6"/>
        <v>111</v>
      </c>
      <c r="R12" s="1568" t="s">
        <v>8</v>
      </c>
      <c r="S12" s="1569">
        <f t="shared" si="0"/>
        <v>100</v>
      </c>
      <c r="T12" s="1568" t="s">
        <v>8</v>
      </c>
      <c r="U12" s="1569">
        <f t="shared" si="1"/>
        <v>100</v>
      </c>
      <c r="V12" s="1568" t="s">
        <v>8</v>
      </c>
      <c r="W12" s="1569">
        <f t="shared" si="2"/>
        <v>100</v>
      </c>
      <c r="X12" s="1570"/>
      <c r="Y12" s="3474"/>
      <c r="Z12" s="1150">
        <f t="shared" si="7"/>
        <v>111</v>
      </c>
      <c r="AA12" s="1571">
        <f>D12/F12</f>
        <v>1</v>
      </c>
      <c r="AB12" s="1571">
        <f>D12/H12</f>
        <v>1</v>
      </c>
      <c r="AC12" s="1571">
        <f>D12/J12</f>
        <v>1</v>
      </c>
    </row>
    <row r="13" spans="1:29" ht="15.75" thickBot="1">
      <c r="A13" s="2945"/>
      <c r="B13" s="2951">
        <v>111</v>
      </c>
      <c r="C13" s="542"/>
      <c r="D13" s="543">
        <v>100</v>
      </c>
      <c r="E13" s="881"/>
      <c r="F13" s="255">
        <f>SUMIF(59:59,E13,60:60)-SUMIF(59:59,C13,60:60)+100</f>
        <v>100</v>
      </c>
      <c r="G13" s="881"/>
      <c r="H13" s="543">
        <f>SUMIF(59:59,G13,60:60)-SUMIF(59:59,C13,60:60)+100</f>
        <v>100</v>
      </c>
      <c r="I13" s="881"/>
      <c r="J13" s="543">
        <f>SUMIF(59:59,I13,60:60)-SUMIF(59:59,C13,60:60)+100</f>
        <v>100</v>
      </c>
      <c r="K13" s="583"/>
      <c r="L13" s="2143"/>
      <c r="M13" s="2135"/>
      <c r="N13" s="2135"/>
      <c r="O13" s="2142"/>
      <c r="P13" s="3517"/>
      <c r="Q13" s="1151">
        <f t="shared" si="6"/>
        <v>111</v>
      </c>
      <c r="R13" s="1568" t="s">
        <v>8</v>
      </c>
      <c r="S13" s="1569">
        <f t="shared" si="0"/>
        <v>100</v>
      </c>
      <c r="T13" s="1568" t="s">
        <v>8</v>
      </c>
      <c r="U13" s="1569">
        <f t="shared" si="1"/>
        <v>100</v>
      </c>
      <c r="V13" s="1568" t="s">
        <v>8</v>
      </c>
      <c r="W13" s="1569">
        <f t="shared" si="2"/>
        <v>100</v>
      </c>
      <c r="X13" s="1570"/>
      <c r="Y13" s="3474"/>
      <c r="Z13" s="1150">
        <f t="shared" si="7"/>
        <v>111</v>
      </c>
      <c r="AA13" s="1571">
        <f t="shared" si="3"/>
        <v>1</v>
      </c>
      <c r="AB13" s="1571">
        <f t="shared" si="4"/>
        <v>1</v>
      </c>
      <c r="AC13" s="1571">
        <f t="shared" si="5"/>
        <v>1</v>
      </c>
    </row>
    <row r="14" spans="1:29" ht="71.25">
      <c r="A14" s="2937" t="s">
        <v>2757</v>
      </c>
      <c r="B14" s="166" t="s">
        <v>544</v>
      </c>
      <c r="C14" s="922" t="str">
        <f>IF(B1="工业",估价对象房地状况!G4,估价对象房地状况!C6)</f>
        <v>周边道路状况、公共交通通达情况、停车便捷程度（大理荒草坝机场</v>
      </c>
      <c r="D14" s="552">
        <v>100</v>
      </c>
      <c r="E14" s="553"/>
      <c r="F14" s="554">
        <f>SUMIF(61:61,E15,62:62)-SUMIF(61:61,C15,62:62)+100</f>
        <v>100</v>
      </c>
      <c r="G14" s="555"/>
      <c r="H14" s="552">
        <f>SUMIF(61:61,G15,62:62)-SUMIF(61:61,C15,62:62)+100</f>
        <v>100</v>
      </c>
      <c r="I14" s="553"/>
      <c r="J14" s="552">
        <f>SUMIF(61:61,I15,62:62)-SUMIF(61:61,C15,62:62)+100</f>
        <v>100</v>
      </c>
      <c r="K14" s="899"/>
      <c r="L14" s="2143"/>
      <c r="M14" s="2135"/>
      <c r="N14" s="2135"/>
      <c r="O14" s="2142"/>
      <c r="P14" s="3519" t="s">
        <v>541</v>
      </c>
      <c r="Q14" s="1572" t="str">
        <f t="shared" si="6"/>
        <v>交通便捷度</v>
      </c>
      <c r="R14" s="1573" t="s">
        <v>8</v>
      </c>
      <c r="S14" s="1574">
        <f t="shared" si="0"/>
        <v>100</v>
      </c>
      <c r="T14" s="1573" t="s">
        <v>8</v>
      </c>
      <c r="U14" s="1574">
        <f t="shared" si="1"/>
        <v>100</v>
      </c>
      <c r="V14" s="1573" t="s">
        <v>8</v>
      </c>
      <c r="W14" s="1574">
        <f t="shared" si="2"/>
        <v>100</v>
      </c>
      <c r="X14" s="1567"/>
      <c r="Y14" s="3519" t="s">
        <v>541</v>
      </c>
      <c r="Z14" s="1575" t="str">
        <f t="shared" si="7"/>
        <v>交通便捷度</v>
      </c>
      <c r="AA14" s="1576">
        <f t="shared" si="3"/>
        <v>1</v>
      </c>
      <c r="AB14" s="1576">
        <f t="shared" si="4"/>
        <v>1</v>
      </c>
      <c r="AC14" s="1576">
        <f t="shared" si="5"/>
        <v>1</v>
      </c>
    </row>
    <row r="15" spans="1:29" ht="15">
      <c r="A15" s="535"/>
      <c r="B15" s="871"/>
      <c r="C15" s="578"/>
      <c r="D15" s="558"/>
      <c r="E15" s="578"/>
      <c r="F15" s="560"/>
      <c r="G15" s="578"/>
      <c r="H15" s="562"/>
      <c r="I15" s="578"/>
      <c r="J15" s="558"/>
      <c r="K15" s="900"/>
      <c r="L15" s="2143"/>
      <c r="M15" s="2135"/>
      <c r="N15" s="2135"/>
      <c r="O15" s="2142"/>
      <c r="P15" s="3520"/>
      <c r="Q15" s="1572"/>
      <c r="R15" s="1573"/>
      <c r="S15" s="1574"/>
      <c r="T15" s="1573"/>
      <c r="U15" s="1574"/>
      <c r="V15" s="1573"/>
      <c r="W15" s="1574"/>
      <c r="X15" s="1567"/>
      <c r="Y15" s="3520"/>
      <c r="Z15" s="1575"/>
      <c r="AA15" s="1576">
        <v>1</v>
      </c>
      <c r="AB15" s="1576">
        <v>1</v>
      </c>
      <c r="AC15" s="1576">
        <v>1</v>
      </c>
    </row>
    <row r="16" spans="1:29" ht="42.75">
      <c r="A16" s="535"/>
      <c r="B16" s="2628" t="s">
        <v>2548</v>
      </c>
      <c r="C16" s="874" t="str">
        <f>IF(B1="工业",估价对象房地状况!G5,估价对象房地状况!C7)</f>
        <v>大理技师学院 与较成熟区域距离5-6公里</v>
      </c>
      <c r="D16" s="567">
        <v>100</v>
      </c>
      <c r="E16" s="572"/>
      <c r="F16" s="573">
        <f>SUMIF(63:63,E17,64:64)-SUMIF(63:63,C17,64:64)+100</f>
        <v>100</v>
      </c>
      <c r="G16" s="574"/>
      <c r="H16" s="567">
        <f>SUMIF(63:63,G17,64:64)-SUMIF(63:63,C17,64:64)+100</f>
        <v>100</v>
      </c>
      <c r="I16" s="572"/>
      <c r="J16" s="567">
        <f>SUMIF(63:63,I17,64:64)-SUMIF(63:63,C17,64:64)+100</f>
        <v>100</v>
      </c>
      <c r="K16" s="899"/>
      <c r="L16" s="2143"/>
      <c r="M16" s="2135"/>
      <c r="N16" s="2135"/>
      <c r="O16" s="2142"/>
      <c r="P16" s="3520"/>
      <c r="Q16" s="1572" t="str">
        <f>B16</f>
        <v>公共配套设施</v>
      </c>
      <c r="R16" s="1573" t="s">
        <v>8</v>
      </c>
      <c r="S16" s="1574">
        <f>F16</f>
        <v>100</v>
      </c>
      <c r="T16" s="1573" t="s">
        <v>8</v>
      </c>
      <c r="U16" s="1574">
        <f>H16</f>
        <v>100</v>
      </c>
      <c r="V16" s="1573" t="s">
        <v>8</v>
      </c>
      <c r="W16" s="1574">
        <f>J16</f>
        <v>100</v>
      </c>
      <c r="X16" s="1567"/>
      <c r="Y16" s="3520"/>
      <c r="Z16" s="1575" t="str">
        <f>Q16</f>
        <v>公共配套设施</v>
      </c>
      <c r="AA16" s="1576">
        <f t="shared" si="3"/>
        <v>1</v>
      </c>
      <c r="AB16" s="1576">
        <f t="shared" si="4"/>
        <v>1</v>
      </c>
      <c r="AC16" s="1576">
        <f t="shared" si="5"/>
        <v>1</v>
      </c>
    </row>
    <row r="17" spans="1:29" ht="15">
      <c r="A17" s="535"/>
      <c r="B17" s="568"/>
      <c r="C17" s="875"/>
      <c r="D17" s="558"/>
      <c r="E17" s="578"/>
      <c r="F17" s="560"/>
      <c r="G17" s="578"/>
      <c r="H17" s="558"/>
      <c r="I17" s="578"/>
      <c r="J17" s="558"/>
      <c r="K17" s="900"/>
      <c r="L17" s="2143"/>
      <c r="M17" s="2135"/>
      <c r="N17" s="2135"/>
      <c r="O17" s="2142"/>
      <c r="P17" s="3520"/>
      <c r="Q17" s="1572"/>
      <c r="R17" s="1573"/>
      <c r="S17" s="1574"/>
      <c r="T17" s="1573"/>
      <c r="U17" s="1574"/>
      <c r="V17" s="1573"/>
      <c r="W17" s="1574"/>
      <c r="X17" s="1567"/>
      <c r="Y17" s="3520"/>
      <c r="Z17" s="1575"/>
      <c r="AA17" s="1576">
        <v>1</v>
      </c>
      <c r="AB17" s="1576">
        <v>1</v>
      </c>
      <c r="AC17" s="1576">
        <v>1</v>
      </c>
    </row>
    <row r="18" spans="1:29" ht="15">
      <c r="A18" s="535"/>
      <c r="B18" s="2616" t="s">
        <v>2560</v>
      </c>
      <c r="C18" s="874">
        <f>IF(B1="工业",估价对象房地状况!G6,估价对象房地状况!C8)</f>
        <v>0</v>
      </c>
      <c r="D18" s="562">
        <v>100</v>
      </c>
      <c r="E18" s="564"/>
      <c r="F18" s="565">
        <f>SUMIF(65:65,E19,66:66)-SUMIF(65:65,C19,66:66)+100</f>
        <v>100</v>
      </c>
      <c r="G18" s="566"/>
      <c r="H18" s="567">
        <f>SUMIF(65:65,G19,66:66)-SUMIF(65:65,C19,66:66)+100</f>
        <v>100</v>
      </c>
      <c r="I18" s="572"/>
      <c r="J18" s="567">
        <f>SUMIF(65:65,I19,66:66)-SUMIF(65:65,C19,66:66)+100</f>
        <v>100</v>
      </c>
      <c r="K18" s="899"/>
      <c r="L18" s="2143"/>
      <c r="M18" s="2135"/>
      <c r="N18" s="2135"/>
      <c r="O18" s="2142"/>
      <c r="P18" s="3520"/>
      <c r="Q18" s="2604" t="str">
        <f>B18</f>
        <v>基础设施水平</v>
      </c>
      <c r="R18" s="1573" t="s">
        <v>8</v>
      </c>
      <c r="S18" s="1574">
        <f>F18</f>
        <v>100</v>
      </c>
      <c r="T18" s="1573" t="s">
        <v>8</v>
      </c>
      <c r="U18" s="1574">
        <f>H18</f>
        <v>100</v>
      </c>
      <c r="V18" s="1573" t="s">
        <v>8</v>
      </c>
      <c r="W18" s="1574">
        <f>J18</f>
        <v>100</v>
      </c>
      <c r="X18" s="2606"/>
      <c r="Y18" s="3520"/>
      <c r="Z18" s="2605" t="str">
        <f>Q18</f>
        <v>基础设施水平</v>
      </c>
      <c r="AA18" s="1576">
        <f t="shared" ref="AA18" si="8">D18/F18</f>
        <v>1</v>
      </c>
      <c r="AB18" s="1576">
        <f t="shared" ref="AB18" si="9">D18/H18</f>
        <v>1</v>
      </c>
      <c r="AC18" s="1576">
        <f t="shared" ref="AC18" si="10">D18/J18</f>
        <v>1</v>
      </c>
    </row>
    <row r="19" spans="1:29" ht="15">
      <c r="A19" s="535"/>
      <c r="B19" s="580"/>
      <c r="C19" s="875"/>
      <c r="D19" s="562"/>
      <c r="E19" s="875"/>
      <c r="F19" s="565"/>
      <c r="G19" s="875"/>
      <c r="H19" s="558"/>
      <c r="I19" s="578"/>
      <c r="J19" s="558"/>
      <c r="K19" s="2627"/>
      <c r="L19" s="2143"/>
      <c r="M19" s="2135"/>
      <c r="N19" s="2135"/>
      <c r="O19" s="2142"/>
      <c r="P19" s="3520"/>
      <c r="Q19" s="2604"/>
      <c r="R19" s="1573"/>
      <c r="S19" s="1574"/>
      <c r="T19" s="1573"/>
      <c r="U19" s="1574"/>
      <c r="V19" s="1573"/>
      <c r="W19" s="1574"/>
      <c r="X19" s="2606"/>
      <c r="Y19" s="3520"/>
      <c r="Z19" s="2605"/>
      <c r="AA19" s="1576">
        <v>1</v>
      </c>
      <c r="AB19" s="1576">
        <v>1</v>
      </c>
      <c r="AC19" s="1576">
        <v>1</v>
      </c>
    </row>
    <row r="20" spans="1:29" ht="15">
      <c r="A20" s="535"/>
      <c r="B20" s="873" t="s">
        <v>804</v>
      </c>
      <c r="C20" s="874" t="str">
        <f>IF(B1="工业",估价对象房地状况!G7,估价对象房地状况!C9)</f>
        <v>洱海</v>
      </c>
      <c r="D20" s="567">
        <v>100</v>
      </c>
      <c r="E20" s="572"/>
      <c r="F20" s="573">
        <f>SUMIF(67:67,E21,68:68)-SUMIF(67:67,C21,68:68)+100</f>
        <v>100</v>
      </c>
      <c r="G20" s="574"/>
      <c r="H20" s="562">
        <f>SUMIF(67:67,G21,68:68)-SUMIF(67:67,C21,68:68)+100</f>
        <v>100</v>
      </c>
      <c r="I20" s="564"/>
      <c r="J20" s="562">
        <f>SUMIF(67:67,I21,68:68)-SUMIF(67:67,C21,68:68)+100</f>
        <v>100</v>
      </c>
      <c r="K20" s="899"/>
      <c r="L20" s="2143"/>
      <c r="M20" s="2135"/>
      <c r="N20" s="2135"/>
      <c r="O20" s="2142"/>
      <c r="P20" s="3520"/>
      <c r="Q20" s="1572" t="str">
        <f>B20</f>
        <v>自然及人文环境</v>
      </c>
      <c r="R20" s="1573" t="s">
        <v>8</v>
      </c>
      <c r="S20" s="1574">
        <f>F20</f>
        <v>100</v>
      </c>
      <c r="T20" s="1573" t="s">
        <v>8</v>
      </c>
      <c r="U20" s="1574">
        <f>H20</f>
        <v>100</v>
      </c>
      <c r="V20" s="1573" t="s">
        <v>8</v>
      </c>
      <c r="W20" s="1574">
        <f>J20</f>
        <v>100</v>
      </c>
      <c r="X20" s="1567"/>
      <c r="Y20" s="3520"/>
      <c r="Z20" s="1575" t="str">
        <f>Q20</f>
        <v>自然及人文环境</v>
      </c>
      <c r="AA20" s="1576">
        <f t="shared" si="3"/>
        <v>1</v>
      </c>
      <c r="AB20" s="1576">
        <f t="shared" si="4"/>
        <v>1</v>
      </c>
      <c r="AC20" s="1576">
        <f t="shared" si="5"/>
        <v>1</v>
      </c>
    </row>
    <row r="21" spans="1:29" ht="15">
      <c r="A21" s="535"/>
      <c r="B21" s="597"/>
      <c r="C21" s="578"/>
      <c r="D21" s="558"/>
      <c r="E21" s="578"/>
      <c r="F21" s="560"/>
      <c r="G21" s="578"/>
      <c r="H21" s="558"/>
      <c r="I21" s="578"/>
      <c r="J21" s="558"/>
      <c r="K21" s="900"/>
      <c r="L21" s="2143"/>
      <c r="M21" s="2135"/>
      <c r="N21" s="2135"/>
      <c r="O21" s="2142"/>
      <c r="P21" s="3520"/>
      <c r="Q21" s="1572"/>
      <c r="R21" s="1573"/>
      <c r="S21" s="1574"/>
      <c r="T21" s="1573"/>
      <c r="U21" s="1574"/>
      <c r="V21" s="1573"/>
      <c r="W21" s="1574"/>
      <c r="X21" s="1567"/>
      <c r="Y21" s="3520"/>
      <c r="Z21" s="1575"/>
      <c r="AA21" s="1576">
        <v>1</v>
      </c>
      <c r="AB21" s="1576">
        <v>1</v>
      </c>
      <c r="AC21" s="1576">
        <v>1</v>
      </c>
    </row>
    <row r="22" spans="1:29" ht="15">
      <c r="A22" s="535"/>
      <c r="B22" s="873" t="s">
        <v>805</v>
      </c>
      <c r="C22" s="585"/>
      <c r="D22" s="562">
        <v>100</v>
      </c>
      <c r="E22" s="585"/>
      <c r="F22" s="577">
        <f>SUMIF(69:69,E22,70:70)-SUMIF(69:69,C22,70:70)+100</f>
        <v>100</v>
      </c>
      <c r="G22" s="585"/>
      <c r="H22" s="543">
        <f>SUMIF(69:69,G22,70:70)-SUMIF(69:69,C22,70:70)+100</f>
        <v>100</v>
      </c>
      <c r="I22" s="585"/>
      <c r="J22" s="543">
        <f>SUMIF(69:69,I22,70:70)-SUMIF(69:69,C22,70:70)+100</f>
        <v>100</v>
      </c>
      <c r="K22" s="586"/>
      <c r="L22" s="2143"/>
      <c r="M22" s="2135"/>
      <c r="N22" s="2135"/>
      <c r="O22" s="2142"/>
      <c r="P22" s="3520"/>
      <c r="Q22" s="1572" t="str">
        <f>B22</f>
        <v>楼层</v>
      </c>
      <c r="R22" s="1573" t="s">
        <v>8</v>
      </c>
      <c r="S22" s="1574">
        <f>F22</f>
        <v>100</v>
      </c>
      <c r="T22" s="1573" t="s">
        <v>8</v>
      </c>
      <c r="U22" s="1574">
        <f>H22</f>
        <v>100</v>
      </c>
      <c r="V22" s="1573" t="s">
        <v>8</v>
      </c>
      <c r="W22" s="1574">
        <f>J22</f>
        <v>100</v>
      </c>
      <c r="X22" s="1567"/>
      <c r="Y22" s="3520"/>
      <c r="Z22" s="1575" t="str">
        <f>Q22</f>
        <v>楼层</v>
      </c>
      <c r="AA22" s="1576">
        <f t="shared" si="3"/>
        <v>1</v>
      </c>
      <c r="AB22" s="1576">
        <f t="shared" si="4"/>
        <v>1</v>
      </c>
      <c r="AC22" s="1576">
        <f t="shared" si="5"/>
        <v>1</v>
      </c>
    </row>
    <row r="23" spans="1:29" ht="15">
      <c r="A23" s="518"/>
      <c r="B23" s="540">
        <v>111</v>
      </c>
      <c r="C23" s="531"/>
      <c r="D23" s="543">
        <v>100</v>
      </c>
      <c r="E23" s="542"/>
      <c r="F23" s="577">
        <f>SUMIF(71:71,E23,72:72)-SUMIF(71:71,C23,72:72)+100</f>
        <v>100</v>
      </c>
      <c r="G23" s="542"/>
      <c r="H23" s="543">
        <f>SUMIF(71:71,G23,72:72)-SUMIF(71:71,C23,72:72)+100</f>
        <v>100</v>
      </c>
      <c r="I23" s="542"/>
      <c r="J23" s="543">
        <f>SUMIF(71:71,I23,72:72)-SUMIF(71:71,C23,72:72)+100</f>
        <v>100</v>
      </c>
      <c r="K23" s="583"/>
      <c r="L23" s="2143"/>
      <c r="M23" s="2135"/>
      <c r="N23" s="2135"/>
      <c r="O23" s="2142"/>
      <c r="P23" s="3520"/>
      <c r="Q23" s="1572">
        <f>B23</f>
        <v>111</v>
      </c>
      <c r="R23" s="1573" t="s">
        <v>8</v>
      </c>
      <c r="S23" s="1574">
        <f>F23</f>
        <v>100</v>
      </c>
      <c r="T23" s="1573" t="s">
        <v>8</v>
      </c>
      <c r="U23" s="1574">
        <f>H23</f>
        <v>100</v>
      </c>
      <c r="V23" s="1573" t="s">
        <v>8</v>
      </c>
      <c r="W23" s="1574">
        <f>J23</f>
        <v>100</v>
      </c>
      <c r="X23" s="1567"/>
      <c r="Y23" s="3520"/>
      <c r="Z23" s="1575">
        <f>Q23</f>
        <v>111</v>
      </c>
      <c r="AA23" s="1576">
        <f t="shared" si="3"/>
        <v>1</v>
      </c>
      <c r="AB23" s="1576">
        <f t="shared" si="4"/>
        <v>1</v>
      </c>
      <c r="AC23" s="1576">
        <f t="shared" si="5"/>
        <v>1</v>
      </c>
    </row>
    <row r="24" spans="1:29" ht="15">
      <c r="A24" s="535"/>
      <c r="B24" s="540">
        <v>111</v>
      </c>
      <c r="C24" s="531"/>
      <c r="D24" s="543">
        <v>100</v>
      </c>
      <c r="E24" s="542"/>
      <c r="F24" s="577">
        <f>SUMIF(73:73,E24,74:74)-SUMIF(73:73,C24,74:74)+100</f>
        <v>100</v>
      </c>
      <c r="G24" s="542"/>
      <c r="H24" s="543">
        <f>SUMIF(73:73,G24,74:74)-SUMIF(73:73,C24,74:74)+100</f>
        <v>100</v>
      </c>
      <c r="I24" s="542"/>
      <c r="J24" s="543">
        <f>SUMIF(73:73,I24,74:74)-SUMIF(73:73,C24,74:74)+100</f>
        <v>100</v>
      </c>
      <c r="K24" s="583"/>
      <c r="L24" s="2143"/>
      <c r="M24" s="2135"/>
      <c r="N24" s="2135"/>
      <c r="O24" s="2142"/>
      <c r="P24" s="3520"/>
      <c r="Q24" s="1572">
        <f t="shared" ref="Q24:Q34" si="11">B24</f>
        <v>111</v>
      </c>
      <c r="R24" s="1573" t="s">
        <v>8</v>
      </c>
      <c r="S24" s="1574">
        <f>F24</f>
        <v>100</v>
      </c>
      <c r="T24" s="1573" t="s">
        <v>8</v>
      </c>
      <c r="U24" s="1574">
        <f>H24</f>
        <v>100</v>
      </c>
      <c r="V24" s="1573" t="s">
        <v>8</v>
      </c>
      <c r="W24" s="1574">
        <f>J24</f>
        <v>100</v>
      </c>
      <c r="X24" s="1567"/>
      <c r="Y24" s="3520"/>
      <c r="Z24" s="1575">
        <f>Q24</f>
        <v>111</v>
      </c>
      <c r="AA24" s="1576">
        <f t="shared" si="3"/>
        <v>1</v>
      </c>
      <c r="AB24" s="1576">
        <f t="shared" si="4"/>
        <v>1</v>
      </c>
      <c r="AC24" s="1576">
        <f t="shared" si="5"/>
        <v>1</v>
      </c>
    </row>
    <row r="25" spans="1:29" s="1220" customFormat="1" ht="15.75" thickBot="1">
      <c r="A25" s="539"/>
      <c r="B25" s="540">
        <v>111</v>
      </c>
      <c r="C25" s="941"/>
      <c r="D25" s="942">
        <v>100</v>
      </c>
      <c r="E25" s="941"/>
      <c r="F25" s="943">
        <f>SUMIF(75:75,E25,76:76)-SUMIF(75:75,C25,76:76)+100</f>
        <v>100</v>
      </c>
      <c r="G25" s="941"/>
      <c r="H25" s="942">
        <f>SUMIF(75:75,G25,76:76)-SUMIF(75:75,C25,76:76)+100</f>
        <v>100</v>
      </c>
      <c r="I25" s="941"/>
      <c r="J25" s="942">
        <f>SUMIF(75:75,I25,76:76)-SUMIF(75:75,C25,76:76)+100</f>
        <v>100</v>
      </c>
      <c r="K25" s="583"/>
      <c r="L25" s="2136"/>
      <c r="M25" s="2137"/>
      <c r="N25" s="2137"/>
      <c r="O25" s="2138"/>
      <c r="P25" s="3520"/>
      <c r="Q25" s="1151">
        <f t="shared" si="11"/>
        <v>111</v>
      </c>
      <c r="R25" s="1568" t="s">
        <v>8</v>
      </c>
      <c r="S25" s="1569">
        <f>F25</f>
        <v>100</v>
      </c>
      <c r="T25" s="1568" t="s">
        <v>8</v>
      </c>
      <c r="U25" s="1569">
        <f>H25</f>
        <v>100</v>
      </c>
      <c r="V25" s="1568" t="s">
        <v>8</v>
      </c>
      <c r="W25" s="1569">
        <f>J25</f>
        <v>100</v>
      </c>
      <c r="X25" s="1570"/>
      <c r="Y25" s="3520"/>
      <c r="Z25" s="1150">
        <f>Q25</f>
        <v>111</v>
      </c>
      <c r="AA25" s="1576">
        <f>D25/F25</f>
        <v>1</v>
      </c>
      <c r="AB25" s="1576">
        <f>D25/H25</f>
        <v>1</v>
      </c>
      <c r="AC25" s="1576">
        <f>D25/J25</f>
        <v>1</v>
      </c>
    </row>
    <row r="26" spans="1:29" ht="15">
      <c r="A26" s="2934" t="s">
        <v>2758</v>
      </c>
      <c r="B26" s="172" t="s">
        <v>808</v>
      </c>
      <c r="C26" s="917"/>
      <c r="D26" s="599">
        <v>100</v>
      </c>
      <c r="E26" s="917"/>
      <c r="F26" s="944">
        <f>SUMIF(77:77,E26,78:78)-SUMIF(77:77,C26,78:78)+100</f>
        <v>100</v>
      </c>
      <c r="G26" s="917"/>
      <c r="H26" s="599">
        <f>SUMIF(77:77,G26,78:78)-SUMIF(77:77,C26,78:78)+100</f>
        <v>100</v>
      </c>
      <c r="I26" s="917"/>
      <c r="J26" s="599">
        <f>SUMIF(77:77,I26,78:78)-SUMIF(77:77,C26,78:78)+100</f>
        <v>100</v>
      </c>
      <c r="K26" s="586"/>
      <c r="L26" s="2143"/>
      <c r="M26" s="2135"/>
      <c r="N26" s="2135"/>
      <c r="O26" s="2142"/>
      <c r="P26" s="3521"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522" t="s">
        <v>821</v>
      </c>
      <c r="Z26" s="1575" t="str">
        <f t="shared" ref="Z26:Z34" si="15">Q26</f>
        <v>公共部分装修</v>
      </c>
      <c r="AA26" s="1576">
        <f t="shared" si="3"/>
        <v>1</v>
      </c>
      <c r="AB26" s="1576">
        <f t="shared" si="4"/>
        <v>1</v>
      </c>
      <c r="AC26" s="1576">
        <f t="shared" si="5"/>
        <v>1</v>
      </c>
    </row>
    <row r="27" spans="1:29" s="1339" customFormat="1" ht="15">
      <c r="A27" s="605"/>
      <c r="B27" s="530" t="s">
        <v>809</v>
      </c>
      <c r="C27" s="884"/>
      <c r="D27" s="255">
        <v>100</v>
      </c>
      <c r="E27" s="885"/>
      <c r="F27" s="577" t="e">
        <f>LOOKUP(E27,80:80,81:81)-LOOKUP(C27,80:80,81:81)+100</f>
        <v>#N/A</v>
      </c>
      <c r="G27" s="886"/>
      <c r="H27" s="543" t="e">
        <f>LOOKUP(G27,80:80,81:81)-LOOKUP(C27,80:80,81:81)+100</f>
        <v>#N/A</v>
      </c>
      <c r="I27" s="886"/>
      <c r="J27" s="543" t="e">
        <f>LOOKUP(I27,80:80,81:81)-LOOKUP(C27,80:80,81:81)+100</f>
        <v>#N/A</v>
      </c>
      <c r="K27" s="586"/>
      <c r="L27" s="2141"/>
      <c r="M27" s="2172"/>
      <c r="N27" s="2172"/>
      <c r="O27" s="2144"/>
      <c r="P27" s="3522"/>
      <c r="Q27" s="1605" t="str">
        <f t="shared" si="11"/>
        <v>成新率</v>
      </c>
      <c r="R27" s="1577" t="s">
        <v>8</v>
      </c>
      <c r="S27" s="1578" t="e">
        <f t="shared" si="12"/>
        <v>#N/A</v>
      </c>
      <c r="T27" s="1577" t="s">
        <v>8</v>
      </c>
      <c r="U27" s="1578" t="e">
        <f t="shared" si="13"/>
        <v>#N/A</v>
      </c>
      <c r="V27" s="1577" t="s">
        <v>8</v>
      </c>
      <c r="W27" s="1578" t="e">
        <f t="shared" si="14"/>
        <v>#N/A</v>
      </c>
      <c r="X27" s="1579"/>
      <c r="Y27" s="3522"/>
      <c r="Z27" s="1580" t="str">
        <f t="shared" si="15"/>
        <v>成新率</v>
      </c>
      <c r="AA27" s="1576" t="e">
        <f t="shared" si="3"/>
        <v>#N/A</v>
      </c>
      <c r="AB27" s="1576" t="e">
        <f t="shared" si="4"/>
        <v>#N/A</v>
      </c>
      <c r="AC27" s="1576" t="e">
        <f t="shared" si="5"/>
        <v>#N/A</v>
      </c>
    </row>
    <row r="28" spans="1:29" ht="15">
      <c r="A28" s="596"/>
      <c r="B28" s="530" t="s">
        <v>810</v>
      </c>
      <c r="C28" s="576"/>
      <c r="D28" s="543">
        <v>100</v>
      </c>
      <c r="E28" s="576"/>
      <c r="F28" s="577">
        <f>SUMIF(82:82,E28,83:83)-SUMIF(82:82,C28,83:83)+100</f>
        <v>100</v>
      </c>
      <c r="G28" s="576"/>
      <c r="H28" s="543">
        <f>SUMIF(82:82,G28,83:83)-SUMIF(82:82,C28,83:83)+100</f>
        <v>100</v>
      </c>
      <c r="I28" s="576"/>
      <c r="J28" s="543">
        <f>SUMIF(82:82,I28,83:83)-SUMIF(82:82,C28,83:83)+100</f>
        <v>100</v>
      </c>
      <c r="K28" s="586"/>
      <c r="L28" s="2143"/>
      <c r="M28" s="2135"/>
      <c r="N28" s="2135"/>
      <c r="O28" s="2142"/>
      <c r="P28" s="3522"/>
      <c r="Q28" s="1572" t="str">
        <f t="shared" si="11"/>
        <v>物业等级</v>
      </c>
      <c r="R28" s="1573" t="s">
        <v>8</v>
      </c>
      <c r="S28" s="1574">
        <f t="shared" si="12"/>
        <v>100</v>
      </c>
      <c r="T28" s="1573" t="s">
        <v>8</v>
      </c>
      <c r="U28" s="1574">
        <f t="shared" si="13"/>
        <v>100</v>
      </c>
      <c r="V28" s="1573" t="s">
        <v>8</v>
      </c>
      <c r="W28" s="1574">
        <f t="shared" si="14"/>
        <v>100</v>
      </c>
      <c r="X28" s="1567"/>
      <c r="Y28" s="3522"/>
      <c r="Z28" s="1575" t="str">
        <f t="shared" si="15"/>
        <v>物业等级</v>
      </c>
      <c r="AA28" s="1576">
        <f t="shared" si="3"/>
        <v>1</v>
      </c>
      <c r="AB28" s="1576">
        <f t="shared" si="4"/>
        <v>1</v>
      </c>
      <c r="AC28" s="1576">
        <f t="shared" si="5"/>
        <v>1</v>
      </c>
    </row>
    <row r="29" spans="1:29" ht="15">
      <c r="A29" s="596"/>
      <c r="B29" s="530" t="s">
        <v>822</v>
      </c>
      <c r="C29" s="933"/>
      <c r="D29" s="543">
        <v>100</v>
      </c>
      <c r="E29" s="933"/>
      <c r="F29" s="577">
        <f>SUMIF(84:84,E29,85:85)-SUMIF(84:84,C29,85:85)+100</f>
        <v>100</v>
      </c>
      <c r="G29" s="933"/>
      <c r="H29" s="543">
        <f>SUMIF(84:84,G29,85:85)-SUMIF(84:84,C29,85:85)+100</f>
        <v>100</v>
      </c>
      <c r="I29" s="933"/>
      <c r="J29" s="543">
        <f>SUMIF(84:84,I29,85:85)-SUMIF(84:84,C29,85:85)+100</f>
        <v>100</v>
      </c>
      <c r="K29" s="586"/>
      <c r="L29" s="2143"/>
      <c r="M29" s="2135"/>
      <c r="N29" s="2135"/>
      <c r="O29" s="2142"/>
      <c r="P29" s="3522"/>
      <c r="Q29" s="1572" t="str">
        <f t="shared" si="11"/>
        <v>有无电梯</v>
      </c>
      <c r="R29" s="1573" t="s">
        <v>8</v>
      </c>
      <c r="S29" s="1574">
        <f t="shared" si="12"/>
        <v>100</v>
      </c>
      <c r="T29" s="1573" t="s">
        <v>8</v>
      </c>
      <c r="U29" s="1574">
        <f t="shared" si="13"/>
        <v>100</v>
      </c>
      <c r="V29" s="1573" t="s">
        <v>8</v>
      </c>
      <c r="W29" s="1574">
        <f t="shared" si="14"/>
        <v>100</v>
      </c>
      <c r="X29" s="1567"/>
      <c r="Y29" s="3522"/>
      <c r="Z29" s="1575" t="str">
        <f t="shared" si="15"/>
        <v>有无电梯</v>
      </c>
      <c r="AA29" s="1576">
        <f t="shared" si="3"/>
        <v>1</v>
      </c>
      <c r="AB29" s="1576">
        <f t="shared" si="4"/>
        <v>1</v>
      </c>
      <c r="AC29" s="1576">
        <f t="shared" si="5"/>
        <v>1</v>
      </c>
    </row>
    <row r="30" spans="1:29" ht="15">
      <c r="A30" s="596"/>
      <c r="B30" s="530" t="s">
        <v>823</v>
      </c>
      <c r="C30" s="881"/>
      <c r="D30" s="543">
        <v>100</v>
      </c>
      <c r="E30" s="881"/>
      <c r="F30" s="577" t="e">
        <f>LOOKUP(E30,87:87,88:88)-LOOKUP(C30,87:87,88:88)+100</f>
        <v>#N/A</v>
      </c>
      <c r="G30" s="881"/>
      <c r="H30" s="543" t="e">
        <f>LOOKUP(G30,87:87,88:88)-LOOKUP(C30,87:87,88:88)+100</f>
        <v>#N/A</v>
      </c>
      <c r="I30" s="881"/>
      <c r="J30" s="543" t="e">
        <f>LOOKUP(I30,87:87,88:88)-LOOKUP(C30,87:87,88:88)+100</f>
        <v>#N/A</v>
      </c>
      <c r="K30" s="583"/>
      <c r="L30" s="2143"/>
      <c r="M30" s="2135"/>
      <c r="N30" s="2135"/>
      <c r="O30" s="2142"/>
      <c r="P30" s="3522"/>
      <c r="Q30" s="1572" t="str">
        <f t="shared" si="11"/>
        <v>建筑面积</v>
      </c>
      <c r="R30" s="1573" t="s">
        <v>8</v>
      </c>
      <c r="S30" s="1574" t="e">
        <f t="shared" si="12"/>
        <v>#N/A</v>
      </c>
      <c r="T30" s="1573" t="s">
        <v>8</v>
      </c>
      <c r="U30" s="1574" t="e">
        <f t="shared" si="13"/>
        <v>#N/A</v>
      </c>
      <c r="V30" s="1573" t="s">
        <v>8</v>
      </c>
      <c r="W30" s="1574" t="e">
        <f t="shared" si="14"/>
        <v>#N/A</v>
      </c>
      <c r="X30" s="1567"/>
      <c r="Y30" s="3522"/>
      <c r="Z30" s="1575" t="str">
        <f t="shared" si="15"/>
        <v>建筑面积</v>
      </c>
      <c r="AA30" s="1576" t="e">
        <f t="shared" si="3"/>
        <v>#N/A</v>
      </c>
      <c r="AB30" s="1576" t="e">
        <f t="shared" si="4"/>
        <v>#N/A</v>
      </c>
      <c r="AC30" s="1576" t="e">
        <f t="shared" si="5"/>
        <v>#N/A</v>
      </c>
    </row>
    <row r="31" spans="1:29" s="1220" customFormat="1" ht="15">
      <c r="A31" s="602"/>
      <c r="B31" s="530" t="s">
        <v>824</v>
      </c>
      <c r="C31" s="933"/>
      <c r="D31" s="255">
        <v>100</v>
      </c>
      <c r="E31" s="933"/>
      <c r="F31" s="577">
        <f>SUMIF(89:89,E31,90:90)-SUMIF(89:89,C31,90:90)+100</f>
        <v>100</v>
      </c>
      <c r="G31" s="933"/>
      <c r="H31" s="543">
        <f>SUMIF(89:89,G31,90:90)-SUMIF(89:89,C31,90:90)+100</f>
        <v>100</v>
      </c>
      <c r="I31" s="933"/>
      <c r="J31" s="543">
        <f>SUMIF(89:89,I31,90:90)-SUMIF(89:89,C31,90:90)+100</f>
        <v>100</v>
      </c>
      <c r="K31" s="586"/>
      <c r="L31" s="2136"/>
      <c r="M31" s="2137"/>
      <c r="N31" s="2137"/>
      <c r="O31" s="2138"/>
      <c r="P31" s="3522"/>
      <c r="Q31" s="1151" t="str">
        <f t="shared" si="11"/>
        <v>是否封闭</v>
      </c>
      <c r="R31" s="1568" t="s">
        <v>8</v>
      </c>
      <c r="S31" s="1569">
        <f t="shared" si="12"/>
        <v>100</v>
      </c>
      <c r="T31" s="1568" t="s">
        <v>8</v>
      </c>
      <c r="U31" s="1569">
        <f t="shared" si="13"/>
        <v>100</v>
      </c>
      <c r="V31" s="1568" t="s">
        <v>8</v>
      </c>
      <c r="W31" s="1569">
        <f t="shared" si="14"/>
        <v>100</v>
      </c>
      <c r="X31" s="1570"/>
      <c r="Y31" s="3522"/>
      <c r="Z31" s="1150" t="str">
        <f t="shared" si="15"/>
        <v>是否封闭</v>
      </c>
      <c r="AA31" s="1571">
        <f t="shared" si="3"/>
        <v>1</v>
      </c>
      <c r="AB31" s="1571">
        <f t="shared" si="4"/>
        <v>1</v>
      </c>
      <c r="AC31" s="1571">
        <f t="shared" si="5"/>
        <v>1</v>
      </c>
    </row>
    <row r="32" spans="1:29" ht="15">
      <c r="A32" s="596"/>
      <c r="B32" s="540">
        <v>111</v>
      </c>
      <c r="C32" s="531"/>
      <c r="D32" s="543">
        <v>100</v>
      </c>
      <c r="E32" s="881"/>
      <c r="F32" s="577">
        <f>SUMIF(91:91,E32,92:92)-SUMIF(91:91,C32,92:92)+100</f>
        <v>100</v>
      </c>
      <c r="G32" s="881"/>
      <c r="H32" s="543">
        <f>SUMIF(91:91,G32,92:92)-SUMIF(91:91,C32,92:92)+100</f>
        <v>100</v>
      </c>
      <c r="I32" s="881"/>
      <c r="J32" s="543">
        <f>SUMIF(91:91,I32,92:92)-SUMIF(91:91,C32,92:92)+100</f>
        <v>100</v>
      </c>
      <c r="K32" s="583"/>
      <c r="L32" s="2143"/>
      <c r="M32" s="2135"/>
      <c r="N32" s="2135"/>
      <c r="O32" s="2142"/>
      <c r="P32" s="3522" t="s">
        <v>551</v>
      </c>
      <c r="Q32" s="1572">
        <f t="shared" si="11"/>
        <v>111</v>
      </c>
      <c r="R32" s="1573" t="s">
        <v>8</v>
      </c>
      <c r="S32" s="1574">
        <f t="shared" si="12"/>
        <v>100</v>
      </c>
      <c r="T32" s="1573" t="s">
        <v>8</v>
      </c>
      <c r="U32" s="1574">
        <f t="shared" si="13"/>
        <v>100</v>
      </c>
      <c r="V32" s="1573" t="s">
        <v>8</v>
      </c>
      <c r="W32" s="1574">
        <f t="shared" si="14"/>
        <v>100</v>
      </c>
      <c r="X32" s="1567"/>
      <c r="Y32" s="3522" t="s">
        <v>551</v>
      </c>
      <c r="Z32" s="1575">
        <f t="shared" si="15"/>
        <v>111</v>
      </c>
      <c r="AA32" s="1576">
        <f t="shared" si="3"/>
        <v>1</v>
      </c>
      <c r="AB32" s="1576">
        <f t="shared" si="4"/>
        <v>1</v>
      </c>
      <c r="AC32" s="1576">
        <f t="shared" si="5"/>
        <v>1</v>
      </c>
    </row>
    <row r="33" spans="1:29" ht="15">
      <c r="A33" s="596"/>
      <c r="B33" s="540">
        <v>111</v>
      </c>
      <c r="C33" s="531"/>
      <c r="D33" s="543">
        <v>100</v>
      </c>
      <c r="E33" s="881"/>
      <c r="F33" s="577">
        <f>SUMIF(93:93,E33,94:94)-SUMIF(93:93,C33,94:94)+100</f>
        <v>100</v>
      </c>
      <c r="G33" s="881"/>
      <c r="H33" s="543">
        <f>SUMIF(93:93,G33,94:94)-SUMIF(93:93,C33,94:94)+100</f>
        <v>100</v>
      </c>
      <c r="I33" s="881"/>
      <c r="J33" s="543">
        <f>SUMIF(93:93,I33,94:94)-SUMIF(93:93,C33,94:94)+100</f>
        <v>100</v>
      </c>
      <c r="K33" s="583"/>
      <c r="L33" s="2143"/>
      <c r="M33" s="2135"/>
      <c r="N33" s="2135"/>
      <c r="O33" s="2142"/>
      <c r="P33" s="3522"/>
      <c r="Q33" s="1572">
        <f t="shared" si="11"/>
        <v>111</v>
      </c>
      <c r="R33" s="1573" t="s">
        <v>8</v>
      </c>
      <c r="S33" s="1574">
        <f t="shared" si="12"/>
        <v>100</v>
      </c>
      <c r="T33" s="1573" t="s">
        <v>8</v>
      </c>
      <c r="U33" s="1574">
        <f t="shared" si="13"/>
        <v>100</v>
      </c>
      <c r="V33" s="1573" t="s">
        <v>8</v>
      </c>
      <c r="W33" s="1574">
        <f t="shared" si="14"/>
        <v>100</v>
      </c>
      <c r="X33" s="1567"/>
      <c r="Y33" s="3522"/>
      <c r="Z33" s="1575">
        <f t="shared" si="15"/>
        <v>111</v>
      </c>
      <c r="AA33" s="1576">
        <f t="shared" si="3"/>
        <v>1</v>
      </c>
      <c r="AB33" s="1576">
        <f t="shared" si="4"/>
        <v>1</v>
      </c>
      <c r="AC33" s="1576">
        <f t="shared" si="5"/>
        <v>1</v>
      </c>
    </row>
    <row r="34" spans="1:29" ht="15.75" thickBot="1">
      <c r="A34" s="887"/>
      <c r="B34" s="547">
        <v>111</v>
      </c>
      <c r="C34" s="548"/>
      <c r="D34" s="549">
        <v>100</v>
      </c>
      <c r="E34" s="945"/>
      <c r="F34" s="868">
        <f>SUMIF(95:95,E34,96:96)-SUMIF(95:95,C34,96:96)+100</f>
        <v>100</v>
      </c>
      <c r="G34" s="945"/>
      <c r="H34" s="549">
        <f>SUMIF(95:95,G34,96:96)-SUMIF(95:95,C34,96:96)+100</f>
        <v>100</v>
      </c>
      <c r="I34" s="945"/>
      <c r="J34" s="549">
        <f>SUMIF(95:95,I34,96:96)-SUMIF(95:95,C34,96:96)+100</f>
        <v>100</v>
      </c>
      <c r="K34" s="583"/>
      <c r="L34" s="2143"/>
      <c r="M34" s="2135"/>
      <c r="N34" s="2135"/>
      <c r="O34" s="2142"/>
      <c r="P34" s="3522"/>
      <c r="Q34" s="1572">
        <f t="shared" si="11"/>
        <v>111</v>
      </c>
      <c r="R34" s="1573" t="s">
        <v>8</v>
      </c>
      <c r="S34" s="1574">
        <f t="shared" si="12"/>
        <v>100</v>
      </c>
      <c r="T34" s="1573" t="s">
        <v>8</v>
      </c>
      <c r="U34" s="1574">
        <f t="shared" si="13"/>
        <v>100</v>
      </c>
      <c r="V34" s="1573" t="s">
        <v>8</v>
      </c>
      <c r="W34" s="1574">
        <f t="shared" si="14"/>
        <v>100</v>
      </c>
      <c r="X34" s="1567"/>
      <c r="Y34" s="3522"/>
      <c r="Z34" s="1575">
        <f t="shared" si="15"/>
        <v>111</v>
      </c>
      <c r="AA34" s="1576">
        <f t="shared" si="3"/>
        <v>1</v>
      </c>
      <c r="AB34" s="1576">
        <f t="shared" si="4"/>
        <v>1</v>
      </c>
      <c r="AC34" s="1576">
        <f t="shared" si="5"/>
        <v>1</v>
      </c>
    </row>
    <row r="35" spans="1:29" ht="15">
      <c r="A35" s="609" t="s">
        <v>736</v>
      </c>
      <c r="B35" s="888"/>
      <c r="C35" s="2652" t="s">
        <v>1</v>
      </c>
      <c r="D35" s="2653"/>
      <c r="E35" s="2654"/>
      <c r="F35" s="2655"/>
      <c r="G35" s="2656"/>
      <c r="H35" s="2657"/>
      <c r="I35" s="2654"/>
      <c r="J35" s="2657"/>
      <c r="K35" s="1611"/>
      <c r="L35" s="2145"/>
      <c r="M35" s="2146"/>
      <c r="N35" s="2135"/>
      <c r="O35" s="2146"/>
      <c r="P35" s="3517" t="str">
        <f>A35</f>
        <v>成交单价（元/平方米）</v>
      </c>
      <c r="Q35" s="3517"/>
      <c r="R35" s="3621">
        <f>E35</f>
        <v>0</v>
      </c>
      <c r="S35" s="3621"/>
      <c r="T35" s="3621">
        <f>G35</f>
        <v>0</v>
      </c>
      <c r="U35" s="3621"/>
      <c r="V35" s="3621">
        <f>I35</f>
        <v>0</v>
      </c>
      <c r="W35" s="3621"/>
      <c r="X35" s="1559"/>
      <c r="Y35" s="1581"/>
      <c r="Z35" s="1559"/>
      <c r="AA35" s="1559"/>
      <c r="AB35" s="1559"/>
      <c r="AC35" s="1559"/>
    </row>
    <row r="36" spans="1:29" ht="15.75" thickBot="1">
      <c r="A36" s="617" t="s">
        <v>2763</v>
      </c>
      <c r="B36" s="889"/>
      <c r="C36" s="2658" t="e">
        <f>R37</f>
        <v>#DIV/0!</v>
      </c>
      <c r="D36" s="2659"/>
      <c r="E36" s="2660" t="e">
        <f>R36</f>
        <v>#DIV/0!</v>
      </c>
      <c r="F36" s="2660"/>
      <c r="G36" s="2658" t="e">
        <f>T36</f>
        <v>#DIV/0!</v>
      </c>
      <c r="H36" s="2659"/>
      <c r="I36" s="2660" t="e">
        <f>V36</f>
        <v>#DIV/0!</v>
      </c>
      <c r="J36" s="2659"/>
      <c r="K36" s="1612"/>
      <c r="L36" s="2145"/>
      <c r="M36" s="2146"/>
      <c r="N36" s="2135"/>
      <c r="O36" s="2146"/>
      <c r="P36" s="3517" t="str">
        <f>A36</f>
        <v>比较价格（元/平方米）</v>
      </c>
      <c r="Q36" s="3517"/>
      <c r="R36" s="3621" t="e">
        <f>IF(F1="售价",ROUND(PRODUCT(R35,AA7:AA34),0),ROUND(PRODUCT(R35,AA7:AA34),1))</f>
        <v>#DIV/0!</v>
      </c>
      <c r="S36" s="3621"/>
      <c r="T36" s="3621" t="e">
        <f>IF(F1="售价",ROUND(PRODUCT(T35,AB7:AB34),0),ROUND(PRODUCT(T35,AB7:AB34),1))</f>
        <v>#DIV/0!</v>
      </c>
      <c r="U36" s="3621"/>
      <c r="V36" s="3621" t="e">
        <f>IF(F1="售价",ROUND(PRODUCT(V35,AC7:AC34),0),ROUND(PRODUCT(V35,AC7:AC34),1))</f>
        <v>#DIV/0!</v>
      </c>
      <c r="W36" s="3621"/>
      <c r="X36" s="1559"/>
      <c r="Y36" s="1559"/>
      <c r="Z36" s="1559"/>
      <c r="AA36" s="1559"/>
      <c r="AB36" s="1559"/>
      <c r="AC36" s="1559"/>
    </row>
    <row r="37" spans="1:29" ht="15.75" thickBot="1">
      <c r="A37" s="623" t="s">
        <v>2930</v>
      </c>
      <c r="B37" s="624"/>
      <c r="C37" s="2661" t="e">
        <f>R37</f>
        <v>#DIV/0!</v>
      </c>
      <c r="D37" s="2661"/>
      <c r="E37" s="2661"/>
      <c r="F37" s="2661"/>
      <c r="G37" s="2661"/>
      <c r="H37" s="2661"/>
      <c r="I37" s="2661"/>
      <c r="J37" s="2661"/>
      <c r="K37" s="1613"/>
      <c r="L37" s="2145"/>
      <c r="M37" s="2146"/>
      <c r="N37" s="2146"/>
      <c r="O37" s="2146"/>
      <c r="P37" s="3539" t="str">
        <f>A37</f>
        <v>估价对象XX用房的比较价格（楼面单价，元/平方米）</v>
      </c>
      <c r="Q37" s="3540"/>
      <c r="R37" s="3622" t="e">
        <f>IF(F1="售价",ROUND(AVERAGE(R36:V36),0),ROUND(AVERAGE(R36:V36),1))</f>
        <v>#DIV/0!</v>
      </c>
      <c r="S37" s="3622"/>
      <c r="T37" s="3622"/>
      <c r="U37" s="3622"/>
      <c r="V37" s="3622"/>
      <c r="W37" s="3622"/>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575</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7" t="s">
        <v>530</v>
      </c>
      <c r="B46" s="648"/>
      <c r="C46" s="2829" t="str">
        <f>YEAR(C7)&amp;"-"&amp;MONTH(C7)</f>
        <v>2017-11</v>
      </c>
      <c r="D46" s="2831">
        <f>EDATE(C46,-1)</f>
        <v>43009</v>
      </c>
      <c r="E46" s="2831">
        <f t="shared" ref="E46:O46" si="16">EDATE(D46,-1)</f>
        <v>42979</v>
      </c>
      <c r="F46" s="2831">
        <f t="shared" si="16"/>
        <v>42948</v>
      </c>
      <c r="G46" s="2831">
        <f t="shared" si="16"/>
        <v>42917</v>
      </c>
      <c r="H46" s="2831">
        <f t="shared" si="16"/>
        <v>42887</v>
      </c>
      <c r="I46" s="2831">
        <f t="shared" si="16"/>
        <v>42856</v>
      </c>
      <c r="J46" s="2831">
        <f t="shared" si="16"/>
        <v>42826</v>
      </c>
      <c r="K46" s="2831">
        <f t="shared" si="16"/>
        <v>42795</v>
      </c>
      <c r="L46" s="2831">
        <f t="shared" si="16"/>
        <v>42767</v>
      </c>
      <c r="M46" s="2831">
        <f t="shared" si="16"/>
        <v>42736</v>
      </c>
      <c r="N46" s="2831">
        <f t="shared" si="16"/>
        <v>42705</v>
      </c>
      <c r="O46" s="2831">
        <f t="shared" si="16"/>
        <v>42675</v>
      </c>
      <c r="P46" s="2161"/>
      <c r="Q46" s="2162"/>
      <c r="R46" s="2162"/>
      <c r="S46" s="2162"/>
      <c r="T46" s="2162"/>
      <c r="U46" s="2162"/>
      <c r="V46" s="2162"/>
      <c r="W46" s="2162"/>
      <c r="X46" s="2162"/>
      <c r="Y46" s="2162"/>
      <c r="Z46" s="2162"/>
      <c r="AA46" s="2162"/>
      <c r="AB46" s="2162"/>
      <c r="AC46" s="2162"/>
    </row>
    <row r="47" spans="1:29" s="1220" customFormat="1" ht="15">
      <c r="A47" s="649"/>
      <c r="B47" s="650"/>
      <c r="C47" s="651">
        <v>100</v>
      </c>
      <c r="D47" s="652"/>
      <c r="E47" s="652"/>
      <c r="F47" s="652"/>
      <c r="G47" s="652"/>
      <c r="H47" s="652"/>
      <c r="I47" s="652"/>
      <c r="J47" s="652"/>
      <c r="K47" s="652"/>
      <c r="L47" s="652"/>
      <c r="M47" s="653"/>
      <c r="N47" s="652"/>
      <c r="O47" s="654"/>
      <c r="P47" s="2159"/>
      <c r="Q47" s="1994"/>
      <c r="R47" s="1994"/>
      <c r="S47" s="1994"/>
      <c r="T47" s="1994"/>
      <c r="U47" s="1994"/>
      <c r="V47" s="1994"/>
      <c r="W47" s="1994"/>
      <c r="X47" s="1994"/>
      <c r="Y47" s="1994"/>
      <c r="Z47" s="1994"/>
      <c r="AA47" s="1994"/>
      <c r="AB47" s="1994"/>
      <c r="AC47" s="1994"/>
    </row>
    <row r="48" spans="1:29" s="1220" customFormat="1" ht="15.75" thickBot="1">
      <c r="A48" s="655" t="s">
        <v>576</v>
      </c>
      <c r="B48" s="656"/>
      <c r="C48" s="657"/>
      <c r="D48" s="658"/>
      <c r="E48" s="658"/>
      <c r="F48" s="658"/>
      <c r="G48" s="658"/>
      <c r="H48" s="658"/>
      <c r="I48" s="658"/>
      <c r="J48" s="658"/>
      <c r="K48" s="658"/>
      <c r="L48" s="658"/>
      <c r="M48" s="659"/>
      <c r="N48" s="658"/>
      <c r="O48" s="660"/>
      <c r="P48" s="2159"/>
      <c r="Q48" s="2159"/>
      <c r="R48" s="1994"/>
      <c r="S48" s="1994"/>
      <c r="T48" s="1994"/>
      <c r="U48" s="1994"/>
      <c r="V48" s="1994"/>
      <c r="W48" s="1994"/>
      <c r="X48" s="1994"/>
      <c r="Y48" s="1994"/>
      <c r="Z48" s="1994"/>
      <c r="AA48" s="1994"/>
      <c r="AB48" s="1994"/>
      <c r="AC48" s="1994"/>
    </row>
    <row r="49" spans="1:29" s="1220" customFormat="1" ht="15">
      <c r="A49" s="661" t="s">
        <v>532</v>
      </c>
      <c r="B49" s="650"/>
      <c r="C49" s="662" t="s">
        <v>577</v>
      </c>
      <c r="D49" s="663"/>
      <c r="E49" s="663"/>
      <c r="F49" s="663"/>
      <c r="G49" s="663"/>
      <c r="H49" s="663"/>
      <c r="I49" s="663"/>
      <c r="J49" s="663"/>
      <c r="K49" s="663"/>
      <c r="L49" s="664"/>
      <c r="M49" s="665"/>
      <c r="N49" s="2163"/>
      <c r="O49" s="2163"/>
      <c r="P49" s="2164"/>
      <c r="Q49" s="2159"/>
      <c r="R49" s="1994"/>
      <c r="S49" s="1994"/>
      <c r="T49" s="1994"/>
      <c r="U49" s="1994"/>
      <c r="V49" s="1994"/>
      <c r="W49" s="1994"/>
      <c r="X49" s="1994"/>
      <c r="Y49" s="1994"/>
      <c r="Z49" s="1994"/>
      <c r="AA49" s="1994"/>
      <c r="AB49" s="1994"/>
      <c r="AC49" s="1994"/>
    </row>
    <row r="50" spans="1:29" s="1220" customFormat="1" ht="15.75" thickBot="1">
      <c r="A50" s="661"/>
      <c r="B50" s="650"/>
      <c r="C50" s="651">
        <v>100</v>
      </c>
      <c r="D50" s="652"/>
      <c r="E50" s="652"/>
      <c r="F50" s="652"/>
      <c r="G50" s="652"/>
      <c r="H50" s="652"/>
      <c r="I50" s="652"/>
      <c r="J50" s="652"/>
      <c r="K50" s="652"/>
      <c r="L50" s="652"/>
      <c r="M50" s="654"/>
      <c r="N50" s="2163"/>
      <c r="O50" s="2163"/>
      <c r="P50" s="2159"/>
      <c r="Q50" s="2159"/>
      <c r="R50" s="1994"/>
      <c r="S50" s="1994"/>
      <c r="T50" s="1994"/>
      <c r="U50" s="1994"/>
      <c r="V50" s="1994"/>
      <c r="W50" s="1994"/>
      <c r="X50" s="1994"/>
      <c r="Y50" s="1994"/>
      <c r="Z50" s="1994"/>
      <c r="AA50" s="1994"/>
      <c r="AB50" s="1994"/>
      <c r="AC50" s="1994"/>
    </row>
    <row r="51" spans="1:29">
      <c r="A51" s="666" t="s">
        <v>578</v>
      </c>
      <c r="B51" s="667" t="s">
        <v>535</v>
      </c>
      <c r="C51" s="706">
        <f>C9</f>
        <v>0</v>
      </c>
      <c r="D51" s="600"/>
      <c r="E51" s="600"/>
      <c r="F51" s="600"/>
      <c r="G51" s="600"/>
      <c r="H51" s="600"/>
      <c r="I51" s="600"/>
      <c r="J51" s="600"/>
      <c r="K51" s="668"/>
      <c r="L51" s="669"/>
      <c r="M51" s="670"/>
      <c r="N51" s="2165"/>
      <c r="O51" s="2165"/>
      <c r="P51" s="2166"/>
      <c r="Q51" s="2159"/>
      <c r="R51" s="2146"/>
      <c r="S51" s="2146"/>
      <c r="T51" s="2146"/>
      <c r="U51" s="2146"/>
      <c r="V51" s="2146"/>
      <c r="W51" s="2146"/>
      <c r="X51" s="2146"/>
      <c r="Y51" s="2146"/>
      <c r="Z51" s="2146"/>
      <c r="AA51" s="2146"/>
      <c r="AB51" s="2146"/>
      <c r="AC51" s="2146"/>
    </row>
    <row r="52" spans="1:29" ht="15.75" thickBot="1">
      <c r="A52" s="671"/>
      <c r="B52" s="672"/>
      <c r="C52" s="673">
        <v>100</v>
      </c>
      <c r="D52" s="673"/>
      <c r="E52" s="673"/>
      <c r="F52" s="673"/>
      <c r="G52" s="673"/>
      <c r="H52" s="673"/>
      <c r="I52" s="673"/>
      <c r="J52" s="673"/>
      <c r="K52" s="673"/>
      <c r="L52" s="673"/>
      <c r="M52" s="674"/>
      <c r="N52" s="2167"/>
      <c r="O52" s="2167"/>
      <c r="P52" s="2166"/>
      <c r="Q52" s="2159"/>
      <c r="R52" s="2146"/>
      <c r="S52" s="2146"/>
      <c r="T52" s="2146"/>
      <c r="U52" s="2146"/>
      <c r="V52" s="2146"/>
      <c r="W52" s="2146"/>
      <c r="X52" s="2146"/>
      <c r="Y52" s="2146"/>
      <c r="Z52" s="2146"/>
      <c r="AA52" s="2146"/>
      <c r="AB52" s="2146"/>
      <c r="AC52" s="2146"/>
    </row>
    <row r="53" spans="1:29" ht="27.75" thickTop="1">
      <c r="A53" s="671"/>
      <c r="B53" s="675" t="s">
        <v>538</v>
      </c>
      <c r="C53" s="676" t="s">
        <v>737</v>
      </c>
      <c r="D53" s="676" t="s">
        <v>738</v>
      </c>
      <c r="E53" s="676" t="s">
        <v>739</v>
      </c>
      <c r="F53" s="676" t="s">
        <v>740</v>
      </c>
      <c r="G53" s="676" t="s">
        <v>741</v>
      </c>
      <c r="H53" s="676" t="s">
        <v>742</v>
      </c>
      <c r="I53" s="676" t="s">
        <v>743</v>
      </c>
      <c r="J53" s="676"/>
      <c r="K53" s="677"/>
      <c r="L53" s="678"/>
      <c r="M53" s="679"/>
      <c r="N53" s="2165"/>
      <c r="O53" s="2165"/>
      <c r="P53" s="2166"/>
      <c r="Q53" s="2159"/>
      <c r="R53" s="2146"/>
      <c r="S53" s="2146"/>
      <c r="T53" s="2146"/>
      <c r="U53" s="2146"/>
      <c r="V53" s="2146"/>
      <c r="W53" s="2146"/>
      <c r="X53" s="2146"/>
      <c r="Y53" s="2146"/>
      <c r="Z53" s="2146"/>
      <c r="AA53" s="2146"/>
      <c r="AB53" s="2146"/>
      <c r="AC53" s="2146"/>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67"/>
      <c r="O54" s="2167"/>
      <c r="P54" s="2166"/>
      <c r="Q54" s="2159"/>
      <c r="R54" s="2146"/>
      <c r="S54" s="2146"/>
      <c r="T54" s="2146"/>
      <c r="U54" s="2146"/>
      <c r="V54" s="2146"/>
      <c r="W54" s="2146"/>
      <c r="X54" s="2146"/>
      <c r="Y54" s="2146"/>
      <c r="Z54" s="2146"/>
      <c r="AA54" s="2146"/>
      <c r="AB54" s="2146"/>
      <c r="AC54" s="2146"/>
    </row>
    <row r="55" spans="1:29" ht="15.75" thickTop="1">
      <c r="A55" s="671"/>
      <c r="B55" s="936">
        <f>B11</f>
        <v>111</v>
      </c>
      <c r="C55" s="544"/>
      <c r="D55" s="544"/>
      <c r="E55" s="544"/>
      <c r="F55" s="544"/>
      <c r="G55" s="544"/>
      <c r="H55" s="544"/>
      <c r="I55" s="544"/>
      <c r="J55" s="544"/>
      <c r="K55" s="686"/>
      <c r="L55" s="687"/>
      <c r="M55" s="688"/>
      <c r="N55" s="2165"/>
      <c r="O55" s="2165"/>
      <c r="P55" s="2166"/>
      <c r="Q55" s="2159"/>
      <c r="R55" s="2146"/>
      <c r="S55" s="2146"/>
      <c r="T55" s="2146"/>
      <c r="U55" s="2146"/>
      <c r="V55" s="2146"/>
      <c r="W55" s="2146"/>
      <c r="X55" s="2146"/>
      <c r="Y55" s="2146"/>
      <c r="Z55" s="2146"/>
      <c r="AA55" s="2146"/>
      <c r="AB55" s="2146"/>
      <c r="AC55" s="2146"/>
    </row>
    <row r="56" spans="1:29" ht="15.75" thickBot="1">
      <c r="A56" s="671"/>
      <c r="B56" s="672"/>
      <c r="C56" s="694"/>
      <c r="D56" s="673"/>
      <c r="E56" s="673"/>
      <c r="F56" s="673"/>
      <c r="G56" s="673"/>
      <c r="H56" s="673"/>
      <c r="I56" s="673"/>
      <c r="J56" s="673"/>
      <c r="K56" s="673"/>
      <c r="L56" s="673"/>
      <c r="M56" s="674"/>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9"/>
      <c r="B57" s="675">
        <f>B12</f>
        <v>111</v>
      </c>
      <c r="C57" s="544"/>
      <c r="D57" s="544"/>
      <c r="E57" s="544"/>
      <c r="F57" s="544"/>
      <c r="G57" s="690"/>
      <c r="H57" s="691"/>
      <c r="I57" s="691"/>
      <c r="J57" s="691"/>
      <c r="K57" s="691"/>
      <c r="L57" s="692"/>
      <c r="M57" s="693"/>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9"/>
      <c r="B58" s="680"/>
      <c r="C58" s="694"/>
      <c r="D58" s="673"/>
      <c r="E58" s="673"/>
      <c r="F58" s="673"/>
      <c r="G58" s="673"/>
      <c r="H58" s="673"/>
      <c r="I58" s="673"/>
      <c r="J58" s="673"/>
      <c r="K58" s="673"/>
      <c r="L58" s="673"/>
      <c r="M58" s="674"/>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9"/>
      <c r="B59" s="675">
        <f>B13</f>
        <v>111</v>
      </c>
      <c r="C59" s="544"/>
      <c r="D59" s="544"/>
      <c r="E59" s="544"/>
      <c r="F59" s="544"/>
      <c r="G59" s="690"/>
      <c r="H59" s="691"/>
      <c r="I59" s="691"/>
      <c r="J59" s="691"/>
      <c r="K59" s="691"/>
      <c r="L59" s="692"/>
      <c r="M59" s="693"/>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9"/>
      <c r="B60" s="680"/>
      <c r="C60" s="694"/>
      <c r="D60" s="694"/>
      <c r="E60" s="694"/>
      <c r="F60" s="694"/>
      <c r="G60" s="694"/>
      <c r="H60" s="695"/>
      <c r="I60" s="695"/>
      <c r="J60" s="695"/>
      <c r="K60" s="695"/>
      <c r="L60" s="695"/>
      <c r="M60" s="696"/>
      <c r="N60" s="2168"/>
      <c r="O60" s="2168"/>
      <c r="P60" s="2169"/>
      <c r="Q60" s="2170"/>
      <c r="R60" s="2171"/>
      <c r="S60" s="2171"/>
      <c r="T60" s="2171"/>
      <c r="U60" s="2171"/>
      <c r="V60" s="2171"/>
      <c r="W60" s="2171"/>
      <c r="X60" s="2171"/>
      <c r="Y60" s="2171"/>
      <c r="Z60" s="2171"/>
      <c r="AA60" s="2171"/>
      <c r="AB60" s="2171"/>
      <c r="AC60" s="2171"/>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65"/>
      <c r="O61" s="2165"/>
      <c r="P61" s="2175"/>
      <c r="Q61" s="2159"/>
      <c r="R61" s="2146"/>
      <c r="S61" s="2146"/>
      <c r="T61" s="2146"/>
      <c r="U61" s="2146"/>
      <c r="V61" s="2146"/>
      <c r="W61" s="2146"/>
      <c r="X61" s="2146"/>
      <c r="Y61" s="2146"/>
      <c r="Z61" s="2146"/>
      <c r="AA61" s="2146"/>
      <c r="AB61" s="2146"/>
      <c r="AC61" s="2146"/>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67"/>
      <c r="O62" s="2167"/>
      <c r="P62" s="2166"/>
      <c r="Q62" s="2159"/>
      <c r="R62" s="2146"/>
      <c r="S62" s="2146"/>
      <c r="T62" s="2146"/>
      <c r="U62" s="2146"/>
      <c r="V62" s="2146"/>
      <c r="W62" s="2146"/>
      <c r="X62" s="2146"/>
      <c r="Y62" s="2146"/>
      <c r="Z62" s="2146"/>
      <c r="AA62" s="2146"/>
      <c r="AB62" s="2146"/>
      <c r="AC62" s="2146"/>
    </row>
    <row r="63" spans="1:29" ht="15.75" thickTop="1">
      <c r="A63" s="671"/>
      <c r="B63" s="1897" t="s">
        <v>2559</v>
      </c>
      <c r="C63" s="710" t="s">
        <v>580</v>
      </c>
      <c r="D63" s="710" t="s">
        <v>581</v>
      </c>
      <c r="E63" s="710" t="s">
        <v>582</v>
      </c>
      <c r="F63" s="710" t="s">
        <v>583</v>
      </c>
      <c r="G63" s="710" t="s">
        <v>584</v>
      </c>
      <c r="H63" s="676"/>
      <c r="I63" s="676"/>
      <c r="J63" s="676"/>
      <c r="K63" s="677"/>
      <c r="L63" s="678"/>
      <c r="M63" s="679"/>
      <c r="N63" s="2165"/>
      <c r="O63" s="2165"/>
      <c r="P63" s="2166"/>
      <c r="Q63" s="2159"/>
      <c r="R63" s="2146"/>
      <c r="S63" s="2146"/>
      <c r="T63" s="2146"/>
      <c r="U63" s="2146"/>
      <c r="V63" s="2146"/>
      <c r="W63" s="2146"/>
      <c r="X63" s="2146"/>
      <c r="Y63" s="2146"/>
      <c r="Z63" s="2146"/>
      <c r="AA63" s="2146"/>
      <c r="AB63" s="2146"/>
      <c r="AC63" s="2146"/>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67"/>
      <c r="O64" s="2167"/>
      <c r="P64" s="2166"/>
      <c r="Q64" s="2159"/>
      <c r="R64" s="2146"/>
      <c r="S64" s="2146"/>
      <c r="T64" s="2146"/>
      <c r="U64" s="2146"/>
      <c r="V64" s="2146"/>
      <c r="W64" s="2146"/>
      <c r="X64" s="2146"/>
      <c r="Y64" s="2146"/>
      <c r="Z64" s="2146"/>
      <c r="AA64" s="2146"/>
      <c r="AB64" s="2146"/>
      <c r="AC64" s="2146"/>
    </row>
    <row r="65" spans="1:29" ht="15.75" thickTop="1">
      <c r="A65" s="671"/>
      <c r="B65" s="2622" t="s">
        <v>2560</v>
      </c>
      <c r="C65" s="2623" t="s">
        <v>2561</v>
      </c>
      <c r="D65" s="2623" t="s">
        <v>2562</v>
      </c>
      <c r="E65" s="2623" t="s">
        <v>2563</v>
      </c>
      <c r="F65" s="2623" t="s">
        <v>2564</v>
      </c>
      <c r="G65" s="2623" t="s">
        <v>2565</v>
      </c>
      <c r="H65" s="676"/>
      <c r="I65" s="676"/>
      <c r="J65" s="676"/>
      <c r="K65" s="676"/>
      <c r="L65" s="676"/>
      <c r="M65" s="2626"/>
      <c r="N65" s="2167"/>
      <c r="O65" s="2167"/>
      <c r="P65" s="2166"/>
      <c r="Q65" s="2159"/>
      <c r="R65" s="2146"/>
      <c r="S65" s="2146"/>
      <c r="T65" s="2146"/>
      <c r="U65" s="2146"/>
      <c r="V65" s="2146"/>
      <c r="W65" s="2146"/>
      <c r="X65" s="2146"/>
      <c r="Y65" s="2146"/>
      <c r="Z65" s="2146"/>
      <c r="AA65" s="2146"/>
      <c r="AB65" s="2146"/>
      <c r="AC65" s="2146"/>
    </row>
    <row r="66" spans="1:29" ht="15.75" thickBot="1">
      <c r="A66" s="671"/>
      <c r="B66" s="683"/>
      <c r="C66" s="681">
        <v>100</v>
      </c>
      <c r="D66" s="681">
        <f>C66-$K18</f>
        <v>100</v>
      </c>
      <c r="E66" s="681">
        <f>D66-$K18</f>
        <v>100</v>
      </c>
      <c r="F66" s="681">
        <f>E66-$K18</f>
        <v>100</v>
      </c>
      <c r="G66" s="681">
        <f>F66-$K18</f>
        <v>100</v>
      </c>
      <c r="H66" s="936"/>
      <c r="I66" s="936"/>
      <c r="J66" s="936"/>
      <c r="K66" s="936"/>
      <c r="L66" s="936"/>
      <c r="M66" s="562"/>
      <c r="N66" s="2167"/>
      <c r="O66" s="2167"/>
      <c r="P66" s="2166"/>
      <c r="Q66" s="2159"/>
      <c r="R66" s="2146"/>
      <c r="S66" s="2146"/>
      <c r="T66" s="2146"/>
      <c r="U66" s="2146"/>
      <c r="V66" s="2146"/>
      <c r="W66" s="2146"/>
      <c r="X66" s="2146"/>
      <c r="Y66" s="2146"/>
      <c r="Z66" s="2146"/>
      <c r="AA66" s="2146"/>
      <c r="AB66" s="2146"/>
      <c r="AC66" s="2146"/>
    </row>
    <row r="67" spans="1:29" ht="15.75" thickTop="1">
      <c r="A67" s="671"/>
      <c r="B67" s="675" t="s">
        <v>744</v>
      </c>
      <c r="C67" s="710" t="s">
        <v>580</v>
      </c>
      <c r="D67" s="710" t="s">
        <v>581</v>
      </c>
      <c r="E67" s="710" t="s">
        <v>582</v>
      </c>
      <c r="F67" s="710" t="s">
        <v>583</v>
      </c>
      <c r="G67" s="710" t="s">
        <v>584</v>
      </c>
      <c r="H67" s="676"/>
      <c r="I67" s="676"/>
      <c r="J67" s="676"/>
      <c r="K67" s="677"/>
      <c r="L67" s="678"/>
      <c r="M67" s="679"/>
      <c r="N67" s="2165"/>
      <c r="O67" s="2165"/>
      <c r="P67" s="2166"/>
      <c r="Q67" s="2159"/>
      <c r="R67" s="2146"/>
      <c r="S67" s="2146"/>
      <c r="T67" s="2146"/>
      <c r="U67" s="2146"/>
      <c r="V67" s="2146"/>
      <c r="W67" s="2146"/>
      <c r="X67" s="2146"/>
      <c r="Y67" s="2146"/>
      <c r="Z67" s="2146"/>
      <c r="AA67" s="2146"/>
      <c r="AB67" s="2146"/>
      <c r="AC67" s="2146"/>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67"/>
      <c r="O68" s="2167"/>
      <c r="P68" s="2166"/>
      <c r="Q68" s="2159"/>
      <c r="R68" s="2146"/>
      <c r="S68" s="2146"/>
      <c r="T68" s="2146"/>
      <c r="U68" s="2146"/>
      <c r="V68" s="2146"/>
      <c r="W68" s="2146"/>
      <c r="X68" s="2146"/>
      <c r="Y68" s="2146"/>
      <c r="Z68" s="2146"/>
      <c r="AA68" s="2146"/>
      <c r="AB68" s="2146"/>
      <c r="AC68" s="2146"/>
    </row>
    <row r="69" spans="1:29" ht="15.75" thickTop="1">
      <c r="A69" s="671"/>
      <c r="B69" s="675" t="s">
        <v>745</v>
      </c>
      <c r="C69" s="690"/>
      <c r="D69" s="690"/>
      <c r="E69" s="690"/>
      <c r="F69" s="690"/>
      <c r="G69" s="690"/>
      <c r="H69" s="720"/>
      <c r="I69" s="720"/>
      <c r="J69" s="720"/>
      <c r="K69" s="721"/>
      <c r="L69" s="722"/>
      <c r="M69" s="723"/>
      <c r="N69" s="2165"/>
      <c r="O69" s="2165"/>
      <c r="P69" s="2166"/>
      <c r="Q69" s="2159"/>
      <c r="R69" s="2146"/>
      <c r="S69" s="2146"/>
      <c r="T69" s="2146"/>
      <c r="U69" s="2146"/>
      <c r="V69" s="2146"/>
      <c r="W69" s="2146"/>
      <c r="X69" s="2146"/>
      <c r="Y69" s="2146"/>
      <c r="Z69" s="2146"/>
      <c r="AA69" s="2146"/>
      <c r="AB69" s="2146"/>
      <c r="AC69" s="2146"/>
    </row>
    <row r="70" spans="1:29" ht="15.75" thickBot="1">
      <c r="A70" s="671"/>
      <c r="B70" s="680"/>
      <c r="C70" s="681">
        <v>100</v>
      </c>
      <c r="D70" s="681">
        <f>C70-$K22</f>
        <v>100</v>
      </c>
      <c r="E70" s="681"/>
      <c r="F70" s="681"/>
      <c r="G70" s="681"/>
      <c r="H70" s="681"/>
      <c r="I70" s="681"/>
      <c r="J70" s="681"/>
      <c r="K70" s="681"/>
      <c r="L70" s="681"/>
      <c r="M70" s="682"/>
      <c r="N70" s="2167"/>
      <c r="O70" s="2167"/>
      <c r="P70" s="2166"/>
      <c r="Q70" s="2159"/>
      <c r="R70" s="2146"/>
      <c r="S70" s="2146"/>
      <c r="T70" s="2146"/>
      <c r="U70" s="2146"/>
      <c r="V70" s="2146"/>
      <c r="W70" s="2146"/>
      <c r="X70" s="2146"/>
      <c r="Y70" s="2146"/>
      <c r="Z70" s="2146"/>
      <c r="AA70" s="2146"/>
      <c r="AB70" s="2146"/>
      <c r="AC70" s="2146"/>
    </row>
    <row r="71" spans="1:29" s="1220" customFormat="1" ht="15.75" thickTop="1">
      <c r="A71" s="711"/>
      <c r="B71" s="675">
        <f>B23</f>
        <v>111</v>
      </c>
      <c r="C71" s="544"/>
      <c r="D71" s="544"/>
      <c r="E71" s="544"/>
      <c r="F71" s="544"/>
      <c r="G71" s="690"/>
      <c r="H71" s="690"/>
      <c r="I71" s="690"/>
      <c r="J71" s="690"/>
      <c r="K71" s="690"/>
      <c r="L71" s="891"/>
      <c r="M71" s="892"/>
      <c r="N71" s="2163"/>
      <c r="O71" s="2163"/>
      <c r="P71" s="2166"/>
      <c r="Q71" s="2159"/>
      <c r="R71" s="1994"/>
      <c r="S71" s="1994"/>
      <c r="T71" s="1994"/>
      <c r="U71" s="1994"/>
      <c r="V71" s="1994"/>
      <c r="W71" s="1994"/>
      <c r="X71" s="1994"/>
      <c r="Y71" s="1994"/>
      <c r="Z71" s="1994"/>
      <c r="AA71" s="1994"/>
      <c r="AB71" s="1994"/>
      <c r="AC71" s="1994"/>
    </row>
    <row r="72" spans="1:29" s="1220" customFormat="1" ht="15.75" thickBot="1">
      <c r="A72" s="711"/>
      <c r="B72" s="680"/>
      <c r="C72" s="694"/>
      <c r="D72" s="673"/>
      <c r="E72" s="673"/>
      <c r="F72" s="673"/>
      <c r="G72" s="673"/>
      <c r="H72" s="673"/>
      <c r="I72" s="673"/>
      <c r="J72" s="673"/>
      <c r="K72" s="673"/>
      <c r="L72" s="673"/>
      <c r="M72" s="674"/>
      <c r="N72" s="2167"/>
      <c r="O72" s="2167"/>
      <c r="P72" s="2166"/>
      <c r="Q72" s="2159"/>
      <c r="R72" s="1994"/>
      <c r="S72" s="1994"/>
      <c r="T72" s="1994"/>
      <c r="U72" s="1994"/>
      <c r="V72" s="1994"/>
      <c r="W72" s="1994"/>
      <c r="X72" s="1994"/>
      <c r="Y72" s="1994"/>
      <c r="Z72" s="1994"/>
      <c r="AA72" s="1994"/>
      <c r="AB72" s="1994"/>
      <c r="AC72" s="1994"/>
    </row>
    <row r="73" spans="1:29" s="1220" customFormat="1" ht="15.75" thickTop="1">
      <c r="A73" s="711"/>
      <c r="B73" s="675">
        <f>B24</f>
        <v>111</v>
      </c>
      <c r="C73" s="544"/>
      <c r="D73" s="544"/>
      <c r="E73" s="544"/>
      <c r="F73" s="544"/>
      <c r="G73" s="690"/>
      <c r="H73" s="690"/>
      <c r="I73" s="690"/>
      <c r="J73" s="690"/>
      <c r="K73" s="690"/>
      <c r="L73" s="690"/>
      <c r="M73" s="892"/>
      <c r="N73" s="2163"/>
      <c r="O73" s="2163"/>
      <c r="P73" s="2166"/>
      <c r="Q73" s="2159"/>
      <c r="R73" s="1994"/>
      <c r="S73" s="1994"/>
      <c r="T73" s="1994"/>
      <c r="U73" s="1994"/>
      <c r="V73" s="1994"/>
      <c r="W73" s="1994"/>
      <c r="X73" s="1994"/>
      <c r="Y73" s="1994"/>
      <c r="Z73" s="1994"/>
      <c r="AA73" s="1994"/>
      <c r="AB73" s="1994"/>
      <c r="AC73" s="1994"/>
    </row>
    <row r="74" spans="1:29" s="1220" customFormat="1" ht="15.75" thickBot="1">
      <c r="A74" s="711"/>
      <c r="B74" s="680"/>
      <c r="C74" s="694"/>
      <c r="D74" s="673"/>
      <c r="E74" s="673"/>
      <c r="F74" s="673"/>
      <c r="G74" s="673"/>
      <c r="H74" s="673"/>
      <c r="I74" s="673"/>
      <c r="J74" s="673"/>
      <c r="K74" s="673"/>
      <c r="L74" s="673"/>
      <c r="M74" s="674"/>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9"/>
      <c r="B75" s="675">
        <f>B25</f>
        <v>111</v>
      </c>
      <c r="C75" s="544"/>
      <c r="D75" s="544"/>
      <c r="E75" s="544"/>
      <c r="F75" s="544"/>
      <c r="G75" s="690"/>
      <c r="H75" s="691"/>
      <c r="I75" s="691"/>
      <c r="J75" s="691"/>
      <c r="K75" s="691"/>
      <c r="L75" s="692"/>
      <c r="M75" s="693"/>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9"/>
      <c r="B76" s="680"/>
      <c r="C76" s="694"/>
      <c r="D76" s="694"/>
      <c r="E76" s="694"/>
      <c r="F76" s="694"/>
      <c r="G76" s="673"/>
      <c r="H76" s="673"/>
      <c r="I76" s="673"/>
      <c r="J76" s="673"/>
      <c r="K76" s="673"/>
      <c r="L76" s="673"/>
      <c r="M76" s="674"/>
      <c r="N76" s="2168"/>
      <c r="O76" s="2168"/>
      <c r="P76" s="2169"/>
      <c r="Q76" s="2170"/>
      <c r="R76" s="2171"/>
      <c r="S76" s="2171"/>
      <c r="T76" s="2171"/>
      <c r="U76" s="2171"/>
      <c r="V76" s="2171"/>
      <c r="W76" s="2171"/>
      <c r="X76" s="2171"/>
      <c r="Y76" s="2171"/>
      <c r="Z76" s="2171"/>
      <c r="AA76" s="2171"/>
      <c r="AB76" s="2171"/>
      <c r="AC76" s="2171"/>
    </row>
    <row r="77" spans="1:29" ht="15" thickTop="1">
      <c r="A77" s="666" t="s">
        <v>552</v>
      </c>
      <c r="B77" s="667" t="s">
        <v>751</v>
      </c>
      <c r="C77" s="690"/>
      <c r="D77" s="690"/>
      <c r="E77" s="600"/>
      <c r="F77" s="600"/>
      <c r="G77" s="600"/>
      <c r="H77" s="600"/>
      <c r="I77" s="600"/>
      <c r="J77" s="600"/>
      <c r="K77" s="668"/>
      <c r="L77" s="669"/>
      <c r="M77" s="670"/>
      <c r="N77" s="2165"/>
      <c r="O77" s="2165"/>
      <c r="P77" s="2166"/>
      <c r="Q77" s="2159"/>
      <c r="R77" s="2146"/>
      <c r="S77" s="2146"/>
      <c r="T77" s="2146"/>
      <c r="U77" s="2146"/>
      <c r="V77" s="2146"/>
      <c r="W77" s="2146"/>
      <c r="X77" s="2146"/>
      <c r="Y77" s="2146"/>
      <c r="Z77" s="2146"/>
      <c r="AA77" s="2146"/>
      <c r="AB77" s="2146"/>
      <c r="AC77" s="2146"/>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71"/>
      <c r="B79" s="675" t="s">
        <v>816</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3"/>
      <c r="O79" s="2163"/>
      <c r="P79" s="2166"/>
      <c r="Q79" s="2159"/>
      <c r="R79" s="2146"/>
      <c r="S79" s="2146"/>
      <c r="T79" s="2146"/>
      <c r="U79" s="2146"/>
      <c r="V79" s="2146"/>
      <c r="W79" s="2146"/>
      <c r="X79" s="2146"/>
      <c r="Y79" s="2146"/>
      <c r="Z79" s="2146"/>
      <c r="AA79" s="2146"/>
      <c r="AB79" s="2146"/>
      <c r="AC79" s="2146"/>
    </row>
    <row r="80" spans="1:29" ht="15">
      <c r="A80" s="671"/>
      <c r="B80" s="683"/>
      <c r="C80" s="895">
        <v>0.5</v>
      </c>
      <c r="D80" s="895">
        <v>0.6</v>
      </c>
      <c r="E80" s="895">
        <v>0.7</v>
      </c>
      <c r="F80" s="895">
        <v>0.8</v>
      </c>
      <c r="G80" s="895">
        <v>0.9</v>
      </c>
      <c r="H80" s="895">
        <v>1.0001</v>
      </c>
      <c r="I80" s="936"/>
      <c r="J80" s="936"/>
      <c r="K80" s="946"/>
      <c r="L80" s="947"/>
      <c r="M80" s="948"/>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7"/>
      <c r="B82" s="683" t="s">
        <v>817</v>
      </c>
      <c r="C82" s="690"/>
      <c r="D82" s="690"/>
      <c r="E82" s="720"/>
      <c r="F82" s="720"/>
      <c r="G82" s="720"/>
      <c r="H82" s="720"/>
      <c r="I82" s="720"/>
      <c r="J82" s="720"/>
      <c r="K82" s="721"/>
      <c r="L82" s="722"/>
      <c r="M82" s="723"/>
      <c r="N82" s="2165"/>
      <c r="O82" s="2165"/>
      <c r="P82" s="2166"/>
      <c r="Q82" s="2159"/>
      <c r="R82" s="2146"/>
      <c r="S82" s="2146"/>
      <c r="T82" s="2146"/>
      <c r="U82" s="2146"/>
      <c r="V82" s="2146"/>
      <c r="W82" s="2146"/>
      <c r="X82" s="2146"/>
      <c r="Y82" s="2146"/>
      <c r="Z82" s="2146"/>
      <c r="AA82" s="2146"/>
      <c r="AB82" s="2146"/>
      <c r="AC82" s="2146"/>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7"/>
      <c r="B84" s="675" t="s">
        <v>825</v>
      </c>
      <c r="C84" s="690"/>
      <c r="D84" s="690"/>
      <c r="E84" s="690"/>
      <c r="F84" s="690"/>
      <c r="G84" s="690"/>
      <c r="H84" s="690"/>
      <c r="I84" s="720"/>
      <c r="J84" s="720"/>
      <c r="K84" s="721"/>
      <c r="L84" s="722"/>
      <c r="M84" s="723"/>
      <c r="N84" s="2165"/>
      <c r="O84" s="2165"/>
      <c r="P84" s="2166"/>
      <c r="Q84" s="2159"/>
      <c r="R84" s="2146"/>
      <c r="S84" s="2146"/>
      <c r="T84" s="2146"/>
      <c r="U84" s="2146"/>
      <c r="V84" s="2146"/>
      <c r="W84" s="2146"/>
      <c r="X84" s="2146"/>
      <c r="Y84" s="2146"/>
      <c r="Z84" s="2146"/>
      <c r="AA84" s="2146"/>
      <c r="AB84" s="2146"/>
      <c r="AC84" s="2146"/>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7"/>
      <c r="B86" s="683" t="s">
        <v>826</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5"/>
      <c r="O86" s="2165"/>
      <c r="P86" s="2166"/>
      <c r="Q86" s="2159"/>
      <c r="R86" s="2146"/>
      <c r="S86" s="2146"/>
      <c r="T86" s="2146"/>
      <c r="U86" s="2146"/>
      <c r="V86" s="2146"/>
      <c r="W86" s="2146"/>
      <c r="X86" s="2146"/>
      <c r="Y86" s="2146"/>
      <c r="Z86" s="2146"/>
      <c r="AA86" s="2146"/>
      <c r="AB86" s="2146"/>
      <c r="AC86" s="2146"/>
    </row>
    <row r="87" spans="1:29">
      <c r="A87" s="737"/>
      <c r="B87" s="683"/>
      <c r="C87" s="732"/>
      <c r="D87" s="732"/>
      <c r="E87" s="732"/>
      <c r="F87" s="732"/>
      <c r="G87" s="732"/>
      <c r="H87" s="732"/>
      <c r="I87" s="732"/>
      <c r="J87" s="733"/>
      <c r="K87" s="733"/>
      <c r="L87" s="734"/>
      <c r="M87" s="735"/>
      <c r="N87" s="2165"/>
      <c r="O87" s="2165"/>
      <c r="P87" s="2166"/>
      <c r="Q87" s="2159"/>
      <c r="R87" s="2146"/>
      <c r="S87" s="2146"/>
      <c r="T87" s="2146"/>
      <c r="U87" s="2146"/>
      <c r="V87" s="2146"/>
      <c r="W87" s="2146"/>
      <c r="X87" s="2146"/>
      <c r="Y87" s="2146"/>
      <c r="Z87" s="2146"/>
      <c r="AA87" s="2146"/>
      <c r="AB87" s="2146"/>
      <c r="AC87" s="2146"/>
    </row>
    <row r="88" spans="1:29" ht="15.75" thickBot="1">
      <c r="A88" s="671"/>
      <c r="B88" s="680"/>
      <c r="C88" s="694"/>
      <c r="D88" s="673"/>
      <c r="E88" s="673"/>
      <c r="F88" s="673"/>
      <c r="G88" s="673"/>
      <c r="H88" s="673"/>
      <c r="I88" s="673"/>
      <c r="J88" s="673"/>
      <c r="K88" s="673"/>
      <c r="L88" s="673"/>
      <c r="M88" s="673"/>
      <c r="N88" s="2167"/>
      <c r="O88" s="2167"/>
      <c r="P88" s="2166"/>
      <c r="Q88" s="2159"/>
      <c r="R88" s="2146"/>
      <c r="S88" s="2146"/>
      <c r="T88" s="2146"/>
      <c r="U88" s="2146"/>
      <c r="V88" s="2146"/>
      <c r="W88" s="2146"/>
      <c r="X88" s="2146"/>
      <c r="Y88" s="2146"/>
      <c r="Z88" s="2146"/>
      <c r="AA88" s="2146"/>
      <c r="AB88" s="2146"/>
      <c r="AC88" s="2146"/>
    </row>
    <row r="89" spans="1:29" s="1339" customFormat="1" ht="15" thickTop="1">
      <c r="A89" s="730"/>
      <c r="B89" s="675" t="s">
        <v>827</v>
      </c>
      <c r="C89" s="690"/>
      <c r="D89" s="690"/>
      <c r="E89" s="690"/>
      <c r="F89" s="690"/>
      <c r="G89" s="690"/>
      <c r="H89" s="690"/>
      <c r="I89" s="690"/>
      <c r="J89" s="690"/>
      <c r="K89" s="690"/>
      <c r="L89" s="690"/>
      <c r="M89" s="892"/>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9"/>
      <c r="B90" s="680"/>
      <c r="C90" s="694"/>
      <c r="D90" s="673"/>
      <c r="E90" s="673"/>
      <c r="F90" s="673"/>
      <c r="G90" s="673"/>
      <c r="H90" s="673"/>
      <c r="I90" s="673"/>
      <c r="J90" s="673"/>
      <c r="K90" s="673"/>
      <c r="L90" s="673"/>
      <c r="M90" s="674"/>
      <c r="N90" s="2168"/>
      <c r="O90" s="2168"/>
      <c r="P90" s="2169"/>
      <c r="Q90" s="2170"/>
      <c r="R90" s="2171"/>
      <c r="S90" s="2171"/>
      <c r="T90" s="2171"/>
      <c r="U90" s="2171"/>
      <c r="V90" s="2171"/>
      <c r="W90" s="2171"/>
      <c r="X90" s="2171"/>
      <c r="Y90" s="2171"/>
      <c r="Z90" s="2171"/>
      <c r="AA90" s="2171"/>
      <c r="AB90" s="2171"/>
      <c r="AC90" s="2171"/>
    </row>
    <row r="91" spans="1:29" ht="15" thickTop="1">
      <c r="A91" s="737"/>
      <c r="B91" s="675">
        <f>B32</f>
        <v>111</v>
      </c>
      <c r="C91" s="544"/>
      <c r="D91" s="544"/>
      <c r="E91" s="544"/>
      <c r="F91" s="544"/>
      <c r="G91" s="690"/>
      <c r="H91" s="691"/>
      <c r="I91" s="691"/>
      <c r="J91" s="691"/>
      <c r="K91" s="691"/>
      <c r="L91" s="692"/>
      <c r="M91" s="693"/>
      <c r="N91" s="2165"/>
      <c r="O91" s="2165"/>
      <c r="P91" s="2166"/>
      <c r="Q91" s="2159"/>
      <c r="R91" s="2146"/>
      <c r="S91" s="2146"/>
      <c r="T91" s="2146"/>
      <c r="U91" s="2146"/>
      <c r="V91" s="2146"/>
      <c r="W91" s="2146"/>
      <c r="X91" s="2146"/>
      <c r="Y91" s="2146"/>
      <c r="Z91" s="2146"/>
      <c r="AA91" s="2146"/>
      <c r="AB91" s="2146"/>
      <c r="AC91" s="2146"/>
    </row>
    <row r="92" spans="1:29" ht="15.75" thickBot="1">
      <c r="A92" s="671"/>
      <c r="B92" s="680"/>
      <c r="C92" s="694"/>
      <c r="D92" s="673"/>
      <c r="E92" s="673"/>
      <c r="F92" s="673"/>
      <c r="G92" s="694"/>
      <c r="H92" s="695"/>
      <c r="I92" s="695"/>
      <c r="J92" s="695"/>
      <c r="K92" s="695"/>
      <c r="L92" s="695"/>
      <c r="M92" s="696"/>
      <c r="N92" s="2167"/>
      <c r="O92" s="2167"/>
      <c r="P92" s="2166"/>
      <c r="Q92" s="2159"/>
      <c r="R92" s="2146"/>
      <c r="S92" s="2146"/>
      <c r="T92" s="2146"/>
      <c r="U92" s="2146"/>
      <c r="V92" s="2146"/>
      <c r="W92" s="2146"/>
      <c r="X92" s="2146"/>
      <c r="Y92" s="2146"/>
      <c r="Z92" s="2146"/>
      <c r="AA92" s="2146"/>
      <c r="AB92" s="2146"/>
      <c r="AC92" s="2146"/>
    </row>
    <row r="93" spans="1:29" ht="15" thickTop="1">
      <c r="A93" s="737"/>
      <c r="B93" s="675">
        <f>B33</f>
        <v>111</v>
      </c>
      <c r="C93" s="544"/>
      <c r="D93" s="544"/>
      <c r="E93" s="544"/>
      <c r="F93" s="544"/>
      <c r="G93" s="690"/>
      <c r="H93" s="691"/>
      <c r="I93" s="691"/>
      <c r="J93" s="691"/>
      <c r="K93" s="691"/>
      <c r="L93" s="692"/>
      <c r="M93" s="693"/>
      <c r="N93" s="2165"/>
      <c r="O93" s="2165"/>
      <c r="P93" s="2166"/>
      <c r="Q93" s="2159"/>
      <c r="R93" s="2146"/>
      <c r="S93" s="2146"/>
      <c r="T93" s="2146"/>
      <c r="U93" s="2146"/>
      <c r="V93" s="2146"/>
      <c r="W93" s="2146"/>
      <c r="X93" s="2146"/>
      <c r="Y93" s="2146"/>
      <c r="Z93" s="2146"/>
      <c r="AA93" s="2146"/>
      <c r="AB93" s="2146"/>
      <c r="AC93" s="2146"/>
    </row>
    <row r="94" spans="1:29" ht="15.75" thickBot="1">
      <c r="A94" s="671"/>
      <c r="B94" s="680"/>
      <c r="C94" s="694"/>
      <c r="D94" s="673"/>
      <c r="E94" s="673"/>
      <c r="F94" s="673"/>
      <c r="G94" s="694"/>
      <c r="H94" s="695"/>
      <c r="I94" s="695"/>
      <c r="J94" s="695"/>
      <c r="K94" s="695"/>
      <c r="L94" s="695"/>
      <c r="M94" s="696"/>
      <c r="N94" s="2167"/>
      <c r="O94" s="2167"/>
      <c r="P94" s="2166"/>
      <c r="Q94" s="2159"/>
      <c r="R94" s="2146"/>
      <c r="S94" s="2146"/>
      <c r="T94" s="2146"/>
      <c r="U94" s="2146"/>
      <c r="V94" s="2146"/>
      <c r="W94" s="2146"/>
      <c r="X94" s="2146"/>
      <c r="Y94" s="2146"/>
      <c r="Z94" s="2146"/>
      <c r="AA94" s="2146"/>
      <c r="AB94" s="2146"/>
      <c r="AC94" s="2146"/>
    </row>
    <row r="95" spans="1:29" ht="15" thickTop="1">
      <c r="A95" s="737"/>
      <c r="B95" s="918">
        <f>B34</f>
        <v>111</v>
      </c>
      <c r="C95" s="544"/>
      <c r="D95" s="544"/>
      <c r="E95" s="544"/>
      <c r="F95" s="544"/>
      <c r="G95" s="690"/>
      <c r="H95" s="691"/>
      <c r="I95" s="691"/>
      <c r="J95" s="691"/>
      <c r="K95" s="691"/>
      <c r="L95" s="692"/>
      <c r="M95" s="693"/>
      <c r="N95" s="2167"/>
      <c r="O95" s="2167"/>
      <c r="P95" s="2206"/>
      <c r="Q95" s="2207"/>
      <c r="R95" s="2146"/>
      <c r="S95" s="2146"/>
      <c r="T95" s="2146"/>
      <c r="U95" s="2146"/>
      <c r="V95" s="2146"/>
      <c r="W95" s="2146"/>
      <c r="X95" s="2146"/>
      <c r="Y95" s="2146"/>
      <c r="Z95" s="2146"/>
      <c r="AA95" s="2146"/>
      <c r="AB95" s="2146"/>
      <c r="AC95" s="2146"/>
    </row>
    <row r="96" spans="1:29" ht="15.75" thickBot="1">
      <c r="A96" s="671"/>
      <c r="B96" s="680"/>
      <c r="C96" s="694"/>
      <c r="D96" s="694"/>
      <c r="E96" s="694"/>
      <c r="F96" s="694"/>
      <c r="G96" s="694"/>
      <c r="H96" s="695"/>
      <c r="I96" s="695"/>
      <c r="J96" s="695"/>
      <c r="K96" s="695"/>
      <c r="L96" s="695"/>
      <c r="M96" s="696"/>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8"/>
      <c r="B1" s="2235" t="s">
        <v>2303</v>
      </c>
      <c r="C1" s="3630" t="s">
        <v>2304</v>
      </c>
      <c r="D1" s="3631"/>
      <c r="E1" s="3631"/>
      <c r="F1" s="3631"/>
      <c r="G1" s="3631"/>
      <c r="H1" s="3631"/>
      <c r="I1" s="3631"/>
      <c r="J1" s="3631"/>
      <c r="K1" s="3631"/>
      <c r="L1" s="3631"/>
      <c r="M1" s="3631"/>
      <c r="N1" s="3631"/>
      <c r="O1" s="3631"/>
      <c r="P1" s="3631"/>
      <c r="Q1" s="3631"/>
      <c r="R1" s="3631"/>
      <c r="S1" s="3632"/>
      <c r="T1" s="2235" t="s">
        <v>2305</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50" t="s">
        <v>2306</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37" t="str">
        <f>S3&amp;"(含)"&amp;"-"</f>
        <v>(含)-</v>
      </c>
      <c r="T2" s="953"/>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4"/>
      <c r="C3" s="955"/>
      <c r="D3" s="956"/>
      <c r="E3" s="956"/>
      <c r="F3" s="956"/>
      <c r="G3" s="956"/>
      <c r="H3" s="956"/>
      <c r="I3" s="956"/>
      <c r="J3" s="957"/>
      <c r="K3" s="957"/>
      <c r="L3" s="958"/>
      <c r="M3" s="2240"/>
      <c r="N3" s="2241"/>
      <c r="O3" s="956"/>
      <c r="P3" s="956"/>
      <c r="Q3" s="956"/>
      <c r="R3" s="956"/>
      <c r="S3" s="2242"/>
      <c r="T3" s="959"/>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6" t="s">
        <v>2923</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8" t="s">
        <v>2922</v>
      </c>
      <c r="C7" s="1962"/>
      <c r="D7" s="1963"/>
      <c r="E7" s="1963"/>
      <c r="F7" s="1963"/>
      <c r="G7" s="1963"/>
      <c r="H7" s="1963"/>
      <c r="I7" s="1963"/>
      <c r="J7" s="1963"/>
      <c r="K7" s="1963"/>
      <c r="L7" s="1963"/>
      <c r="M7" s="2260"/>
      <c r="N7" s="2261"/>
      <c r="O7" s="2262"/>
      <c r="P7" s="2263"/>
      <c r="Q7" s="2264"/>
      <c r="R7" s="2265"/>
      <c r="S7" s="2266"/>
      <c r="T7" s="960"/>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8" t="s">
        <v>2921</v>
      </c>
      <c r="C9" s="1962"/>
      <c r="D9" s="1963"/>
      <c r="E9" s="1963"/>
      <c r="F9" s="1963"/>
      <c r="G9" s="1963"/>
      <c r="H9" s="1963"/>
      <c r="I9" s="1963"/>
      <c r="J9" s="1963"/>
      <c r="K9" s="1963"/>
      <c r="L9" s="1964"/>
      <c r="M9" s="2260"/>
      <c r="N9" s="2261"/>
      <c r="O9" s="2262"/>
      <c r="P9" s="2263"/>
      <c r="Q9" s="2264"/>
      <c r="R9" s="2265"/>
      <c r="S9" s="2266"/>
      <c r="T9" s="960"/>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6" t="s">
        <v>2936</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6" t="s">
        <v>2920</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6" t="s">
        <v>2919</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2307</v>
      </c>
      <c r="B17" s="2279" t="s">
        <v>2308</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4"/>
      <c r="B19" s="949"/>
      <c r="C19" s="1991"/>
      <c r="D19" s="1991"/>
      <c r="E19" s="1991"/>
      <c r="F19" s="1991"/>
      <c r="G19" s="1991"/>
      <c r="H19" s="1991"/>
      <c r="I19" s="1991"/>
      <c r="J19" s="1991"/>
      <c r="K19" s="1991"/>
      <c r="L19" s="1991"/>
      <c r="M19" s="1991"/>
      <c r="N19" s="1991"/>
      <c r="O19" s="1991"/>
      <c r="P19" s="1991"/>
      <c r="Q19" s="1991"/>
      <c r="R19" s="2226"/>
      <c r="S19" s="2029"/>
    </row>
    <row r="20" spans="1:45" ht="15.75">
      <c r="A20" s="961" t="s">
        <v>828</v>
      </c>
      <c r="B20" s="777">
        <f>S22</f>
        <v>0</v>
      </c>
      <c r="C20" s="1991"/>
      <c r="D20" s="1991"/>
      <c r="E20" s="1991"/>
      <c r="F20" s="1991"/>
      <c r="G20" s="1991"/>
      <c r="H20" s="1991"/>
      <c r="I20" s="1991"/>
      <c r="J20" s="1991"/>
      <c r="K20" s="1991"/>
      <c r="L20" s="1991"/>
      <c r="M20" s="1991"/>
      <c r="N20" s="1991"/>
      <c r="O20" s="1991"/>
      <c r="P20" s="1991"/>
      <c r="Q20" s="1991"/>
      <c r="R20" s="2226"/>
      <c r="S20" s="2029"/>
    </row>
    <row r="21" spans="1:45" ht="15.75">
      <c r="A21" s="961" t="s">
        <v>829</v>
      </c>
      <c r="B21" s="777" t="e">
        <f>R22</f>
        <v>#DIV/0!</v>
      </c>
      <c r="C21" s="1991"/>
      <c r="D21" s="1991"/>
      <c r="E21" s="1991"/>
      <c r="F21" s="1991"/>
      <c r="G21" s="1991"/>
      <c r="H21" s="1991"/>
      <c r="I21" s="1991"/>
      <c r="J21" s="1991"/>
      <c r="K21" s="1991"/>
      <c r="L21" s="1991"/>
      <c r="M21" s="1991"/>
      <c r="N21" s="1991"/>
      <c r="O21" s="1991"/>
      <c r="P21" s="1991"/>
      <c r="Q21" s="1991"/>
      <c r="R21" s="2226"/>
      <c r="S21" s="2029"/>
    </row>
    <row r="22" spans="1:45">
      <c r="A22" s="801" t="s">
        <v>830</v>
      </c>
      <c r="B22" s="53">
        <f>SUM(B24:B10000)</f>
        <v>0</v>
      </c>
      <c r="C22" s="3627" t="s">
        <v>20</v>
      </c>
      <c r="D22" s="3628"/>
      <c r="E22" s="3628"/>
      <c r="F22" s="3628"/>
      <c r="G22" s="3628"/>
      <c r="H22" s="3628"/>
      <c r="I22" s="3628"/>
      <c r="J22" s="3628"/>
      <c r="K22" s="3628"/>
      <c r="L22" s="3628"/>
      <c r="M22" s="3628"/>
      <c r="N22" s="3628"/>
      <c r="O22" s="3628"/>
      <c r="P22" s="3628"/>
      <c r="Q22" s="3629"/>
      <c r="R22" s="493"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4" t="s">
        <v>834</v>
      </c>
      <c r="S23" s="17" t="s">
        <v>835</v>
      </c>
      <c r="T23" s="18"/>
      <c r="U23" s="18"/>
      <c r="V23" s="18"/>
      <c r="W23" s="18"/>
      <c r="X23" s="18"/>
      <c r="Y23" s="18"/>
      <c r="Z23" s="18"/>
      <c r="AA23" s="18"/>
      <c r="AB23" s="18"/>
      <c r="AC23" s="18"/>
      <c r="AD23" s="18"/>
      <c r="AE23" s="18"/>
      <c r="AF23" s="18"/>
      <c r="AG23" s="18"/>
      <c r="AH23" s="18"/>
      <c r="AI23" s="18"/>
    </row>
    <row r="24" spans="1:45" s="1615" customFormat="1">
      <c r="A24" s="962" t="s">
        <v>836</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6"/>
      <c r="B25" s="137"/>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3">
        <f>IF(B25="",0,ROUND($R$24*C25*E25*G25*I25*K25*M25*O25*Q25,0))</f>
        <v>0</v>
      </c>
      <c r="S25" s="801">
        <f t="shared" si="11"/>
        <v>0</v>
      </c>
    </row>
    <row r="26" spans="1:45">
      <c r="A26" s="966"/>
      <c r="B26" s="137"/>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3">
        <f t="shared" ref="R26:R89" si="20">IF(B26="",0,ROUND($R$24*C26*E26*G26*I26*K26*M26*O26*Q26,0))</f>
        <v>0</v>
      </c>
      <c r="S26" s="801">
        <f t="shared" si="11"/>
        <v>0</v>
      </c>
    </row>
    <row r="27" spans="1:45">
      <c r="A27" s="966"/>
      <c r="B27" s="137"/>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3">
        <f t="shared" si="20"/>
        <v>0</v>
      </c>
      <c r="S27" s="801">
        <f t="shared" si="11"/>
        <v>0</v>
      </c>
    </row>
    <row r="28" spans="1:45">
      <c r="A28" s="966"/>
      <c r="B28" s="137"/>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3">
        <f t="shared" si="20"/>
        <v>0</v>
      </c>
      <c r="S28" s="801">
        <f t="shared" si="11"/>
        <v>0</v>
      </c>
    </row>
    <row r="29" spans="1:45">
      <c r="A29" s="966"/>
      <c r="B29" s="137"/>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3">
        <f t="shared" si="20"/>
        <v>0</v>
      </c>
      <c r="S29" s="801">
        <f t="shared" si="11"/>
        <v>0</v>
      </c>
    </row>
    <row r="30" spans="1:45">
      <c r="A30" s="966"/>
      <c r="B30" s="137"/>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3">
        <f t="shared" si="20"/>
        <v>0</v>
      </c>
      <c r="S30" s="801">
        <f t="shared" si="11"/>
        <v>0</v>
      </c>
    </row>
    <row r="31" spans="1:45">
      <c r="A31" s="966"/>
      <c r="B31" s="137"/>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3">
        <f t="shared" si="20"/>
        <v>0</v>
      </c>
      <c r="S31" s="801">
        <f t="shared" si="11"/>
        <v>0</v>
      </c>
    </row>
    <row r="32" spans="1:45">
      <c r="A32" s="966"/>
      <c r="B32" s="137"/>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3">
        <f t="shared" si="20"/>
        <v>0</v>
      </c>
      <c r="S32" s="801">
        <f t="shared" si="11"/>
        <v>0</v>
      </c>
    </row>
    <row r="33" spans="1:19">
      <c r="A33" s="966"/>
      <c r="B33" s="137"/>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3">
        <f t="shared" si="20"/>
        <v>0</v>
      </c>
      <c r="S33" s="801">
        <f t="shared" si="11"/>
        <v>0</v>
      </c>
    </row>
    <row r="34" spans="1:19">
      <c r="A34" s="966"/>
      <c r="B34" s="137"/>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3">
        <f t="shared" si="20"/>
        <v>0</v>
      </c>
      <c r="S34" s="801">
        <f t="shared" si="11"/>
        <v>0</v>
      </c>
    </row>
    <row r="35" spans="1:19">
      <c r="A35" s="966"/>
      <c r="B35" s="137"/>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3">
        <f t="shared" si="20"/>
        <v>0</v>
      </c>
      <c r="S35" s="801">
        <f t="shared" si="11"/>
        <v>0</v>
      </c>
    </row>
    <row r="36" spans="1:19">
      <c r="A36" s="966"/>
      <c r="B36" s="137"/>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3">
        <f t="shared" si="20"/>
        <v>0</v>
      </c>
      <c r="S36" s="801">
        <f t="shared" si="11"/>
        <v>0</v>
      </c>
    </row>
    <row r="37" spans="1:19">
      <c r="A37" s="966"/>
      <c r="B37" s="137"/>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3">
        <f t="shared" si="20"/>
        <v>0</v>
      </c>
      <c r="S37" s="801">
        <f t="shared" si="11"/>
        <v>0</v>
      </c>
    </row>
    <row r="38" spans="1:19">
      <c r="A38" s="966"/>
      <c r="B38" s="137"/>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3">
        <f t="shared" si="20"/>
        <v>0</v>
      </c>
      <c r="S38" s="801">
        <f t="shared" si="11"/>
        <v>0</v>
      </c>
    </row>
    <row r="39" spans="1:19">
      <c r="A39" s="966"/>
      <c r="B39" s="137"/>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3">
        <f t="shared" si="20"/>
        <v>0</v>
      </c>
      <c r="S39" s="801">
        <f t="shared" si="11"/>
        <v>0</v>
      </c>
    </row>
    <row r="40" spans="1:19">
      <c r="A40" s="966"/>
      <c r="B40" s="137"/>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3">
        <f t="shared" si="20"/>
        <v>0</v>
      </c>
      <c r="S40" s="801">
        <f t="shared" si="11"/>
        <v>0</v>
      </c>
    </row>
    <row r="41" spans="1:19">
      <c r="A41" s="966"/>
      <c r="B41" s="137"/>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3">
        <f t="shared" si="20"/>
        <v>0</v>
      </c>
      <c r="S41" s="801">
        <f t="shared" si="11"/>
        <v>0</v>
      </c>
    </row>
    <row r="42" spans="1:19">
      <c r="A42" s="966"/>
      <c r="B42" s="137"/>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3">
        <f t="shared" si="20"/>
        <v>0</v>
      </c>
      <c r="S42" s="801">
        <f t="shared" si="11"/>
        <v>0</v>
      </c>
    </row>
    <row r="43" spans="1:19">
      <c r="A43" s="966"/>
      <c r="B43" s="137"/>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3">
        <f t="shared" si="20"/>
        <v>0</v>
      </c>
      <c r="S43" s="801">
        <f t="shared" si="11"/>
        <v>0</v>
      </c>
    </row>
    <row r="44" spans="1:19">
      <c r="A44" s="966"/>
      <c r="B44" s="137"/>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3">
        <f t="shared" si="20"/>
        <v>0</v>
      </c>
      <c r="S44" s="801">
        <f t="shared" si="11"/>
        <v>0</v>
      </c>
    </row>
    <row r="45" spans="1:19">
      <c r="A45" s="966"/>
      <c r="B45" s="137"/>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3">
        <f t="shared" si="20"/>
        <v>0</v>
      </c>
      <c r="S45" s="801">
        <f t="shared" si="11"/>
        <v>0</v>
      </c>
    </row>
    <row r="46" spans="1:19">
      <c r="A46" s="966"/>
      <c r="B46" s="137"/>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3">
        <f t="shared" si="20"/>
        <v>0</v>
      </c>
      <c r="S46" s="801">
        <f t="shared" si="11"/>
        <v>0</v>
      </c>
    </row>
    <row r="47" spans="1:19">
      <c r="A47" s="966"/>
      <c r="B47" s="137"/>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3">
        <f t="shared" si="20"/>
        <v>0</v>
      </c>
      <c r="S47" s="801">
        <f t="shared" si="11"/>
        <v>0</v>
      </c>
    </row>
    <row r="48" spans="1:19">
      <c r="A48" s="966"/>
      <c r="B48" s="137"/>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3">
        <f t="shared" si="20"/>
        <v>0</v>
      </c>
      <c r="S48" s="801">
        <f t="shared" si="11"/>
        <v>0</v>
      </c>
    </row>
    <row r="49" spans="1:19">
      <c r="A49" s="966"/>
      <c r="B49" s="137"/>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3">
        <f t="shared" si="20"/>
        <v>0</v>
      </c>
      <c r="S49" s="801">
        <f t="shared" si="11"/>
        <v>0</v>
      </c>
    </row>
    <row r="50" spans="1:19">
      <c r="A50" s="966"/>
      <c r="B50" s="137"/>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3">
        <f t="shared" si="20"/>
        <v>0</v>
      </c>
      <c r="S50" s="801">
        <f t="shared" si="11"/>
        <v>0</v>
      </c>
    </row>
    <row r="51" spans="1:19">
      <c r="A51" s="966"/>
      <c r="B51" s="137"/>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3">
        <f t="shared" si="20"/>
        <v>0</v>
      </c>
      <c r="S51" s="801">
        <f t="shared" si="11"/>
        <v>0</v>
      </c>
    </row>
    <row r="52" spans="1:19">
      <c r="A52" s="966"/>
      <c r="B52" s="137"/>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3">
        <f t="shared" si="20"/>
        <v>0</v>
      </c>
      <c r="S52" s="801">
        <f t="shared" si="11"/>
        <v>0</v>
      </c>
    </row>
    <row r="53" spans="1:19">
      <c r="A53" s="966"/>
      <c r="B53" s="137"/>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3">
        <f t="shared" si="20"/>
        <v>0</v>
      </c>
      <c r="S53" s="801">
        <f t="shared" si="11"/>
        <v>0</v>
      </c>
    </row>
    <row r="54" spans="1:19">
      <c r="A54" s="966"/>
      <c r="B54" s="137"/>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3">
        <f t="shared" si="20"/>
        <v>0</v>
      </c>
      <c r="S54" s="801">
        <f t="shared" si="11"/>
        <v>0</v>
      </c>
    </row>
    <row r="55" spans="1:19">
      <c r="A55" s="966"/>
      <c r="B55" s="137"/>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3">
        <f t="shared" si="20"/>
        <v>0</v>
      </c>
      <c r="S55" s="801">
        <f t="shared" ref="S55:S77" si="21">ROUND(R55*B55/10000,0)</f>
        <v>0</v>
      </c>
    </row>
    <row r="56" spans="1:19">
      <c r="A56" s="966"/>
      <c r="B56" s="137"/>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3">
        <f t="shared" si="20"/>
        <v>0</v>
      </c>
      <c r="S56" s="801">
        <f t="shared" si="21"/>
        <v>0</v>
      </c>
    </row>
    <row r="57" spans="1:19">
      <c r="A57" s="966"/>
      <c r="B57" s="137"/>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3">
        <f t="shared" si="20"/>
        <v>0</v>
      </c>
      <c r="S57" s="801">
        <f t="shared" si="21"/>
        <v>0</v>
      </c>
    </row>
    <row r="58" spans="1:19">
      <c r="A58" s="966"/>
      <c r="B58" s="137"/>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3">
        <f t="shared" si="20"/>
        <v>0</v>
      </c>
      <c r="S58" s="801">
        <f t="shared" si="21"/>
        <v>0</v>
      </c>
    </row>
    <row r="59" spans="1:19">
      <c r="A59" s="966"/>
      <c r="B59" s="137"/>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3">
        <f t="shared" si="20"/>
        <v>0</v>
      </c>
      <c r="S59" s="801">
        <f t="shared" si="21"/>
        <v>0</v>
      </c>
    </row>
    <row r="60" spans="1:19">
      <c r="A60" s="966"/>
      <c r="B60" s="137"/>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3">
        <f t="shared" si="20"/>
        <v>0</v>
      </c>
      <c r="S60" s="801">
        <f t="shared" si="21"/>
        <v>0</v>
      </c>
    </row>
    <row r="61" spans="1:19">
      <c r="A61" s="966"/>
      <c r="B61" s="137"/>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3">
        <f t="shared" si="20"/>
        <v>0</v>
      </c>
      <c r="S61" s="801">
        <f t="shared" si="21"/>
        <v>0</v>
      </c>
    </row>
    <row r="62" spans="1:19">
      <c r="A62" s="966"/>
      <c r="B62" s="137"/>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3">
        <f t="shared" si="20"/>
        <v>0</v>
      </c>
      <c r="S62" s="801">
        <f t="shared" si="21"/>
        <v>0</v>
      </c>
    </row>
    <row r="63" spans="1:19">
      <c r="A63" s="966"/>
      <c r="B63" s="137"/>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3">
        <f t="shared" si="20"/>
        <v>0</v>
      </c>
      <c r="S63" s="801">
        <f t="shared" si="21"/>
        <v>0</v>
      </c>
    </row>
    <row r="64" spans="1:19">
      <c r="A64" s="966"/>
      <c r="B64" s="137"/>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3">
        <f t="shared" si="20"/>
        <v>0</v>
      </c>
      <c r="S64" s="801">
        <f t="shared" si="21"/>
        <v>0</v>
      </c>
    </row>
    <row r="65" spans="1:19">
      <c r="A65" s="966"/>
      <c r="B65" s="137"/>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3">
        <f t="shared" si="20"/>
        <v>0</v>
      </c>
      <c r="S65" s="801">
        <f t="shared" si="21"/>
        <v>0</v>
      </c>
    </row>
    <row r="66" spans="1:19">
      <c r="A66" s="966"/>
      <c r="B66" s="137"/>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3">
        <f t="shared" si="20"/>
        <v>0</v>
      </c>
      <c r="S66" s="801">
        <f t="shared" si="21"/>
        <v>0</v>
      </c>
    </row>
    <row r="67" spans="1:19">
      <c r="A67" s="966"/>
      <c r="B67" s="137"/>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3">
        <f t="shared" si="20"/>
        <v>0</v>
      </c>
      <c r="S67" s="801">
        <f t="shared" si="21"/>
        <v>0</v>
      </c>
    </row>
    <row r="68" spans="1:19">
      <c r="A68" s="966"/>
      <c r="B68" s="137"/>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3">
        <f t="shared" si="20"/>
        <v>0</v>
      </c>
      <c r="S68" s="801">
        <f t="shared" si="21"/>
        <v>0</v>
      </c>
    </row>
    <row r="69" spans="1:19">
      <c r="A69" s="966"/>
      <c r="B69" s="137"/>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3">
        <f t="shared" si="20"/>
        <v>0</v>
      </c>
      <c r="S69" s="801">
        <f t="shared" si="21"/>
        <v>0</v>
      </c>
    </row>
    <row r="70" spans="1:19">
      <c r="A70" s="966"/>
      <c r="B70" s="137"/>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3">
        <f t="shared" si="20"/>
        <v>0</v>
      </c>
      <c r="S70" s="801">
        <f t="shared" si="21"/>
        <v>0</v>
      </c>
    </row>
    <row r="71" spans="1:19">
      <c r="A71" s="966"/>
      <c r="B71" s="137"/>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3">
        <f t="shared" si="20"/>
        <v>0</v>
      </c>
      <c r="S71" s="801">
        <f t="shared" si="21"/>
        <v>0</v>
      </c>
    </row>
    <row r="72" spans="1:19">
      <c r="A72" s="966"/>
      <c r="B72" s="137"/>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3">
        <f t="shared" si="20"/>
        <v>0</v>
      </c>
      <c r="S72" s="801">
        <f t="shared" si="21"/>
        <v>0</v>
      </c>
    </row>
    <row r="73" spans="1:19">
      <c r="A73" s="966"/>
      <c r="B73" s="137"/>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3">
        <f t="shared" si="20"/>
        <v>0</v>
      </c>
      <c r="S73" s="801">
        <f t="shared" si="21"/>
        <v>0</v>
      </c>
    </row>
    <row r="74" spans="1:19">
      <c r="A74" s="966"/>
      <c r="B74" s="137"/>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3">
        <f t="shared" si="20"/>
        <v>0</v>
      </c>
      <c r="S74" s="801">
        <f t="shared" si="21"/>
        <v>0</v>
      </c>
    </row>
    <row r="75" spans="1:19">
      <c r="A75" s="966"/>
      <c r="B75" s="137"/>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3">
        <f t="shared" si="20"/>
        <v>0</v>
      </c>
      <c r="S75" s="801">
        <f t="shared" si="21"/>
        <v>0</v>
      </c>
    </row>
    <row r="76" spans="1:19">
      <c r="A76" s="966"/>
      <c r="B76" s="137"/>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3">
        <f t="shared" si="20"/>
        <v>0</v>
      </c>
      <c r="S76" s="801">
        <f t="shared" si="21"/>
        <v>0</v>
      </c>
    </row>
    <row r="77" spans="1:19">
      <c r="A77" s="966"/>
      <c r="B77" s="137"/>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3">
        <f t="shared" si="20"/>
        <v>0</v>
      </c>
      <c r="S77" s="801">
        <f t="shared" si="21"/>
        <v>0</v>
      </c>
    </row>
    <row r="78" spans="1:19">
      <c r="A78" s="966"/>
      <c r="B78" s="137"/>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3">
        <f t="shared" si="20"/>
        <v>0</v>
      </c>
      <c r="S78" s="801">
        <f t="shared" ref="S78:S122" si="22">ROUND(R78*B78/10000,0)</f>
        <v>0</v>
      </c>
    </row>
    <row r="79" spans="1:19">
      <c r="A79" s="966"/>
      <c r="B79" s="137"/>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3">
        <f t="shared" si="20"/>
        <v>0</v>
      </c>
      <c r="S79" s="801">
        <f t="shared" si="22"/>
        <v>0</v>
      </c>
    </row>
    <row r="80" spans="1:19">
      <c r="A80" s="966"/>
      <c r="B80" s="137"/>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3">
        <f t="shared" si="20"/>
        <v>0</v>
      </c>
      <c r="S80" s="801">
        <f t="shared" si="22"/>
        <v>0</v>
      </c>
    </row>
    <row r="81" spans="1:19">
      <c r="A81" s="966"/>
      <c r="B81" s="137"/>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3">
        <f t="shared" si="20"/>
        <v>0</v>
      </c>
      <c r="S81" s="801">
        <f t="shared" si="22"/>
        <v>0</v>
      </c>
    </row>
    <row r="82" spans="1:19">
      <c r="A82" s="966"/>
      <c r="B82" s="137"/>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3">
        <f t="shared" si="20"/>
        <v>0</v>
      </c>
      <c r="S82" s="801">
        <f t="shared" si="22"/>
        <v>0</v>
      </c>
    </row>
    <row r="83" spans="1:19">
      <c r="A83" s="966"/>
      <c r="B83" s="137"/>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3">
        <f t="shared" si="20"/>
        <v>0</v>
      </c>
      <c r="S83" s="801">
        <f t="shared" si="22"/>
        <v>0</v>
      </c>
    </row>
    <row r="84" spans="1:19">
      <c r="A84" s="966"/>
      <c r="B84" s="137"/>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3">
        <f t="shared" si="20"/>
        <v>0</v>
      </c>
      <c r="S84" s="801">
        <f t="shared" si="22"/>
        <v>0</v>
      </c>
    </row>
    <row r="85" spans="1:19">
      <c r="A85" s="966"/>
      <c r="B85" s="137"/>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3">
        <f t="shared" si="20"/>
        <v>0</v>
      </c>
      <c r="S85" s="801">
        <f t="shared" si="22"/>
        <v>0</v>
      </c>
    </row>
    <row r="86" spans="1:19">
      <c r="A86" s="966"/>
      <c r="B86" s="137"/>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3">
        <f t="shared" si="20"/>
        <v>0</v>
      </c>
      <c r="S86" s="801">
        <f t="shared" si="22"/>
        <v>0</v>
      </c>
    </row>
    <row r="87" spans="1:19">
      <c r="A87" s="966"/>
      <c r="B87" s="137"/>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3">
        <f t="shared" si="20"/>
        <v>0</v>
      </c>
      <c r="S87" s="801">
        <f t="shared" si="22"/>
        <v>0</v>
      </c>
    </row>
    <row r="88" spans="1:19">
      <c r="A88" s="966"/>
      <c r="B88" s="137"/>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3">
        <f t="shared" si="20"/>
        <v>0</v>
      </c>
      <c r="S88" s="801">
        <f t="shared" si="22"/>
        <v>0</v>
      </c>
    </row>
    <row r="89" spans="1:19">
      <c r="A89" s="966"/>
      <c r="B89" s="137"/>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3">
        <f t="shared" si="20"/>
        <v>0</v>
      </c>
      <c r="S89" s="801">
        <f t="shared" si="22"/>
        <v>0</v>
      </c>
    </row>
    <row r="90" spans="1:19">
      <c r="A90" s="966"/>
      <c r="B90" s="137"/>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3">
        <f t="shared" ref="R90:R153" si="31">IF(B90="",0,ROUND($R$24*C90*E90*G90*I90*K90*M90*O90*Q90,0))</f>
        <v>0</v>
      </c>
      <c r="S90" s="801">
        <f t="shared" si="22"/>
        <v>0</v>
      </c>
    </row>
    <row r="91" spans="1:19">
      <c r="A91" s="966"/>
      <c r="B91" s="137"/>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3">
        <f t="shared" si="31"/>
        <v>0</v>
      </c>
      <c r="S91" s="801">
        <f t="shared" si="22"/>
        <v>0</v>
      </c>
    </row>
    <row r="92" spans="1:19">
      <c r="A92" s="966"/>
      <c r="B92" s="137"/>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3">
        <f t="shared" si="31"/>
        <v>0</v>
      </c>
      <c r="S92" s="801">
        <f t="shared" si="22"/>
        <v>0</v>
      </c>
    </row>
    <row r="93" spans="1:19">
      <c r="A93" s="966"/>
      <c r="B93" s="137"/>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3">
        <f t="shared" si="31"/>
        <v>0</v>
      </c>
      <c r="S93" s="801">
        <f t="shared" si="22"/>
        <v>0</v>
      </c>
    </row>
    <row r="94" spans="1:19">
      <c r="A94" s="966"/>
      <c r="B94" s="137"/>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3">
        <f t="shared" si="31"/>
        <v>0</v>
      </c>
      <c r="S94" s="801">
        <f t="shared" si="22"/>
        <v>0</v>
      </c>
    </row>
    <row r="95" spans="1:19">
      <c r="A95" s="966"/>
      <c r="B95" s="137"/>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3">
        <f t="shared" si="31"/>
        <v>0</v>
      </c>
      <c r="S95" s="801">
        <f t="shared" si="22"/>
        <v>0</v>
      </c>
    </row>
    <row r="96" spans="1:19">
      <c r="A96" s="966"/>
      <c r="B96" s="137"/>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3">
        <f t="shared" si="31"/>
        <v>0</v>
      </c>
      <c r="S96" s="801">
        <f t="shared" si="22"/>
        <v>0</v>
      </c>
    </row>
    <row r="97" spans="1:19">
      <c r="A97" s="966"/>
      <c r="B97" s="137"/>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3">
        <f t="shared" si="31"/>
        <v>0</v>
      </c>
      <c r="S97" s="801">
        <f t="shared" si="22"/>
        <v>0</v>
      </c>
    </row>
    <row r="98" spans="1:19">
      <c r="A98" s="966"/>
      <c r="B98" s="137"/>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3">
        <f t="shared" si="31"/>
        <v>0</v>
      </c>
      <c r="S98" s="801">
        <f t="shared" si="22"/>
        <v>0</v>
      </c>
    </row>
    <row r="99" spans="1:19">
      <c r="A99" s="966"/>
      <c r="B99" s="137"/>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3">
        <f t="shared" si="31"/>
        <v>0</v>
      </c>
      <c r="S99" s="801">
        <f t="shared" si="22"/>
        <v>0</v>
      </c>
    </row>
    <row r="100" spans="1:19">
      <c r="A100" s="966"/>
      <c r="B100" s="137"/>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3">
        <f t="shared" si="31"/>
        <v>0</v>
      </c>
      <c r="S100" s="801">
        <f t="shared" si="22"/>
        <v>0</v>
      </c>
    </row>
    <row r="101" spans="1:19">
      <c r="A101" s="966"/>
      <c r="B101" s="137"/>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3">
        <f t="shared" si="31"/>
        <v>0</v>
      </c>
      <c r="S101" s="801">
        <f t="shared" si="22"/>
        <v>0</v>
      </c>
    </row>
    <row r="102" spans="1:19">
      <c r="A102" s="966"/>
      <c r="B102" s="137"/>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3">
        <f t="shared" si="31"/>
        <v>0</v>
      </c>
      <c r="S102" s="801">
        <f t="shared" si="22"/>
        <v>0</v>
      </c>
    </row>
    <row r="103" spans="1:19">
      <c r="A103" s="966"/>
      <c r="B103" s="137"/>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3">
        <f t="shared" si="31"/>
        <v>0</v>
      </c>
      <c r="S103" s="801">
        <f t="shared" si="22"/>
        <v>0</v>
      </c>
    </row>
    <row r="104" spans="1:19">
      <c r="A104" s="966"/>
      <c r="B104" s="137"/>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3">
        <f t="shared" si="31"/>
        <v>0</v>
      </c>
      <c r="S104" s="801">
        <f t="shared" si="22"/>
        <v>0</v>
      </c>
    </row>
    <row r="105" spans="1:19">
      <c r="A105" s="966"/>
      <c r="B105" s="137"/>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3">
        <f t="shared" si="31"/>
        <v>0</v>
      </c>
      <c r="S105" s="801">
        <f t="shared" si="22"/>
        <v>0</v>
      </c>
    </row>
    <row r="106" spans="1:19">
      <c r="A106" s="966"/>
      <c r="B106" s="137"/>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3">
        <f t="shared" si="31"/>
        <v>0</v>
      </c>
      <c r="S106" s="801">
        <f t="shared" si="22"/>
        <v>0</v>
      </c>
    </row>
    <row r="107" spans="1:19">
      <c r="A107" s="966"/>
      <c r="B107" s="137"/>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3">
        <f t="shared" si="31"/>
        <v>0</v>
      </c>
      <c r="S107" s="801">
        <f t="shared" si="22"/>
        <v>0</v>
      </c>
    </row>
    <row r="108" spans="1:19">
      <c r="A108" s="966"/>
      <c r="B108" s="137"/>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3">
        <f t="shared" si="31"/>
        <v>0</v>
      </c>
      <c r="S108" s="801">
        <f t="shared" si="22"/>
        <v>0</v>
      </c>
    </row>
    <row r="109" spans="1:19">
      <c r="A109" s="966"/>
      <c r="B109" s="137"/>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3">
        <f t="shared" si="31"/>
        <v>0</v>
      </c>
      <c r="S109" s="801">
        <f t="shared" si="22"/>
        <v>0</v>
      </c>
    </row>
    <row r="110" spans="1:19">
      <c r="A110" s="966"/>
      <c r="B110" s="137"/>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3">
        <f t="shared" si="31"/>
        <v>0</v>
      </c>
      <c r="S110" s="801">
        <f t="shared" si="22"/>
        <v>0</v>
      </c>
    </row>
    <row r="111" spans="1:19">
      <c r="A111" s="966"/>
      <c r="B111" s="137"/>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3">
        <f t="shared" si="31"/>
        <v>0</v>
      </c>
      <c r="S111" s="801">
        <f t="shared" si="22"/>
        <v>0</v>
      </c>
    </row>
    <row r="112" spans="1:19">
      <c r="A112" s="966"/>
      <c r="B112" s="137"/>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3">
        <f t="shared" si="31"/>
        <v>0</v>
      </c>
      <c r="S112" s="801">
        <f t="shared" si="22"/>
        <v>0</v>
      </c>
    </row>
    <row r="113" spans="1:19">
      <c r="A113" s="966"/>
      <c r="B113" s="137"/>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3">
        <f t="shared" si="31"/>
        <v>0</v>
      </c>
      <c r="S113" s="801">
        <f t="shared" si="22"/>
        <v>0</v>
      </c>
    </row>
    <row r="114" spans="1:19">
      <c r="A114" s="966"/>
      <c r="B114" s="137"/>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3">
        <f t="shared" si="31"/>
        <v>0</v>
      </c>
      <c r="S114" s="801">
        <f t="shared" si="22"/>
        <v>0</v>
      </c>
    </row>
    <row r="115" spans="1:19">
      <c r="A115" s="966"/>
      <c r="B115" s="137"/>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3">
        <f t="shared" si="31"/>
        <v>0</v>
      </c>
      <c r="S115" s="801">
        <f t="shared" si="22"/>
        <v>0</v>
      </c>
    </row>
    <row r="116" spans="1:19">
      <c r="A116" s="966"/>
      <c r="B116" s="137"/>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3">
        <f t="shared" si="31"/>
        <v>0</v>
      </c>
      <c r="S116" s="801">
        <f t="shared" si="22"/>
        <v>0</v>
      </c>
    </row>
    <row r="117" spans="1:19">
      <c r="A117" s="966"/>
      <c r="B117" s="137"/>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3">
        <f t="shared" si="31"/>
        <v>0</v>
      </c>
      <c r="S117" s="801">
        <f t="shared" si="22"/>
        <v>0</v>
      </c>
    </row>
    <row r="118" spans="1:19">
      <c r="A118" s="966"/>
      <c r="B118" s="137"/>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3">
        <f t="shared" si="31"/>
        <v>0</v>
      </c>
      <c r="S118" s="801">
        <f t="shared" si="22"/>
        <v>0</v>
      </c>
    </row>
    <row r="119" spans="1:19">
      <c r="A119" s="966"/>
      <c r="B119" s="137"/>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3">
        <f t="shared" si="31"/>
        <v>0</v>
      </c>
      <c r="S119" s="801">
        <f t="shared" si="22"/>
        <v>0</v>
      </c>
    </row>
    <row r="120" spans="1:19">
      <c r="A120" s="966"/>
      <c r="B120" s="137"/>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3">
        <f t="shared" si="31"/>
        <v>0</v>
      </c>
      <c r="S120" s="801">
        <f t="shared" si="22"/>
        <v>0</v>
      </c>
    </row>
    <row r="121" spans="1:19">
      <c r="A121" s="966"/>
      <c r="B121" s="137"/>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3">
        <f t="shared" si="31"/>
        <v>0</v>
      </c>
      <c r="S121" s="801">
        <f t="shared" si="22"/>
        <v>0</v>
      </c>
    </row>
    <row r="122" spans="1:19">
      <c r="A122" s="966"/>
      <c r="B122" s="137"/>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3">
        <f t="shared" si="31"/>
        <v>0</v>
      </c>
      <c r="S122" s="801">
        <f t="shared" si="22"/>
        <v>0</v>
      </c>
    </row>
    <row r="123" spans="1:19">
      <c r="A123" s="966"/>
      <c r="B123" s="137"/>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3">
        <f t="shared" si="31"/>
        <v>0</v>
      </c>
      <c r="S123" s="801">
        <f t="shared" ref="S123:S186" si="32">ROUND(R123*B123/10000,0)</f>
        <v>0</v>
      </c>
    </row>
    <row r="124" spans="1:19">
      <c r="A124" s="966"/>
      <c r="B124" s="137"/>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3">
        <f t="shared" si="31"/>
        <v>0</v>
      </c>
      <c r="S124" s="801">
        <f t="shared" si="32"/>
        <v>0</v>
      </c>
    </row>
    <row r="125" spans="1:19">
      <c r="A125" s="966"/>
      <c r="B125" s="137"/>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3">
        <f t="shared" si="31"/>
        <v>0</v>
      </c>
      <c r="S125" s="801">
        <f t="shared" si="32"/>
        <v>0</v>
      </c>
    </row>
    <row r="126" spans="1:19">
      <c r="A126" s="966"/>
      <c r="B126" s="137"/>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3">
        <f t="shared" si="31"/>
        <v>0</v>
      </c>
      <c r="S126" s="801">
        <f t="shared" si="32"/>
        <v>0</v>
      </c>
    </row>
    <row r="127" spans="1:19">
      <c r="A127" s="966"/>
      <c r="B127" s="137"/>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3">
        <f t="shared" si="31"/>
        <v>0</v>
      </c>
      <c r="S127" s="801">
        <f t="shared" si="32"/>
        <v>0</v>
      </c>
    </row>
    <row r="128" spans="1:19">
      <c r="A128" s="966"/>
      <c r="B128" s="137"/>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3">
        <f t="shared" si="31"/>
        <v>0</v>
      </c>
      <c r="S128" s="801">
        <f t="shared" si="32"/>
        <v>0</v>
      </c>
    </row>
    <row r="129" spans="1:19">
      <c r="A129" s="966"/>
      <c r="B129" s="137"/>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3">
        <f t="shared" si="31"/>
        <v>0</v>
      </c>
      <c r="S129" s="801">
        <f t="shared" si="32"/>
        <v>0</v>
      </c>
    </row>
    <row r="130" spans="1:19">
      <c r="A130" s="966"/>
      <c r="B130" s="137"/>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3">
        <f t="shared" si="31"/>
        <v>0</v>
      </c>
      <c r="S130" s="801">
        <f t="shared" si="32"/>
        <v>0</v>
      </c>
    </row>
    <row r="131" spans="1:19">
      <c r="A131" s="966"/>
      <c r="B131" s="137"/>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3">
        <f t="shared" si="31"/>
        <v>0</v>
      </c>
      <c r="S131" s="801">
        <f t="shared" si="32"/>
        <v>0</v>
      </c>
    </row>
    <row r="132" spans="1:19">
      <c r="A132" s="966"/>
      <c r="B132" s="137"/>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3">
        <f t="shared" si="31"/>
        <v>0</v>
      </c>
      <c r="S132" s="801">
        <f t="shared" si="32"/>
        <v>0</v>
      </c>
    </row>
    <row r="133" spans="1:19">
      <c r="A133" s="966"/>
      <c r="B133" s="137"/>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3">
        <f t="shared" si="31"/>
        <v>0</v>
      </c>
      <c r="S133" s="801">
        <f t="shared" si="32"/>
        <v>0</v>
      </c>
    </row>
    <row r="134" spans="1:19">
      <c r="A134" s="966"/>
      <c r="B134" s="137"/>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3">
        <f t="shared" si="31"/>
        <v>0</v>
      </c>
      <c r="S134" s="801">
        <f t="shared" si="32"/>
        <v>0</v>
      </c>
    </row>
    <row r="135" spans="1:19">
      <c r="A135" s="966"/>
      <c r="B135" s="137"/>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3">
        <f t="shared" si="31"/>
        <v>0</v>
      </c>
      <c r="S135" s="801">
        <f t="shared" si="32"/>
        <v>0</v>
      </c>
    </row>
    <row r="136" spans="1:19">
      <c r="A136" s="966"/>
      <c r="B136" s="137"/>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3">
        <f t="shared" si="31"/>
        <v>0</v>
      </c>
      <c r="S136" s="801">
        <f t="shared" si="32"/>
        <v>0</v>
      </c>
    </row>
    <row r="137" spans="1:19">
      <c r="A137" s="966"/>
      <c r="B137" s="137"/>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3">
        <f t="shared" si="31"/>
        <v>0</v>
      </c>
      <c r="S137" s="801">
        <f t="shared" si="32"/>
        <v>0</v>
      </c>
    </row>
    <row r="138" spans="1:19">
      <c r="A138" s="966"/>
      <c r="B138" s="137"/>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3">
        <f t="shared" si="31"/>
        <v>0</v>
      </c>
      <c r="S138" s="801">
        <f t="shared" si="32"/>
        <v>0</v>
      </c>
    </row>
    <row r="139" spans="1:19">
      <c r="A139" s="966"/>
      <c r="B139" s="137"/>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3">
        <f t="shared" si="31"/>
        <v>0</v>
      </c>
      <c r="S139" s="801">
        <f t="shared" si="32"/>
        <v>0</v>
      </c>
    </row>
    <row r="140" spans="1:19">
      <c r="A140" s="966"/>
      <c r="B140" s="137"/>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3">
        <f t="shared" si="31"/>
        <v>0</v>
      </c>
      <c r="S140" s="801">
        <f t="shared" si="32"/>
        <v>0</v>
      </c>
    </row>
    <row r="141" spans="1:19">
      <c r="A141" s="966"/>
      <c r="B141" s="137"/>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3">
        <f t="shared" si="31"/>
        <v>0</v>
      </c>
      <c r="S141" s="801">
        <f t="shared" si="32"/>
        <v>0</v>
      </c>
    </row>
    <row r="142" spans="1:19">
      <c r="A142" s="966"/>
      <c r="B142" s="137"/>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3">
        <f t="shared" si="31"/>
        <v>0</v>
      </c>
      <c r="S142" s="801">
        <f t="shared" si="32"/>
        <v>0</v>
      </c>
    </row>
    <row r="143" spans="1:19">
      <c r="A143" s="966"/>
      <c r="B143" s="137"/>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3">
        <f t="shared" si="31"/>
        <v>0</v>
      </c>
      <c r="S143" s="801">
        <f t="shared" si="32"/>
        <v>0</v>
      </c>
    </row>
    <row r="144" spans="1:19">
      <c r="A144" s="966"/>
      <c r="B144" s="137"/>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3">
        <f t="shared" si="31"/>
        <v>0</v>
      </c>
      <c r="S144" s="801">
        <f t="shared" si="32"/>
        <v>0</v>
      </c>
    </row>
    <row r="145" spans="1:19">
      <c r="A145" s="966"/>
      <c r="B145" s="137"/>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3">
        <f t="shared" si="31"/>
        <v>0</v>
      </c>
      <c r="S145" s="801">
        <f t="shared" si="32"/>
        <v>0</v>
      </c>
    </row>
    <row r="146" spans="1:19">
      <c r="A146" s="966"/>
      <c r="B146" s="137"/>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3">
        <f t="shared" si="31"/>
        <v>0</v>
      </c>
      <c r="S146" s="801">
        <f t="shared" si="32"/>
        <v>0</v>
      </c>
    </row>
    <row r="147" spans="1:19">
      <c r="A147" s="966"/>
      <c r="B147" s="137"/>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3">
        <f t="shared" si="31"/>
        <v>0</v>
      </c>
      <c r="S147" s="801">
        <f t="shared" si="32"/>
        <v>0</v>
      </c>
    </row>
    <row r="148" spans="1:19">
      <c r="A148" s="966"/>
      <c r="B148" s="137"/>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3">
        <f t="shared" si="31"/>
        <v>0</v>
      </c>
      <c r="S148" s="801">
        <f t="shared" si="32"/>
        <v>0</v>
      </c>
    </row>
    <row r="149" spans="1:19">
      <c r="A149" s="966"/>
      <c r="B149" s="137"/>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3">
        <f t="shared" si="31"/>
        <v>0</v>
      </c>
      <c r="S149" s="801">
        <f t="shared" si="32"/>
        <v>0</v>
      </c>
    </row>
    <row r="150" spans="1:19">
      <c r="A150" s="966"/>
      <c r="B150" s="137"/>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3">
        <f t="shared" si="31"/>
        <v>0</v>
      </c>
      <c r="S150" s="801">
        <f t="shared" si="32"/>
        <v>0</v>
      </c>
    </row>
    <row r="151" spans="1:19">
      <c r="A151" s="966"/>
      <c r="B151" s="137"/>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3">
        <f t="shared" si="31"/>
        <v>0</v>
      </c>
      <c r="S151" s="801">
        <f t="shared" si="32"/>
        <v>0</v>
      </c>
    </row>
    <row r="152" spans="1:19">
      <c r="A152" s="966"/>
      <c r="B152" s="137"/>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3">
        <f t="shared" si="31"/>
        <v>0</v>
      </c>
      <c r="S152" s="801">
        <f t="shared" si="32"/>
        <v>0</v>
      </c>
    </row>
    <row r="153" spans="1:19">
      <c r="A153" s="966"/>
      <c r="B153" s="137"/>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3">
        <f t="shared" si="31"/>
        <v>0</v>
      </c>
      <c r="S153" s="801">
        <f t="shared" si="32"/>
        <v>0</v>
      </c>
    </row>
    <row r="154" spans="1:19">
      <c r="A154" s="966"/>
      <c r="B154" s="137"/>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3">
        <f t="shared" ref="R154:R217" si="41">IF(B154="",0,ROUND($R$24*C154*E154*G154*I154*K154*M154*O154*Q154,0))</f>
        <v>0</v>
      </c>
      <c r="S154" s="801">
        <f t="shared" si="32"/>
        <v>0</v>
      </c>
    </row>
    <row r="155" spans="1:19">
      <c r="A155" s="966"/>
      <c r="B155" s="137"/>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3">
        <f t="shared" si="41"/>
        <v>0</v>
      </c>
      <c r="S155" s="801">
        <f t="shared" si="32"/>
        <v>0</v>
      </c>
    </row>
    <row r="156" spans="1:19">
      <c r="A156" s="966"/>
      <c r="B156" s="137"/>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3">
        <f t="shared" si="41"/>
        <v>0</v>
      </c>
      <c r="S156" s="801">
        <f t="shared" si="32"/>
        <v>0</v>
      </c>
    </row>
    <row r="157" spans="1:19">
      <c r="A157" s="966"/>
      <c r="B157" s="137"/>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3">
        <f t="shared" si="41"/>
        <v>0</v>
      </c>
      <c r="S157" s="801">
        <f t="shared" si="32"/>
        <v>0</v>
      </c>
    </row>
    <row r="158" spans="1:19">
      <c r="A158" s="966"/>
      <c r="B158" s="137"/>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3">
        <f t="shared" si="41"/>
        <v>0</v>
      </c>
      <c r="S158" s="801">
        <f t="shared" si="32"/>
        <v>0</v>
      </c>
    </row>
    <row r="159" spans="1:19">
      <c r="A159" s="966"/>
      <c r="B159" s="137"/>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3">
        <f t="shared" si="41"/>
        <v>0</v>
      </c>
      <c r="S159" s="801">
        <f t="shared" si="32"/>
        <v>0</v>
      </c>
    </row>
    <row r="160" spans="1:19">
      <c r="A160" s="966"/>
      <c r="B160" s="137"/>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3">
        <f t="shared" si="41"/>
        <v>0</v>
      </c>
      <c r="S160" s="801">
        <f t="shared" si="32"/>
        <v>0</v>
      </c>
    </row>
    <row r="161" spans="1:19">
      <c r="A161" s="966"/>
      <c r="B161" s="137"/>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3">
        <f t="shared" si="41"/>
        <v>0</v>
      </c>
      <c r="S161" s="801">
        <f t="shared" si="32"/>
        <v>0</v>
      </c>
    </row>
    <row r="162" spans="1:19">
      <c r="A162" s="966"/>
      <c r="B162" s="137"/>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3">
        <f t="shared" si="41"/>
        <v>0</v>
      </c>
      <c r="S162" s="801">
        <f t="shared" si="32"/>
        <v>0</v>
      </c>
    </row>
    <row r="163" spans="1:19">
      <c r="A163" s="966"/>
      <c r="B163" s="137"/>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3">
        <f t="shared" si="41"/>
        <v>0</v>
      </c>
      <c r="S163" s="801">
        <f t="shared" si="32"/>
        <v>0</v>
      </c>
    </row>
    <row r="164" spans="1:19">
      <c r="A164" s="966"/>
      <c r="B164" s="137"/>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3">
        <f t="shared" si="41"/>
        <v>0</v>
      </c>
      <c r="S164" s="801">
        <f t="shared" si="32"/>
        <v>0</v>
      </c>
    </row>
    <row r="165" spans="1:19">
      <c r="A165" s="966"/>
      <c r="B165" s="137"/>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3">
        <f t="shared" si="41"/>
        <v>0</v>
      </c>
      <c r="S165" s="801">
        <f t="shared" si="32"/>
        <v>0</v>
      </c>
    </row>
    <row r="166" spans="1:19">
      <c r="A166" s="966"/>
      <c r="B166" s="137"/>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3">
        <f t="shared" si="41"/>
        <v>0</v>
      </c>
      <c r="S166" s="801">
        <f t="shared" si="32"/>
        <v>0</v>
      </c>
    </row>
    <row r="167" spans="1:19">
      <c r="A167" s="966"/>
      <c r="B167" s="137"/>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3">
        <f t="shared" si="41"/>
        <v>0</v>
      </c>
      <c r="S167" s="801">
        <f t="shared" si="32"/>
        <v>0</v>
      </c>
    </row>
    <row r="168" spans="1:19">
      <c r="A168" s="966"/>
      <c r="B168" s="137"/>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3">
        <f t="shared" si="41"/>
        <v>0</v>
      </c>
      <c r="S168" s="801">
        <f t="shared" si="32"/>
        <v>0</v>
      </c>
    </row>
    <row r="169" spans="1:19">
      <c r="A169" s="966"/>
      <c r="B169" s="137"/>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3">
        <f t="shared" si="41"/>
        <v>0</v>
      </c>
      <c r="S169" s="801">
        <f t="shared" si="32"/>
        <v>0</v>
      </c>
    </row>
    <row r="170" spans="1:19">
      <c r="A170" s="966"/>
      <c r="B170" s="137"/>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3">
        <f t="shared" si="41"/>
        <v>0</v>
      </c>
      <c r="S170" s="801">
        <f t="shared" si="32"/>
        <v>0</v>
      </c>
    </row>
    <row r="171" spans="1:19">
      <c r="A171" s="966"/>
      <c r="B171" s="137"/>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3">
        <f t="shared" si="41"/>
        <v>0</v>
      </c>
      <c r="S171" s="801">
        <f t="shared" si="32"/>
        <v>0</v>
      </c>
    </row>
    <row r="172" spans="1:19">
      <c r="A172" s="966"/>
      <c r="B172" s="137"/>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3">
        <f t="shared" si="41"/>
        <v>0</v>
      </c>
      <c r="S172" s="801">
        <f t="shared" si="32"/>
        <v>0</v>
      </c>
    </row>
    <row r="173" spans="1:19">
      <c r="A173" s="966"/>
      <c r="B173" s="137"/>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3">
        <f t="shared" si="41"/>
        <v>0</v>
      </c>
      <c r="S173" s="801">
        <f t="shared" si="32"/>
        <v>0</v>
      </c>
    </row>
    <row r="174" spans="1:19">
      <c r="A174" s="966"/>
      <c r="B174" s="137"/>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3">
        <f t="shared" si="41"/>
        <v>0</v>
      </c>
      <c r="S174" s="801">
        <f t="shared" si="32"/>
        <v>0</v>
      </c>
    </row>
    <row r="175" spans="1:19">
      <c r="A175" s="966"/>
      <c r="B175" s="137"/>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3">
        <f t="shared" si="41"/>
        <v>0</v>
      </c>
      <c r="S175" s="801">
        <f t="shared" si="32"/>
        <v>0</v>
      </c>
    </row>
    <row r="176" spans="1:19">
      <c r="A176" s="966"/>
      <c r="B176" s="137"/>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3">
        <f t="shared" si="41"/>
        <v>0</v>
      </c>
      <c r="S176" s="801">
        <f t="shared" si="32"/>
        <v>0</v>
      </c>
    </row>
    <row r="177" spans="1:19">
      <c r="A177" s="966"/>
      <c r="B177" s="137"/>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3">
        <f t="shared" si="41"/>
        <v>0</v>
      </c>
      <c r="S177" s="801">
        <f t="shared" si="32"/>
        <v>0</v>
      </c>
    </row>
    <row r="178" spans="1:19">
      <c r="A178" s="966"/>
      <c r="B178" s="137"/>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3">
        <f t="shared" si="41"/>
        <v>0</v>
      </c>
      <c r="S178" s="801">
        <f t="shared" si="32"/>
        <v>0</v>
      </c>
    </row>
    <row r="179" spans="1:19">
      <c r="A179" s="966"/>
      <c r="B179" s="137"/>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3">
        <f t="shared" si="41"/>
        <v>0</v>
      </c>
      <c r="S179" s="801">
        <f t="shared" si="32"/>
        <v>0</v>
      </c>
    </row>
    <row r="180" spans="1:19">
      <c r="A180" s="966"/>
      <c r="B180" s="137"/>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3">
        <f t="shared" si="41"/>
        <v>0</v>
      </c>
      <c r="S180" s="801">
        <f t="shared" si="32"/>
        <v>0</v>
      </c>
    </row>
    <row r="181" spans="1:19">
      <c r="A181" s="966"/>
      <c r="B181" s="137"/>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3">
        <f t="shared" si="41"/>
        <v>0</v>
      </c>
      <c r="S181" s="801">
        <f t="shared" si="32"/>
        <v>0</v>
      </c>
    </row>
    <row r="182" spans="1:19">
      <c r="A182" s="966"/>
      <c r="B182" s="137"/>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3">
        <f t="shared" si="41"/>
        <v>0</v>
      </c>
      <c r="S182" s="801">
        <f t="shared" si="32"/>
        <v>0</v>
      </c>
    </row>
    <row r="183" spans="1:19">
      <c r="A183" s="966"/>
      <c r="B183" s="137"/>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3">
        <f t="shared" si="41"/>
        <v>0</v>
      </c>
      <c r="S183" s="801">
        <f t="shared" si="32"/>
        <v>0</v>
      </c>
    </row>
    <row r="184" spans="1:19">
      <c r="A184" s="966"/>
      <c r="B184" s="137"/>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3">
        <f t="shared" si="41"/>
        <v>0</v>
      </c>
      <c r="S184" s="801">
        <f t="shared" si="32"/>
        <v>0</v>
      </c>
    </row>
    <row r="185" spans="1:19">
      <c r="A185" s="966"/>
      <c r="B185" s="137"/>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3">
        <f t="shared" si="41"/>
        <v>0</v>
      </c>
      <c r="S185" s="801">
        <f t="shared" si="32"/>
        <v>0</v>
      </c>
    </row>
    <row r="186" spans="1:19">
      <c r="A186" s="966"/>
      <c r="B186" s="137"/>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3">
        <f t="shared" si="41"/>
        <v>0</v>
      </c>
      <c r="S186" s="801">
        <f t="shared" si="32"/>
        <v>0</v>
      </c>
    </row>
    <row r="187" spans="1:19">
      <c r="A187" s="966"/>
      <c r="B187" s="137"/>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3">
        <f t="shared" si="41"/>
        <v>0</v>
      </c>
      <c r="S187" s="801">
        <f t="shared" ref="S187:S222" si="42">ROUND(R187*B187/10000,0)</f>
        <v>0</v>
      </c>
    </row>
    <row r="188" spans="1:19">
      <c r="A188" s="966"/>
      <c r="B188" s="137"/>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3">
        <f t="shared" si="41"/>
        <v>0</v>
      </c>
      <c r="S188" s="801">
        <f t="shared" si="42"/>
        <v>0</v>
      </c>
    </row>
    <row r="189" spans="1:19">
      <c r="A189" s="966"/>
      <c r="B189" s="137"/>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3">
        <f t="shared" si="41"/>
        <v>0</v>
      </c>
      <c r="S189" s="801">
        <f t="shared" si="42"/>
        <v>0</v>
      </c>
    </row>
    <row r="190" spans="1:19">
      <c r="A190" s="966"/>
      <c r="B190" s="137"/>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3">
        <f t="shared" si="41"/>
        <v>0</v>
      </c>
      <c r="S190" s="801">
        <f t="shared" si="42"/>
        <v>0</v>
      </c>
    </row>
    <row r="191" spans="1:19">
      <c r="A191" s="966"/>
      <c r="B191" s="137"/>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3">
        <f t="shared" si="41"/>
        <v>0</v>
      </c>
      <c r="S191" s="801">
        <f t="shared" si="42"/>
        <v>0</v>
      </c>
    </row>
    <row r="192" spans="1:19">
      <c r="A192" s="966"/>
      <c r="B192" s="137"/>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3">
        <f t="shared" si="41"/>
        <v>0</v>
      </c>
      <c r="S192" s="801">
        <f t="shared" si="42"/>
        <v>0</v>
      </c>
    </row>
    <row r="193" spans="1:19">
      <c r="A193" s="966"/>
      <c r="B193" s="137"/>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3">
        <f t="shared" si="41"/>
        <v>0</v>
      </c>
      <c r="S193" s="801">
        <f t="shared" si="42"/>
        <v>0</v>
      </c>
    </row>
    <row r="194" spans="1:19">
      <c r="A194" s="966"/>
      <c r="B194" s="137"/>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3">
        <f t="shared" si="41"/>
        <v>0</v>
      </c>
      <c r="S194" s="801">
        <f t="shared" si="42"/>
        <v>0</v>
      </c>
    </row>
    <row r="195" spans="1:19">
      <c r="A195" s="966"/>
      <c r="B195" s="137"/>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3">
        <f t="shared" si="41"/>
        <v>0</v>
      </c>
      <c r="S195" s="801">
        <f t="shared" si="42"/>
        <v>0</v>
      </c>
    </row>
    <row r="196" spans="1:19">
      <c r="A196" s="966"/>
      <c r="B196" s="137"/>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3">
        <f t="shared" si="41"/>
        <v>0</v>
      </c>
      <c r="S196" s="801">
        <f t="shared" si="42"/>
        <v>0</v>
      </c>
    </row>
    <row r="197" spans="1:19">
      <c r="A197" s="966"/>
      <c r="B197" s="137"/>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3">
        <f t="shared" si="41"/>
        <v>0</v>
      </c>
      <c r="S197" s="801">
        <f t="shared" si="42"/>
        <v>0</v>
      </c>
    </row>
    <row r="198" spans="1:19">
      <c r="A198" s="966"/>
      <c r="B198" s="137"/>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3">
        <f t="shared" si="41"/>
        <v>0</v>
      </c>
      <c r="S198" s="801">
        <f t="shared" si="42"/>
        <v>0</v>
      </c>
    </row>
    <row r="199" spans="1:19">
      <c r="A199" s="966"/>
      <c r="B199" s="137"/>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3">
        <f t="shared" si="41"/>
        <v>0</v>
      </c>
      <c r="S199" s="801">
        <f t="shared" si="42"/>
        <v>0</v>
      </c>
    </row>
    <row r="200" spans="1:19">
      <c r="A200" s="966"/>
      <c r="B200" s="137"/>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3">
        <f t="shared" si="41"/>
        <v>0</v>
      </c>
      <c r="S200" s="801">
        <f t="shared" si="42"/>
        <v>0</v>
      </c>
    </row>
    <row r="201" spans="1:19">
      <c r="A201" s="966"/>
      <c r="B201" s="137"/>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3">
        <f t="shared" si="41"/>
        <v>0</v>
      </c>
      <c r="S201" s="801">
        <f t="shared" si="42"/>
        <v>0</v>
      </c>
    </row>
    <row r="202" spans="1:19">
      <c r="A202" s="966"/>
      <c r="B202" s="137"/>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3">
        <f t="shared" si="41"/>
        <v>0</v>
      </c>
      <c r="S202" s="801">
        <f t="shared" si="42"/>
        <v>0</v>
      </c>
    </row>
    <row r="203" spans="1:19">
      <c r="A203" s="966"/>
      <c r="B203" s="137"/>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3">
        <f t="shared" si="41"/>
        <v>0</v>
      </c>
      <c r="S203" s="801">
        <f t="shared" si="42"/>
        <v>0</v>
      </c>
    </row>
    <row r="204" spans="1:19">
      <c r="A204" s="966"/>
      <c r="B204" s="137"/>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3">
        <f t="shared" si="41"/>
        <v>0</v>
      </c>
      <c r="S204" s="801">
        <f t="shared" si="42"/>
        <v>0</v>
      </c>
    </row>
    <row r="205" spans="1:19">
      <c r="A205" s="966"/>
      <c r="B205" s="137"/>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3">
        <f t="shared" si="41"/>
        <v>0</v>
      </c>
      <c r="S205" s="801">
        <f t="shared" si="42"/>
        <v>0</v>
      </c>
    </row>
    <row r="206" spans="1:19">
      <c r="A206" s="966"/>
      <c r="B206" s="137"/>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3">
        <f t="shared" si="41"/>
        <v>0</v>
      </c>
      <c r="S206" s="801">
        <f t="shared" si="42"/>
        <v>0</v>
      </c>
    </row>
    <row r="207" spans="1:19">
      <c r="A207" s="966"/>
      <c r="B207" s="137"/>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3">
        <f t="shared" si="41"/>
        <v>0</v>
      </c>
      <c r="S207" s="801">
        <f t="shared" si="42"/>
        <v>0</v>
      </c>
    </row>
    <row r="208" spans="1:19">
      <c r="A208" s="966"/>
      <c r="B208" s="137"/>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3">
        <f t="shared" si="41"/>
        <v>0</v>
      </c>
      <c r="S208" s="801">
        <f t="shared" si="42"/>
        <v>0</v>
      </c>
    </row>
    <row r="209" spans="1:19">
      <c r="A209" s="966"/>
      <c r="B209" s="137"/>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3">
        <f t="shared" si="41"/>
        <v>0</v>
      </c>
      <c r="S209" s="801">
        <f t="shared" si="42"/>
        <v>0</v>
      </c>
    </row>
    <row r="210" spans="1:19">
      <c r="A210" s="966"/>
      <c r="B210" s="137"/>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3">
        <f t="shared" si="41"/>
        <v>0</v>
      </c>
      <c r="S210" s="801">
        <f t="shared" si="42"/>
        <v>0</v>
      </c>
    </row>
    <row r="211" spans="1:19">
      <c r="A211" s="966"/>
      <c r="B211" s="137"/>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3">
        <f t="shared" si="41"/>
        <v>0</v>
      </c>
      <c r="S211" s="801">
        <f t="shared" si="42"/>
        <v>0</v>
      </c>
    </row>
    <row r="212" spans="1:19">
      <c r="A212" s="966"/>
      <c r="B212" s="137"/>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3">
        <f t="shared" si="41"/>
        <v>0</v>
      </c>
      <c r="S212" s="801">
        <f t="shared" si="42"/>
        <v>0</v>
      </c>
    </row>
    <row r="213" spans="1:19">
      <c r="A213" s="966"/>
      <c r="B213" s="137"/>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3">
        <f t="shared" si="41"/>
        <v>0</v>
      </c>
      <c r="S213" s="801">
        <f t="shared" si="42"/>
        <v>0</v>
      </c>
    </row>
    <row r="214" spans="1:19">
      <c r="A214" s="966"/>
      <c r="B214" s="137"/>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3">
        <f t="shared" si="41"/>
        <v>0</v>
      </c>
      <c r="S214" s="801">
        <f t="shared" si="42"/>
        <v>0</v>
      </c>
    </row>
    <row r="215" spans="1:19">
      <c r="A215" s="966"/>
      <c r="B215" s="137"/>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3">
        <f t="shared" si="41"/>
        <v>0</v>
      </c>
      <c r="S215" s="801">
        <f t="shared" si="42"/>
        <v>0</v>
      </c>
    </row>
    <row r="216" spans="1:19">
      <c r="A216" s="966"/>
      <c r="B216" s="137"/>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3">
        <f t="shared" si="41"/>
        <v>0</v>
      </c>
      <c r="S216" s="801">
        <f t="shared" si="42"/>
        <v>0</v>
      </c>
    </row>
    <row r="217" spans="1:19">
      <c r="A217" s="966"/>
      <c r="B217" s="137"/>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3">
        <f t="shared" si="41"/>
        <v>0</v>
      </c>
      <c r="S217" s="801">
        <f t="shared" si="42"/>
        <v>0</v>
      </c>
    </row>
    <row r="218" spans="1:19">
      <c r="A218" s="966"/>
      <c r="B218" s="137"/>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3">
        <f t="shared" ref="R218:R281" si="51">IF(B218="",0,ROUND($R$24*C218*E218*G218*I218*K218*M218*O218*Q218,0))</f>
        <v>0</v>
      </c>
      <c r="S218" s="801">
        <f t="shared" si="42"/>
        <v>0</v>
      </c>
    </row>
    <row r="219" spans="1:19">
      <c r="A219" s="966"/>
      <c r="B219" s="137"/>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3">
        <f t="shared" si="51"/>
        <v>0</v>
      </c>
      <c r="S219" s="801">
        <f t="shared" si="42"/>
        <v>0</v>
      </c>
    </row>
    <row r="220" spans="1:19">
      <c r="A220" s="966"/>
      <c r="B220" s="137"/>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3">
        <f t="shared" si="51"/>
        <v>0</v>
      </c>
      <c r="S220" s="801">
        <f t="shared" si="42"/>
        <v>0</v>
      </c>
    </row>
    <row r="221" spans="1:19">
      <c r="A221" s="966"/>
      <c r="B221" s="137"/>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3">
        <f t="shared" si="51"/>
        <v>0</v>
      </c>
      <c r="S221" s="801">
        <f t="shared" si="42"/>
        <v>0</v>
      </c>
    </row>
    <row r="222" spans="1:19">
      <c r="A222" s="966"/>
      <c r="B222" s="137"/>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3">
        <f t="shared" si="51"/>
        <v>0</v>
      </c>
      <c r="S222" s="801">
        <f t="shared" si="42"/>
        <v>0</v>
      </c>
    </row>
    <row r="223" spans="1:19">
      <c r="A223" s="966"/>
      <c r="B223" s="137"/>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3">
        <f t="shared" si="51"/>
        <v>0</v>
      </c>
      <c r="S223" s="801">
        <f t="shared" ref="S223:S286" si="52">ROUND(R223*B223/10000,0)</f>
        <v>0</v>
      </c>
    </row>
    <row r="224" spans="1:19">
      <c r="A224" s="966"/>
      <c r="B224" s="137"/>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3">
        <f t="shared" si="51"/>
        <v>0</v>
      </c>
      <c r="S224" s="801">
        <f t="shared" si="52"/>
        <v>0</v>
      </c>
    </row>
    <row r="225" spans="1:19">
      <c r="A225" s="966"/>
      <c r="B225" s="137"/>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3">
        <f t="shared" si="51"/>
        <v>0</v>
      </c>
      <c r="S225" s="801">
        <f t="shared" si="52"/>
        <v>0</v>
      </c>
    </row>
    <row r="226" spans="1:19">
      <c r="A226" s="966"/>
      <c r="B226" s="137"/>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3">
        <f t="shared" si="51"/>
        <v>0</v>
      </c>
      <c r="S226" s="801">
        <f t="shared" si="52"/>
        <v>0</v>
      </c>
    </row>
    <row r="227" spans="1:19">
      <c r="A227" s="966"/>
      <c r="B227" s="137"/>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3">
        <f t="shared" si="51"/>
        <v>0</v>
      </c>
      <c r="S227" s="801">
        <f t="shared" si="52"/>
        <v>0</v>
      </c>
    </row>
    <row r="228" spans="1:19">
      <c r="A228" s="966"/>
      <c r="B228" s="137"/>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3">
        <f t="shared" si="51"/>
        <v>0</v>
      </c>
      <c r="S228" s="801">
        <f t="shared" si="52"/>
        <v>0</v>
      </c>
    </row>
    <row r="229" spans="1:19">
      <c r="A229" s="966"/>
      <c r="B229" s="137"/>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3">
        <f t="shared" si="51"/>
        <v>0</v>
      </c>
      <c r="S229" s="801">
        <f t="shared" si="52"/>
        <v>0</v>
      </c>
    </row>
    <row r="230" spans="1:19">
      <c r="A230" s="966"/>
      <c r="B230" s="137"/>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3">
        <f t="shared" si="51"/>
        <v>0</v>
      </c>
      <c r="S230" s="801">
        <f t="shared" si="52"/>
        <v>0</v>
      </c>
    </row>
    <row r="231" spans="1:19">
      <c r="A231" s="966"/>
      <c r="B231" s="137"/>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3">
        <f t="shared" si="51"/>
        <v>0</v>
      </c>
      <c r="S231" s="801">
        <f t="shared" si="52"/>
        <v>0</v>
      </c>
    </row>
    <row r="232" spans="1:19">
      <c r="A232" s="966"/>
      <c r="B232" s="137"/>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3">
        <f t="shared" si="51"/>
        <v>0</v>
      </c>
      <c r="S232" s="801">
        <f t="shared" si="52"/>
        <v>0</v>
      </c>
    </row>
    <row r="233" spans="1:19">
      <c r="A233" s="966"/>
      <c r="B233" s="137"/>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3">
        <f t="shared" si="51"/>
        <v>0</v>
      </c>
      <c r="S233" s="801">
        <f t="shared" si="52"/>
        <v>0</v>
      </c>
    </row>
    <row r="234" spans="1:19">
      <c r="A234" s="966"/>
      <c r="B234" s="137"/>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3">
        <f t="shared" si="51"/>
        <v>0</v>
      </c>
      <c r="S234" s="801">
        <f t="shared" si="52"/>
        <v>0</v>
      </c>
    </row>
    <row r="235" spans="1:19">
      <c r="A235" s="966"/>
      <c r="B235" s="137"/>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3">
        <f t="shared" si="51"/>
        <v>0</v>
      </c>
      <c r="S235" s="801">
        <f t="shared" si="52"/>
        <v>0</v>
      </c>
    </row>
    <row r="236" spans="1:19">
      <c r="A236" s="966"/>
      <c r="B236" s="137"/>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3">
        <f t="shared" si="51"/>
        <v>0</v>
      </c>
      <c r="S236" s="801">
        <f t="shared" si="52"/>
        <v>0</v>
      </c>
    </row>
    <row r="237" spans="1:19">
      <c r="A237" s="966"/>
      <c r="B237" s="137"/>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3">
        <f t="shared" si="51"/>
        <v>0</v>
      </c>
      <c r="S237" s="801">
        <f t="shared" si="52"/>
        <v>0</v>
      </c>
    </row>
    <row r="238" spans="1:19">
      <c r="A238" s="966"/>
      <c r="B238" s="137"/>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3">
        <f t="shared" si="51"/>
        <v>0</v>
      </c>
      <c r="S238" s="801">
        <f t="shared" si="52"/>
        <v>0</v>
      </c>
    </row>
    <row r="239" spans="1:19">
      <c r="A239" s="966"/>
      <c r="B239" s="137"/>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3">
        <f t="shared" si="51"/>
        <v>0</v>
      </c>
      <c r="S239" s="801">
        <f t="shared" si="52"/>
        <v>0</v>
      </c>
    </row>
    <row r="240" spans="1:19">
      <c r="A240" s="966"/>
      <c r="B240" s="137"/>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3">
        <f t="shared" si="51"/>
        <v>0</v>
      </c>
      <c r="S240" s="801">
        <f t="shared" si="52"/>
        <v>0</v>
      </c>
    </row>
    <row r="241" spans="1:19">
      <c r="A241" s="966"/>
      <c r="B241" s="137"/>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3">
        <f t="shared" si="51"/>
        <v>0</v>
      </c>
      <c r="S241" s="801">
        <f t="shared" si="52"/>
        <v>0</v>
      </c>
    </row>
    <row r="242" spans="1:19">
      <c r="A242" s="966"/>
      <c r="B242" s="137"/>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3">
        <f t="shared" si="51"/>
        <v>0</v>
      </c>
      <c r="S242" s="801">
        <f t="shared" si="52"/>
        <v>0</v>
      </c>
    </row>
    <row r="243" spans="1:19">
      <c r="A243" s="966"/>
      <c r="B243" s="137"/>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3">
        <f t="shared" si="51"/>
        <v>0</v>
      </c>
      <c r="S243" s="801">
        <f t="shared" si="52"/>
        <v>0</v>
      </c>
    </row>
    <row r="244" spans="1:19">
      <c r="A244" s="966"/>
      <c r="B244" s="137"/>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3">
        <f t="shared" si="51"/>
        <v>0</v>
      </c>
      <c r="S244" s="801">
        <f t="shared" si="52"/>
        <v>0</v>
      </c>
    </row>
    <row r="245" spans="1:19">
      <c r="A245" s="966"/>
      <c r="B245" s="137"/>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3">
        <f t="shared" si="51"/>
        <v>0</v>
      </c>
      <c r="S245" s="801">
        <f t="shared" si="52"/>
        <v>0</v>
      </c>
    </row>
    <row r="246" spans="1:19">
      <c r="A246" s="966"/>
      <c r="B246" s="137"/>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3">
        <f t="shared" si="51"/>
        <v>0</v>
      </c>
      <c r="S246" s="801">
        <f t="shared" si="52"/>
        <v>0</v>
      </c>
    </row>
    <row r="247" spans="1:19">
      <c r="A247" s="966"/>
      <c r="B247" s="137"/>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3">
        <f t="shared" si="51"/>
        <v>0</v>
      </c>
      <c r="S247" s="801">
        <f t="shared" si="52"/>
        <v>0</v>
      </c>
    </row>
    <row r="248" spans="1:19">
      <c r="A248" s="966"/>
      <c r="B248" s="137"/>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3">
        <f t="shared" si="51"/>
        <v>0</v>
      </c>
      <c r="S248" s="801">
        <f t="shared" si="52"/>
        <v>0</v>
      </c>
    </row>
    <row r="249" spans="1:19">
      <c r="A249" s="966"/>
      <c r="B249" s="137"/>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3">
        <f t="shared" si="51"/>
        <v>0</v>
      </c>
      <c r="S249" s="801">
        <f t="shared" si="52"/>
        <v>0</v>
      </c>
    </row>
    <row r="250" spans="1:19">
      <c r="A250" s="966"/>
      <c r="B250" s="137"/>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3">
        <f t="shared" si="51"/>
        <v>0</v>
      </c>
      <c r="S250" s="801">
        <f t="shared" si="52"/>
        <v>0</v>
      </c>
    </row>
    <row r="251" spans="1:19">
      <c r="A251" s="966"/>
      <c r="B251" s="137"/>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3">
        <f t="shared" si="51"/>
        <v>0</v>
      </c>
      <c r="S251" s="801">
        <f t="shared" si="52"/>
        <v>0</v>
      </c>
    </row>
    <row r="252" spans="1:19">
      <c r="A252" s="966"/>
      <c r="B252" s="137"/>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3">
        <f t="shared" si="51"/>
        <v>0</v>
      </c>
      <c r="S252" s="801">
        <f t="shared" si="52"/>
        <v>0</v>
      </c>
    </row>
    <row r="253" spans="1:19">
      <c r="A253" s="966"/>
      <c r="B253" s="137"/>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3">
        <f t="shared" si="51"/>
        <v>0</v>
      </c>
      <c r="S253" s="801">
        <f t="shared" si="52"/>
        <v>0</v>
      </c>
    </row>
    <row r="254" spans="1:19">
      <c r="A254" s="966"/>
      <c r="B254" s="137"/>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3">
        <f t="shared" si="51"/>
        <v>0</v>
      </c>
      <c r="S254" s="801">
        <f t="shared" si="52"/>
        <v>0</v>
      </c>
    </row>
    <row r="255" spans="1:19">
      <c r="A255" s="966"/>
      <c r="B255" s="137"/>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3">
        <f t="shared" si="51"/>
        <v>0</v>
      </c>
      <c r="S255" s="801">
        <f t="shared" si="52"/>
        <v>0</v>
      </c>
    </row>
    <row r="256" spans="1:19">
      <c r="A256" s="966"/>
      <c r="B256" s="137"/>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3">
        <f t="shared" si="51"/>
        <v>0</v>
      </c>
      <c r="S256" s="801">
        <f t="shared" si="52"/>
        <v>0</v>
      </c>
    </row>
    <row r="257" spans="1:19">
      <c r="A257" s="966"/>
      <c r="B257" s="137"/>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3">
        <f t="shared" si="51"/>
        <v>0</v>
      </c>
      <c r="S257" s="801">
        <f t="shared" si="52"/>
        <v>0</v>
      </c>
    </row>
    <row r="258" spans="1:19">
      <c r="A258" s="966"/>
      <c r="B258" s="137"/>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3">
        <f t="shared" si="51"/>
        <v>0</v>
      </c>
      <c r="S258" s="801">
        <f t="shared" si="52"/>
        <v>0</v>
      </c>
    </row>
    <row r="259" spans="1:19">
      <c r="A259" s="966"/>
      <c r="B259" s="137"/>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3">
        <f t="shared" si="51"/>
        <v>0</v>
      </c>
      <c r="S259" s="801">
        <f t="shared" si="52"/>
        <v>0</v>
      </c>
    </row>
    <row r="260" spans="1:19">
      <c r="A260" s="966"/>
      <c r="B260" s="137"/>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3">
        <f t="shared" si="51"/>
        <v>0</v>
      </c>
      <c r="S260" s="801">
        <f t="shared" si="52"/>
        <v>0</v>
      </c>
    </row>
    <row r="261" spans="1:19">
      <c r="A261" s="966"/>
      <c r="B261" s="137"/>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3">
        <f t="shared" si="51"/>
        <v>0</v>
      </c>
      <c r="S261" s="801">
        <f t="shared" si="52"/>
        <v>0</v>
      </c>
    </row>
    <row r="262" spans="1:19">
      <c r="A262" s="966"/>
      <c r="B262" s="137"/>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3">
        <f t="shared" si="51"/>
        <v>0</v>
      </c>
      <c r="S262" s="801">
        <f t="shared" si="52"/>
        <v>0</v>
      </c>
    </row>
    <row r="263" spans="1:19">
      <c r="A263" s="966"/>
      <c r="B263" s="137"/>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3">
        <f t="shared" si="51"/>
        <v>0</v>
      </c>
      <c r="S263" s="801">
        <f t="shared" si="52"/>
        <v>0</v>
      </c>
    </row>
    <row r="264" spans="1:19">
      <c r="A264" s="966"/>
      <c r="B264" s="137"/>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3">
        <f t="shared" si="51"/>
        <v>0</v>
      </c>
      <c r="S264" s="801">
        <f t="shared" si="52"/>
        <v>0</v>
      </c>
    </row>
    <row r="265" spans="1:19">
      <c r="A265" s="966"/>
      <c r="B265" s="137"/>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3">
        <f t="shared" si="51"/>
        <v>0</v>
      </c>
      <c r="S265" s="801">
        <f t="shared" si="52"/>
        <v>0</v>
      </c>
    </row>
    <row r="266" spans="1:19">
      <c r="A266" s="966"/>
      <c r="B266" s="137"/>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3">
        <f t="shared" si="51"/>
        <v>0</v>
      </c>
      <c r="S266" s="801">
        <f t="shared" si="52"/>
        <v>0</v>
      </c>
    </row>
    <row r="267" spans="1:19">
      <c r="A267" s="966"/>
      <c r="B267" s="137"/>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3">
        <f t="shared" si="51"/>
        <v>0</v>
      </c>
      <c r="S267" s="801">
        <f t="shared" si="52"/>
        <v>0</v>
      </c>
    </row>
    <row r="268" spans="1:19">
      <c r="A268" s="966"/>
      <c r="B268" s="137"/>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3">
        <f t="shared" si="51"/>
        <v>0</v>
      </c>
      <c r="S268" s="801">
        <f t="shared" si="52"/>
        <v>0</v>
      </c>
    </row>
    <row r="269" spans="1:19">
      <c r="A269" s="966"/>
      <c r="B269" s="137"/>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3">
        <f t="shared" si="51"/>
        <v>0</v>
      </c>
      <c r="S269" s="801">
        <f t="shared" si="52"/>
        <v>0</v>
      </c>
    </row>
    <row r="270" spans="1:19">
      <c r="A270" s="966"/>
      <c r="B270" s="137"/>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3">
        <f t="shared" si="51"/>
        <v>0</v>
      </c>
      <c r="S270" s="801">
        <f t="shared" si="52"/>
        <v>0</v>
      </c>
    </row>
    <row r="271" spans="1:19">
      <c r="A271" s="966"/>
      <c r="B271" s="137"/>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3">
        <f t="shared" si="51"/>
        <v>0</v>
      </c>
      <c r="S271" s="801">
        <f t="shared" si="52"/>
        <v>0</v>
      </c>
    </row>
    <row r="272" spans="1:19">
      <c r="A272" s="966"/>
      <c r="B272" s="137"/>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3">
        <f t="shared" si="51"/>
        <v>0</v>
      </c>
      <c r="S272" s="801">
        <f t="shared" si="52"/>
        <v>0</v>
      </c>
    </row>
    <row r="273" spans="1:19">
      <c r="A273" s="966"/>
      <c r="B273" s="137"/>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3">
        <f t="shared" si="51"/>
        <v>0</v>
      </c>
      <c r="S273" s="801">
        <f t="shared" si="52"/>
        <v>0</v>
      </c>
    </row>
    <row r="274" spans="1:19">
      <c r="A274" s="966"/>
      <c r="B274" s="137"/>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3">
        <f t="shared" si="51"/>
        <v>0</v>
      </c>
      <c r="S274" s="801">
        <f t="shared" si="52"/>
        <v>0</v>
      </c>
    </row>
    <row r="275" spans="1:19">
      <c r="A275" s="966"/>
      <c r="B275" s="137"/>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3">
        <f t="shared" si="51"/>
        <v>0</v>
      </c>
      <c r="S275" s="801">
        <f t="shared" si="52"/>
        <v>0</v>
      </c>
    </row>
    <row r="276" spans="1:19">
      <c r="A276" s="966"/>
      <c r="B276" s="137"/>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3">
        <f t="shared" si="51"/>
        <v>0</v>
      </c>
      <c r="S276" s="801">
        <f t="shared" si="52"/>
        <v>0</v>
      </c>
    </row>
    <row r="277" spans="1:19">
      <c r="A277" s="966"/>
      <c r="B277" s="137"/>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3">
        <f t="shared" si="51"/>
        <v>0</v>
      </c>
      <c r="S277" s="801">
        <f t="shared" si="52"/>
        <v>0</v>
      </c>
    </row>
    <row r="278" spans="1:19">
      <c r="A278" s="966"/>
      <c r="B278" s="137"/>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3">
        <f t="shared" si="51"/>
        <v>0</v>
      </c>
      <c r="S278" s="801">
        <f t="shared" si="52"/>
        <v>0</v>
      </c>
    </row>
    <row r="279" spans="1:19">
      <c r="A279" s="966"/>
      <c r="B279" s="137"/>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3">
        <f t="shared" si="51"/>
        <v>0</v>
      </c>
      <c r="S279" s="801">
        <f t="shared" si="52"/>
        <v>0</v>
      </c>
    </row>
    <row r="280" spans="1:19">
      <c r="A280" s="966"/>
      <c r="B280" s="137"/>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3">
        <f t="shared" si="51"/>
        <v>0</v>
      </c>
      <c r="S280" s="801">
        <f t="shared" si="52"/>
        <v>0</v>
      </c>
    </row>
    <row r="281" spans="1:19">
      <c r="A281" s="966"/>
      <c r="B281" s="137"/>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3">
        <f t="shared" si="51"/>
        <v>0</v>
      </c>
      <c r="S281" s="801">
        <f t="shared" si="52"/>
        <v>0</v>
      </c>
    </row>
    <row r="282" spans="1:19">
      <c r="A282" s="966"/>
      <c r="B282" s="137"/>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3">
        <f t="shared" ref="R282:R345" si="61">IF(B282="",0,ROUND($R$24*C282*E282*G282*I282*K282*M282*O282*Q282,0))</f>
        <v>0</v>
      </c>
      <c r="S282" s="801">
        <f t="shared" si="52"/>
        <v>0</v>
      </c>
    </row>
    <row r="283" spans="1:19">
      <c r="A283" s="966"/>
      <c r="B283" s="137"/>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3">
        <f t="shared" si="61"/>
        <v>0</v>
      </c>
      <c r="S283" s="801">
        <f t="shared" si="52"/>
        <v>0</v>
      </c>
    </row>
    <row r="284" spans="1:19">
      <c r="A284" s="966"/>
      <c r="B284" s="137"/>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3">
        <f t="shared" si="61"/>
        <v>0</v>
      </c>
      <c r="S284" s="801">
        <f t="shared" si="52"/>
        <v>0</v>
      </c>
    </row>
    <row r="285" spans="1:19">
      <c r="A285" s="966"/>
      <c r="B285" s="137"/>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3">
        <f t="shared" si="61"/>
        <v>0</v>
      </c>
      <c r="S285" s="801">
        <f t="shared" si="52"/>
        <v>0</v>
      </c>
    </row>
    <row r="286" spans="1:19">
      <c r="A286" s="966"/>
      <c r="B286" s="137"/>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3">
        <f t="shared" si="61"/>
        <v>0</v>
      </c>
      <c r="S286" s="801">
        <f t="shared" si="52"/>
        <v>0</v>
      </c>
    </row>
    <row r="287" spans="1:19">
      <c r="A287" s="966"/>
      <c r="B287" s="137"/>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3">
        <f t="shared" si="61"/>
        <v>0</v>
      </c>
      <c r="S287" s="801">
        <f t="shared" ref="S287:S320" si="62">ROUND(R287*B287/10000,0)</f>
        <v>0</v>
      </c>
    </row>
    <row r="288" spans="1:19">
      <c r="A288" s="966"/>
      <c r="B288" s="137"/>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3">
        <f t="shared" si="61"/>
        <v>0</v>
      </c>
      <c r="S288" s="801">
        <f t="shared" si="62"/>
        <v>0</v>
      </c>
    </row>
    <row r="289" spans="1:19">
      <c r="A289" s="966"/>
      <c r="B289" s="137"/>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3">
        <f t="shared" si="61"/>
        <v>0</v>
      </c>
      <c r="S289" s="801">
        <f t="shared" si="62"/>
        <v>0</v>
      </c>
    </row>
    <row r="290" spans="1:19">
      <c r="A290" s="966"/>
      <c r="B290" s="137"/>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3">
        <f t="shared" si="61"/>
        <v>0</v>
      </c>
      <c r="S290" s="801">
        <f t="shared" si="62"/>
        <v>0</v>
      </c>
    </row>
    <row r="291" spans="1:19">
      <c r="A291" s="966"/>
      <c r="B291" s="137"/>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3">
        <f t="shared" si="61"/>
        <v>0</v>
      </c>
      <c r="S291" s="801">
        <f t="shared" si="62"/>
        <v>0</v>
      </c>
    </row>
    <row r="292" spans="1:19">
      <c r="A292" s="966"/>
      <c r="B292" s="137"/>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3">
        <f t="shared" si="61"/>
        <v>0</v>
      </c>
      <c r="S292" s="801">
        <f t="shared" si="62"/>
        <v>0</v>
      </c>
    </row>
    <row r="293" spans="1:19">
      <c r="A293" s="966"/>
      <c r="B293" s="137"/>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3">
        <f t="shared" si="61"/>
        <v>0</v>
      </c>
      <c r="S293" s="801">
        <f t="shared" si="62"/>
        <v>0</v>
      </c>
    </row>
    <row r="294" spans="1:19">
      <c r="A294" s="966"/>
      <c r="B294" s="137"/>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3">
        <f t="shared" si="61"/>
        <v>0</v>
      </c>
      <c r="S294" s="801">
        <f t="shared" si="62"/>
        <v>0</v>
      </c>
    </row>
    <row r="295" spans="1:19">
      <c r="A295" s="966"/>
      <c r="B295" s="137"/>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3">
        <f t="shared" si="61"/>
        <v>0</v>
      </c>
      <c r="S295" s="801">
        <f t="shared" si="62"/>
        <v>0</v>
      </c>
    </row>
    <row r="296" spans="1:19">
      <c r="A296" s="966"/>
      <c r="B296" s="137"/>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3">
        <f t="shared" si="61"/>
        <v>0</v>
      </c>
      <c r="S296" s="801">
        <f t="shared" si="62"/>
        <v>0</v>
      </c>
    </row>
    <row r="297" spans="1:19">
      <c r="A297" s="966"/>
      <c r="B297" s="137"/>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3">
        <f t="shared" si="61"/>
        <v>0</v>
      </c>
      <c r="S297" s="801">
        <f t="shared" si="62"/>
        <v>0</v>
      </c>
    </row>
    <row r="298" spans="1:19">
      <c r="A298" s="966"/>
      <c r="B298" s="137"/>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3">
        <f t="shared" si="61"/>
        <v>0</v>
      </c>
      <c r="S298" s="801">
        <f t="shared" si="62"/>
        <v>0</v>
      </c>
    </row>
    <row r="299" spans="1:19">
      <c r="A299" s="966"/>
      <c r="B299" s="137"/>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3">
        <f t="shared" si="61"/>
        <v>0</v>
      </c>
      <c r="S299" s="801">
        <f t="shared" si="62"/>
        <v>0</v>
      </c>
    </row>
    <row r="300" spans="1:19">
      <c r="A300" s="966"/>
      <c r="B300" s="137"/>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3">
        <f t="shared" si="61"/>
        <v>0</v>
      </c>
      <c r="S300" s="801">
        <f t="shared" si="62"/>
        <v>0</v>
      </c>
    </row>
    <row r="301" spans="1:19">
      <c r="A301" s="966"/>
      <c r="B301" s="137"/>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3">
        <f t="shared" si="61"/>
        <v>0</v>
      </c>
      <c r="S301" s="801">
        <f t="shared" si="62"/>
        <v>0</v>
      </c>
    </row>
    <row r="302" spans="1:19">
      <c r="A302" s="966"/>
      <c r="B302" s="137"/>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3">
        <f t="shared" si="61"/>
        <v>0</v>
      </c>
      <c r="S302" s="801">
        <f t="shared" si="62"/>
        <v>0</v>
      </c>
    </row>
    <row r="303" spans="1:19">
      <c r="A303" s="966"/>
      <c r="B303" s="137"/>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3">
        <f t="shared" si="61"/>
        <v>0</v>
      </c>
      <c r="S303" s="801">
        <f t="shared" si="62"/>
        <v>0</v>
      </c>
    </row>
    <row r="304" spans="1:19">
      <c r="A304" s="966"/>
      <c r="B304" s="137"/>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3">
        <f t="shared" si="61"/>
        <v>0</v>
      </c>
      <c r="S304" s="801">
        <f t="shared" si="62"/>
        <v>0</v>
      </c>
    </row>
    <row r="305" spans="1:19">
      <c r="A305" s="966"/>
      <c r="B305" s="137"/>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3">
        <f t="shared" si="61"/>
        <v>0</v>
      </c>
      <c r="S305" s="801">
        <f t="shared" si="62"/>
        <v>0</v>
      </c>
    </row>
    <row r="306" spans="1:19">
      <c r="A306" s="966"/>
      <c r="B306" s="137"/>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3">
        <f t="shared" si="61"/>
        <v>0</v>
      </c>
      <c r="S306" s="801">
        <f t="shared" si="62"/>
        <v>0</v>
      </c>
    </row>
    <row r="307" spans="1:19">
      <c r="A307" s="966"/>
      <c r="B307" s="137"/>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3">
        <f t="shared" si="61"/>
        <v>0</v>
      </c>
      <c r="S307" s="801">
        <f t="shared" si="62"/>
        <v>0</v>
      </c>
    </row>
    <row r="308" spans="1:19">
      <c r="A308" s="966"/>
      <c r="B308" s="137"/>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3">
        <f t="shared" si="61"/>
        <v>0</v>
      </c>
      <c r="S308" s="801">
        <f t="shared" si="62"/>
        <v>0</v>
      </c>
    </row>
    <row r="309" spans="1:19">
      <c r="A309" s="966"/>
      <c r="B309" s="137"/>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3">
        <f t="shared" si="61"/>
        <v>0</v>
      </c>
      <c r="S309" s="801">
        <f t="shared" si="62"/>
        <v>0</v>
      </c>
    </row>
    <row r="310" spans="1:19">
      <c r="A310" s="966"/>
      <c r="B310" s="137"/>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3">
        <f t="shared" si="61"/>
        <v>0</v>
      </c>
      <c r="S310" s="801">
        <f t="shared" si="62"/>
        <v>0</v>
      </c>
    </row>
    <row r="311" spans="1:19">
      <c r="A311" s="966"/>
      <c r="B311" s="137"/>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3">
        <f t="shared" si="61"/>
        <v>0</v>
      </c>
      <c r="S311" s="801">
        <f t="shared" si="62"/>
        <v>0</v>
      </c>
    </row>
    <row r="312" spans="1:19">
      <c r="A312" s="966"/>
      <c r="B312" s="137"/>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3">
        <f t="shared" si="61"/>
        <v>0</v>
      </c>
      <c r="S312" s="801">
        <f t="shared" si="62"/>
        <v>0</v>
      </c>
    </row>
    <row r="313" spans="1:19">
      <c r="A313" s="966"/>
      <c r="B313" s="137"/>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3">
        <f t="shared" si="61"/>
        <v>0</v>
      </c>
      <c r="S313" s="801">
        <f t="shared" si="62"/>
        <v>0</v>
      </c>
    </row>
    <row r="314" spans="1:19">
      <c r="A314" s="966"/>
      <c r="B314" s="137"/>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3">
        <f t="shared" si="61"/>
        <v>0</v>
      </c>
      <c r="S314" s="801">
        <f t="shared" si="62"/>
        <v>0</v>
      </c>
    </row>
    <row r="315" spans="1:19">
      <c r="A315" s="966"/>
      <c r="B315" s="137"/>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3">
        <f t="shared" si="61"/>
        <v>0</v>
      </c>
      <c r="S315" s="801">
        <f t="shared" si="62"/>
        <v>0</v>
      </c>
    </row>
    <row r="316" spans="1:19">
      <c r="A316" s="966"/>
      <c r="B316" s="137"/>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3">
        <f t="shared" si="61"/>
        <v>0</v>
      </c>
      <c r="S316" s="801">
        <f t="shared" si="62"/>
        <v>0</v>
      </c>
    </row>
    <row r="317" spans="1:19">
      <c r="A317" s="966"/>
      <c r="B317" s="137"/>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3">
        <f t="shared" si="61"/>
        <v>0</v>
      </c>
      <c r="S317" s="801">
        <f t="shared" si="62"/>
        <v>0</v>
      </c>
    </row>
    <row r="318" spans="1:19">
      <c r="A318" s="966"/>
      <c r="B318" s="137"/>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3">
        <f t="shared" si="61"/>
        <v>0</v>
      </c>
      <c r="S318" s="801">
        <f t="shared" si="62"/>
        <v>0</v>
      </c>
    </row>
    <row r="319" spans="1:19">
      <c r="A319" s="966"/>
      <c r="B319" s="137"/>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3">
        <f t="shared" si="61"/>
        <v>0</v>
      </c>
      <c r="S319" s="801">
        <f t="shared" si="62"/>
        <v>0</v>
      </c>
    </row>
    <row r="320" spans="1:19">
      <c r="A320" s="966"/>
      <c r="B320" s="137"/>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3">
        <f t="shared" si="61"/>
        <v>0</v>
      </c>
      <c r="S320" s="801">
        <f t="shared" si="62"/>
        <v>0</v>
      </c>
    </row>
    <row r="321" spans="1:19">
      <c r="A321" s="966"/>
      <c r="B321" s="137"/>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3">
        <f t="shared" si="61"/>
        <v>0</v>
      </c>
      <c r="S321" s="801">
        <f t="shared" ref="S321:S384" si="63">ROUND(R321*B321/10000,0)</f>
        <v>0</v>
      </c>
    </row>
    <row r="322" spans="1:19">
      <c r="A322" s="966"/>
      <c r="B322" s="137"/>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3">
        <f t="shared" si="61"/>
        <v>0</v>
      </c>
      <c r="S322" s="801">
        <f t="shared" si="63"/>
        <v>0</v>
      </c>
    </row>
    <row r="323" spans="1:19">
      <c r="A323" s="966"/>
      <c r="B323" s="137"/>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3">
        <f t="shared" si="61"/>
        <v>0</v>
      </c>
      <c r="S323" s="801">
        <f t="shared" si="63"/>
        <v>0</v>
      </c>
    </row>
    <row r="324" spans="1:19">
      <c r="A324" s="966"/>
      <c r="B324" s="137"/>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3">
        <f t="shared" si="61"/>
        <v>0</v>
      </c>
      <c r="S324" s="801">
        <f t="shared" si="63"/>
        <v>0</v>
      </c>
    </row>
    <row r="325" spans="1:19">
      <c r="A325" s="966"/>
      <c r="B325" s="137"/>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3">
        <f t="shared" si="61"/>
        <v>0</v>
      </c>
      <c r="S325" s="801">
        <f t="shared" si="63"/>
        <v>0</v>
      </c>
    </row>
    <row r="326" spans="1:19">
      <c r="A326" s="966"/>
      <c r="B326" s="137"/>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3">
        <f t="shared" si="61"/>
        <v>0</v>
      </c>
      <c r="S326" s="801">
        <f t="shared" si="63"/>
        <v>0</v>
      </c>
    </row>
    <row r="327" spans="1:19">
      <c r="A327" s="966"/>
      <c r="B327" s="137"/>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3">
        <f t="shared" si="61"/>
        <v>0</v>
      </c>
      <c r="S327" s="801">
        <f t="shared" si="63"/>
        <v>0</v>
      </c>
    </row>
    <row r="328" spans="1:19">
      <c r="A328" s="966"/>
      <c r="B328" s="137"/>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3">
        <f t="shared" si="61"/>
        <v>0</v>
      </c>
      <c r="S328" s="801">
        <f t="shared" si="63"/>
        <v>0</v>
      </c>
    </row>
    <row r="329" spans="1:19">
      <c r="A329" s="966"/>
      <c r="B329" s="137"/>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3">
        <f t="shared" si="61"/>
        <v>0</v>
      </c>
      <c r="S329" s="801">
        <f t="shared" si="63"/>
        <v>0</v>
      </c>
    </row>
    <row r="330" spans="1:19">
      <c r="A330" s="966"/>
      <c r="B330" s="137"/>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3">
        <f t="shared" si="61"/>
        <v>0</v>
      </c>
      <c r="S330" s="801">
        <f t="shared" si="63"/>
        <v>0</v>
      </c>
    </row>
    <row r="331" spans="1:19">
      <c r="A331" s="966"/>
      <c r="B331" s="137"/>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3">
        <f t="shared" si="61"/>
        <v>0</v>
      </c>
      <c r="S331" s="801">
        <f t="shared" si="63"/>
        <v>0</v>
      </c>
    </row>
    <row r="332" spans="1:19">
      <c r="A332" s="966"/>
      <c r="B332" s="137"/>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3">
        <f t="shared" si="61"/>
        <v>0</v>
      </c>
      <c r="S332" s="801">
        <f t="shared" si="63"/>
        <v>0</v>
      </c>
    </row>
    <row r="333" spans="1:19">
      <c r="A333" s="966"/>
      <c r="B333" s="137"/>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3">
        <f t="shared" si="61"/>
        <v>0</v>
      </c>
      <c r="S333" s="801">
        <f t="shared" si="63"/>
        <v>0</v>
      </c>
    </row>
    <row r="334" spans="1:19">
      <c r="A334" s="966"/>
      <c r="B334" s="137"/>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3">
        <f t="shared" si="61"/>
        <v>0</v>
      </c>
      <c r="S334" s="801">
        <f t="shared" si="63"/>
        <v>0</v>
      </c>
    </row>
    <row r="335" spans="1:19">
      <c r="A335" s="966"/>
      <c r="B335" s="137"/>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3">
        <f t="shared" si="61"/>
        <v>0</v>
      </c>
      <c r="S335" s="801">
        <f t="shared" si="63"/>
        <v>0</v>
      </c>
    </row>
    <row r="336" spans="1:19">
      <c r="A336" s="966"/>
      <c r="B336" s="137"/>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3">
        <f t="shared" si="61"/>
        <v>0</v>
      </c>
      <c r="S336" s="801">
        <f t="shared" si="63"/>
        <v>0</v>
      </c>
    </row>
    <row r="337" spans="1:19">
      <c r="A337" s="966"/>
      <c r="B337" s="137"/>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3">
        <f t="shared" si="61"/>
        <v>0</v>
      </c>
      <c r="S337" s="801">
        <f t="shared" si="63"/>
        <v>0</v>
      </c>
    </row>
    <row r="338" spans="1:19">
      <c r="A338" s="966"/>
      <c r="B338" s="137"/>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3">
        <f t="shared" si="61"/>
        <v>0</v>
      </c>
      <c r="S338" s="801">
        <f t="shared" si="63"/>
        <v>0</v>
      </c>
    </row>
    <row r="339" spans="1:19">
      <c r="A339" s="966"/>
      <c r="B339" s="137"/>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3">
        <f t="shared" si="61"/>
        <v>0</v>
      </c>
      <c r="S339" s="801">
        <f t="shared" si="63"/>
        <v>0</v>
      </c>
    </row>
    <row r="340" spans="1:19">
      <c r="A340" s="966"/>
      <c r="B340" s="137"/>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3">
        <f t="shared" si="61"/>
        <v>0</v>
      </c>
      <c r="S340" s="801">
        <f t="shared" si="63"/>
        <v>0</v>
      </c>
    </row>
    <row r="341" spans="1:19">
      <c r="A341" s="966"/>
      <c r="B341" s="137"/>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3">
        <f t="shared" si="61"/>
        <v>0</v>
      </c>
      <c r="S341" s="801">
        <f t="shared" si="63"/>
        <v>0</v>
      </c>
    </row>
    <row r="342" spans="1:19">
      <c r="A342" s="966"/>
      <c r="B342" s="137"/>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3">
        <f t="shared" si="61"/>
        <v>0</v>
      </c>
      <c r="S342" s="801">
        <f t="shared" si="63"/>
        <v>0</v>
      </c>
    </row>
    <row r="343" spans="1:19">
      <c r="A343" s="966"/>
      <c r="B343" s="137"/>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3">
        <f t="shared" si="61"/>
        <v>0</v>
      </c>
      <c r="S343" s="801">
        <f t="shared" si="63"/>
        <v>0</v>
      </c>
    </row>
    <row r="344" spans="1:19">
      <c r="A344" s="966"/>
      <c r="B344" s="137"/>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3">
        <f t="shared" si="61"/>
        <v>0</v>
      </c>
      <c r="S344" s="801">
        <f t="shared" si="63"/>
        <v>0</v>
      </c>
    </row>
    <row r="345" spans="1:19">
      <c r="A345" s="966"/>
      <c r="B345" s="137"/>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3">
        <f t="shared" si="61"/>
        <v>0</v>
      </c>
      <c r="S345" s="801">
        <f t="shared" si="63"/>
        <v>0</v>
      </c>
    </row>
    <row r="346" spans="1:19">
      <c r="A346" s="966"/>
      <c r="B346" s="137"/>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3">
        <f t="shared" ref="R346:R409" si="72">IF(B346="",0,ROUND($R$24*C346*E346*G346*I346*K346*M346*O346*Q346,0))</f>
        <v>0</v>
      </c>
      <c r="S346" s="801">
        <f t="shared" si="63"/>
        <v>0</v>
      </c>
    </row>
    <row r="347" spans="1:19">
      <c r="A347" s="966"/>
      <c r="B347" s="137"/>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3">
        <f t="shared" si="72"/>
        <v>0</v>
      </c>
      <c r="S347" s="801">
        <f t="shared" si="63"/>
        <v>0</v>
      </c>
    </row>
    <row r="348" spans="1:19">
      <c r="A348" s="966"/>
      <c r="B348" s="137"/>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3">
        <f t="shared" si="72"/>
        <v>0</v>
      </c>
      <c r="S348" s="801">
        <f t="shared" si="63"/>
        <v>0</v>
      </c>
    </row>
    <row r="349" spans="1:19">
      <c r="A349" s="966"/>
      <c r="B349" s="137"/>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3">
        <f t="shared" si="72"/>
        <v>0</v>
      </c>
      <c r="S349" s="801">
        <f t="shared" si="63"/>
        <v>0</v>
      </c>
    </row>
    <row r="350" spans="1:19">
      <c r="A350" s="966"/>
      <c r="B350" s="137"/>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3">
        <f t="shared" si="72"/>
        <v>0</v>
      </c>
      <c r="S350" s="801">
        <f t="shared" si="63"/>
        <v>0</v>
      </c>
    </row>
    <row r="351" spans="1:19">
      <c r="A351" s="966"/>
      <c r="B351" s="137"/>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3">
        <f t="shared" si="72"/>
        <v>0</v>
      </c>
      <c r="S351" s="801">
        <f t="shared" si="63"/>
        <v>0</v>
      </c>
    </row>
    <row r="352" spans="1:19">
      <c r="A352" s="966"/>
      <c r="B352" s="137"/>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3">
        <f t="shared" si="72"/>
        <v>0</v>
      </c>
      <c r="S352" s="801">
        <f t="shared" si="63"/>
        <v>0</v>
      </c>
    </row>
    <row r="353" spans="1:19">
      <c r="A353" s="966"/>
      <c r="B353" s="137"/>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3">
        <f t="shared" si="72"/>
        <v>0</v>
      </c>
      <c r="S353" s="801">
        <f t="shared" si="63"/>
        <v>0</v>
      </c>
    </row>
    <row r="354" spans="1:19">
      <c r="A354" s="966"/>
      <c r="B354" s="137"/>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3">
        <f t="shared" si="72"/>
        <v>0</v>
      </c>
      <c r="S354" s="801">
        <f t="shared" si="63"/>
        <v>0</v>
      </c>
    </row>
    <row r="355" spans="1:19">
      <c r="A355" s="966"/>
      <c r="B355" s="137"/>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3">
        <f t="shared" si="72"/>
        <v>0</v>
      </c>
      <c r="S355" s="801">
        <f t="shared" si="63"/>
        <v>0</v>
      </c>
    </row>
    <row r="356" spans="1:19">
      <c r="A356" s="966"/>
      <c r="B356" s="137"/>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3">
        <f t="shared" si="72"/>
        <v>0</v>
      </c>
      <c r="S356" s="801">
        <f t="shared" si="63"/>
        <v>0</v>
      </c>
    </row>
    <row r="357" spans="1:19">
      <c r="A357" s="966"/>
      <c r="B357" s="137"/>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3">
        <f t="shared" si="72"/>
        <v>0</v>
      </c>
      <c r="S357" s="801">
        <f t="shared" si="63"/>
        <v>0</v>
      </c>
    </row>
    <row r="358" spans="1:19">
      <c r="A358" s="966"/>
      <c r="B358" s="137"/>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3">
        <f t="shared" si="72"/>
        <v>0</v>
      </c>
      <c r="S358" s="801">
        <f t="shared" si="63"/>
        <v>0</v>
      </c>
    </row>
    <row r="359" spans="1:19">
      <c r="A359" s="966"/>
      <c r="B359" s="137"/>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3">
        <f t="shared" si="72"/>
        <v>0</v>
      </c>
      <c r="S359" s="801">
        <f t="shared" si="63"/>
        <v>0</v>
      </c>
    </row>
    <row r="360" spans="1:19">
      <c r="A360" s="966"/>
      <c r="B360" s="137"/>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3">
        <f t="shared" si="72"/>
        <v>0</v>
      </c>
      <c r="S360" s="801">
        <f t="shared" si="63"/>
        <v>0</v>
      </c>
    </row>
    <row r="361" spans="1:19">
      <c r="A361" s="966"/>
      <c r="B361" s="137"/>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3">
        <f t="shared" si="72"/>
        <v>0</v>
      </c>
      <c r="S361" s="801">
        <f t="shared" si="63"/>
        <v>0</v>
      </c>
    </row>
    <row r="362" spans="1:19">
      <c r="A362" s="966"/>
      <c r="B362" s="137"/>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3">
        <f t="shared" si="72"/>
        <v>0</v>
      </c>
      <c r="S362" s="801">
        <f t="shared" si="63"/>
        <v>0</v>
      </c>
    </row>
    <row r="363" spans="1:19">
      <c r="A363" s="966"/>
      <c r="B363" s="137"/>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3">
        <f t="shared" si="72"/>
        <v>0</v>
      </c>
      <c r="S363" s="801">
        <f t="shared" si="63"/>
        <v>0</v>
      </c>
    </row>
    <row r="364" spans="1:19">
      <c r="A364" s="966"/>
      <c r="B364" s="137"/>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3">
        <f t="shared" si="72"/>
        <v>0</v>
      </c>
      <c r="S364" s="801">
        <f t="shared" si="63"/>
        <v>0</v>
      </c>
    </row>
    <row r="365" spans="1:19">
      <c r="A365" s="966"/>
      <c r="B365" s="137"/>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3">
        <f t="shared" si="72"/>
        <v>0</v>
      </c>
      <c r="S365" s="801">
        <f t="shared" si="63"/>
        <v>0</v>
      </c>
    </row>
    <row r="366" spans="1:19">
      <c r="A366" s="966"/>
      <c r="B366" s="137"/>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3">
        <f t="shared" si="72"/>
        <v>0</v>
      </c>
      <c r="S366" s="801">
        <f t="shared" si="63"/>
        <v>0</v>
      </c>
    </row>
    <row r="367" spans="1:19">
      <c r="A367" s="966"/>
      <c r="B367" s="137"/>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3">
        <f t="shared" si="72"/>
        <v>0</v>
      </c>
      <c r="S367" s="801">
        <f t="shared" si="63"/>
        <v>0</v>
      </c>
    </row>
    <row r="368" spans="1:19">
      <c r="A368" s="966"/>
      <c r="B368" s="137"/>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3">
        <f t="shared" si="72"/>
        <v>0</v>
      </c>
      <c r="S368" s="801">
        <f t="shared" si="63"/>
        <v>0</v>
      </c>
    </row>
    <row r="369" spans="1:19">
      <c r="A369" s="966"/>
      <c r="B369" s="137"/>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3">
        <f t="shared" si="72"/>
        <v>0</v>
      </c>
      <c r="S369" s="801">
        <f t="shared" si="63"/>
        <v>0</v>
      </c>
    </row>
    <row r="370" spans="1:19">
      <c r="A370" s="966"/>
      <c r="B370" s="137"/>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3">
        <f t="shared" si="72"/>
        <v>0</v>
      </c>
      <c r="S370" s="801">
        <f t="shared" si="63"/>
        <v>0</v>
      </c>
    </row>
    <row r="371" spans="1:19">
      <c r="A371" s="966"/>
      <c r="B371" s="137"/>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3">
        <f t="shared" si="72"/>
        <v>0</v>
      </c>
      <c r="S371" s="801">
        <f t="shared" si="63"/>
        <v>0</v>
      </c>
    </row>
    <row r="372" spans="1:19">
      <c r="A372" s="966"/>
      <c r="B372" s="137"/>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3">
        <f t="shared" si="72"/>
        <v>0</v>
      </c>
      <c r="S372" s="801">
        <f t="shared" si="63"/>
        <v>0</v>
      </c>
    </row>
    <row r="373" spans="1:19">
      <c r="A373" s="966"/>
      <c r="B373" s="137"/>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3">
        <f t="shared" si="72"/>
        <v>0</v>
      </c>
      <c r="S373" s="801">
        <f t="shared" si="63"/>
        <v>0</v>
      </c>
    </row>
    <row r="374" spans="1:19">
      <c r="A374" s="966"/>
      <c r="B374" s="137"/>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3">
        <f t="shared" si="72"/>
        <v>0</v>
      </c>
      <c r="S374" s="801">
        <f t="shared" si="63"/>
        <v>0</v>
      </c>
    </row>
    <row r="375" spans="1:19">
      <c r="A375" s="966"/>
      <c r="B375" s="137"/>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3">
        <f t="shared" si="72"/>
        <v>0</v>
      </c>
      <c r="S375" s="801">
        <f t="shared" si="63"/>
        <v>0</v>
      </c>
    </row>
    <row r="376" spans="1:19">
      <c r="A376" s="966"/>
      <c r="B376" s="137"/>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3">
        <f t="shared" si="72"/>
        <v>0</v>
      </c>
      <c r="S376" s="801">
        <f t="shared" si="63"/>
        <v>0</v>
      </c>
    </row>
    <row r="377" spans="1:19">
      <c r="A377" s="966"/>
      <c r="B377" s="137"/>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3">
        <f t="shared" si="72"/>
        <v>0</v>
      </c>
      <c r="S377" s="801">
        <f t="shared" si="63"/>
        <v>0</v>
      </c>
    </row>
    <row r="378" spans="1:19">
      <c r="A378" s="966"/>
      <c r="B378" s="137"/>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3">
        <f t="shared" si="72"/>
        <v>0</v>
      </c>
      <c r="S378" s="801">
        <f t="shared" si="63"/>
        <v>0</v>
      </c>
    </row>
    <row r="379" spans="1:19">
      <c r="A379" s="966"/>
      <c r="B379" s="137"/>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3">
        <f t="shared" si="72"/>
        <v>0</v>
      </c>
      <c r="S379" s="801">
        <f t="shared" si="63"/>
        <v>0</v>
      </c>
    </row>
    <row r="380" spans="1:19">
      <c r="A380" s="966"/>
      <c r="B380" s="137"/>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3">
        <f t="shared" si="72"/>
        <v>0</v>
      </c>
      <c r="S380" s="801">
        <f t="shared" si="63"/>
        <v>0</v>
      </c>
    </row>
    <row r="381" spans="1:19">
      <c r="A381" s="966"/>
      <c r="B381" s="137"/>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3">
        <f t="shared" si="72"/>
        <v>0</v>
      </c>
      <c r="S381" s="801">
        <f t="shared" si="63"/>
        <v>0</v>
      </c>
    </row>
    <row r="382" spans="1:19">
      <c r="A382" s="966"/>
      <c r="B382" s="137"/>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3">
        <f t="shared" si="72"/>
        <v>0</v>
      </c>
      <c r="S382" s="801">
        <f t="shared" si="63"/>
        <v>0</v>
      </c>
    </row>
    <row r="383" spans="1:19">
      <c r="A383" s="966"/>
      <c r="B383" s="137"/>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3">
        <f t="shared" si="72"/>
        <v>0</v>
      </c>
      <c r="S383" s="801">
        <f t="shared" si="63"/>
        <v>0</v>
      </c>
    </row>
    <row r="384" spans="1:19">
      <c r="A384" s="966"/>
      <c r="B384" s="137"/>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3">
        <f t="shared" si="72"/>
        <v>0</v>
      </c>
      <c r="S384" s="801">
        <f t="shared" si="63"/>
        <v>0</v>
      </c>
    </row>
    <row r="385" spans="1:19">
      <c r="A385" s="966"/>
      <c r="B385" s="137"/>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3">
        <f t="shared" si="72"/>
        <v>0</v>
      </c>
      <c r="S385" s="801">
        <f t="shared" ref="S385:S422" si="73">ROUND(R385*B385/10000,0)</f>
        <v>0</v>
      </c>
    </row>
    <row r="386" spans="1:19">
      <c r="A386" s="966"/>
      <c r="B386" s="137"/>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3">
        <f t="shared" si="72"/>
        <v>0</v>
      </c>
      <c r="S386" s="801">
        <f t="shared" si="73"/>
        <v>0</v>
      </c>
    </row>
    <row r="387" spans="1:19">
      <c r="A387" s="966"/>
      <c r="B387" s="137"/>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3">
        <f t="shared" si="72"/>
        <v>0</v>
      </c>
      <c r="S387" s="801">
        <f t="shared" si="73"/>
        <v>0</v>
      </c>
    </row>
    <row r="388" spans="1:19">
      <c r="A388" s="966"/>
      <c r="B388" s="137"/>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3">
        <f t="shared" si="72"/>
        <v>0</v>
      </c>
      <c r="S388" s="801">
        <f t="shared" si="73"/>
        <v>0</v>
      </c>
    </row>
    <row r="389" spans="1:19">
      <c r="A389" s="966"/>
      <c r="B389" s="137"/>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3">
        <f t="shared" si="72"/>
        <v>0</v>
      </c>
      <c r="S389" s="801">
        <f t="shared" si="73"/>
        <v>0</v>
      </c>
    </row>
    <row r="390" spans="1:19">
      <c r="A390" s="966"/>
      <c r="B390" s="137"/>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3">
        <f t="shared" si="72"/>
        <v>0</v>
      </c>
      <c r="S390" s="801">
        <f t="shared" si="73"/>
        <v>0</v>
      </c>
    </row>
    <row r="391" spans="1:19">
      <c r="A391" s="966"/>
      <c r="B391" s="137"/>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3">
        <f t="shared" si="72"/>
        <v>0</v>
      </c>
      <c r="S391" s="801">
        <f t="shared" si="73"/>
        <v>0</v>
      </c>
    </row>
    <row r="392" spans="1:19">
      <c r="A392" s="966"/>
      <c r="B392" s="137"/>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3">
        <f t="shared" si="72"/>
        <v>0</v>
      </c>
      <c r="S392" s="801">
        <f t="shared" si="73"/>
        <v>0</v>
      </c>
    </row>
    <row r="393" spans="1:19">
      <c r="A393" s="966"/>
      <c r="B393" s="137"/>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3">
        <f t="shared" si="72"/>
        <v>0</v>
      </c>
      <c r="S393" s="801">
        <f t="shared" si="73"/>
        <v>0</v>
      </c>
    </row>
    <row r="394" spans="1:19">
      <c r="A394" s="966"/>
      <c r="B394" s="137"/>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3">
        <f t="shared" si="72"/>
        <v>0</v>
      </c>
      <c r="S394" s="801">
        <f t="shared" si="73"/>
        <v>0</v>
      </c>
    </row>
    <row r="395" spans="1:19">
      <c r="A395" s="966"/>
      <c r="B395" s="137"/>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3">
        <f t="shared" si="72"/>
        <v>0</v>
      </c>
      <c r="S395" s="801">
        <f t="shared" si="73"/>
        <v>0</v>
      </c>
    </row>
    <row r="396" spans="1:19">
      <c r="A396" s="966"/>
      <c r="B396" s="137"/>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3">
        <f t="shared" si="72"/>
        <v>0</v>
      </c>
      <c r="S396" s="801">
        <f t="shared" si="73"/>
        <v>0</v>
      </c>
    </row>
    <row r="397" spans="1:19">
      <c r="A397" s="966"/>
      <c r="B397" s="137"/>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3">
        <f t="shared" si="72"/>
        <v>0</v>
      </c>
      <c r="S397" s="801">
        <f t="shared" si="73"/>
        <v>0</v>
      </c>
    </row>
    <row r="398" spans="1:19">
      <c r="A398" s="966"/>
      <c r="B398" s="137"/>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3">
        <f t="shared" si="72"/>
        <v>0</v>
      </c>
      <c r="S398" s="801">
        <f t="shared" si="73"/>
        <v>0</v>
      </c>
    </row>
    <row r="399" spans="1:19">
      <c r="A399" s="966"/>
      <c r="B399" s="137"/>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3">
        <f t="shared" si="72"/>
        <v>0</v>
      </c>
      <c r="S399" s="801">
        <f t="shared" si="73"/>
        <v>0</v>
      </c>
    </row>
    <row r="400" spans="1:19">
      <c r="A400" s="966"/>
      <c r="B400" s="137"/>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3">
        <f t="shared" si="72"/>
        <v>0</v>
      </c>
      <c r="S400" s="801">
        <f t="shared" si="73"/>
        <v>0</v>
      </c>
    </row>
    <row r="401" spans="1:19">
      <c r="A401" s="966"/>
      <c r="B401" s="137"/>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3">
        <f t="shared" si="72"/>
        <v>0</v>
      </c>
      <c r="S401" s="801">
        <f t="shared" si="73"/>
        <v>0</v>
      </c>
    </row>
    <row r="402" spans="1:19">
      <c r="A402" s="966"/>
      <c r="B402" s="137"/>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3">
        <f t="shared" si="72"/>
        <v>0</v>
      </c>
      <c r="S402" s="801">
        <f t="shared" si="73"/>
        <v>0</v>
      </c>
    </row>
    <row r="403" spans="1:19">
      <c r="A403" s="966"/>
      <c r="B403" s="137"/>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3">
        <f t="shared" si="72"/>
        <v>0</v>
      </c>
      <c r="S403" s="801">
        <f t="shared" si="73"/>
        <v>0</v>
      </c>
    </row>
    <row r="404" spans="1:19">
      <c r="A404" s="966"/>
      <c r="B404" s="137"/>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3">
        <f t="shared" si="72"/>
        <v>0</v>
      </c>
      <c r="S404" s="801">
        <f t="shared" si="73"/>
        <v>0</v>
      </c>
    </row>
    <row r="405" spans="1:19">
      <c r="A405" s="966"/>
      <c r="B405" s="137"/>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3">
        <f t="shared" si="72"/>
        <v>0</v>
      </c>
      <c r="S405" s="801">
        <f t="shared" si="73"/>
        <v>0</v>
      </c>
    </row>
    <row r="406" spans="1:19">
      <c r="A406" s="966"/>
      <c r="B406" s="137"/>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3">
        <f t="shared" si="72"/>
        <v>0</v>
      </c>
      <c r="S406" s="801">
        <f t="shared" si="73"/>
        <v>0</v>
      </c>
    </row>
    <row r="407" spans="1:19">
      <c r="A407" s="966"/>
      <c r="B407" s="137"/>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3">
        <f t="shared" si="72"/>
        <v>0</v>
      </c>
      <c r="S407" s="801">
        <f t="shared" si="73"/>
        <v>0</v>
      </c>
    </row>
    <row r="408" spans="1:19">
      <c r="A408" s="966"/>
      <c r="B408" s="137"/>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3">
        <f t="shared" si="72"/>
        <v>0</v>
      </c>
      <c r="S408" s="801">
        <f t="shared" si="73"/>
        <v>0</v>
      </c>
    </row>
    <row r="409" spans="1:19">
      <c r="A409" s="966"/>
      <c r="B409" s="137"/>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3">
        <f t="shared" si="72"/>
        <v>0</v>
      </c>
      <c r="S409" s="801">
        <f t="shared" si="73"/>
        <v>0</v>
      </c>
    </row>
    <row r="410" spans="1:19">
      <c r="A410" s="966"/>
      <c r="B410" s="137"/>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3">
        <f t="shared" ref="R410:R473" si="82">IF(B410="",0,ROUND($R$24*C410*E410*G410*I410*K410*M410*O410*Q410,0))</f>
        <v>0</v>
      </c>
      <c r="S410" s="801">
        <f t="shared" si="73"/>
        <v>0</v>
      </c>
    </row>
    <row r="411" spans="1:19">
      <c r="A411" s="966"/>
      <c r="B411" s="137"/>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3">
        <f t="shared" si="82"/>
        <v>0</v>
      </c>
      <c r="S411" s="801">
        <f t="shared" si="73"/>
        <v>0</v>
      </c>
    </row>
    <row r="412" spans="1:19">
      <c r="A412" s="966"/>
      <c r="B412" s="137"/>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3">
        <f t="shared" si="82"/>
        <v>0</v>
      </c>
      <c r="S412" s="801">
        <f t="shared" si="73"/>
        <v>0</v>
      </c>
    </row>
    <row r="413" spans="1:19">
      <c r="A413" s="966"/>
      <c r="B413" s="137"/>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3">
        <f t="shared" si="82"/>
        <v>0</v>
      </c>
      <c r="S413" s="801">
        <f t="shared" si="73"/>
        <v>0</v>
      </c>
    </row>
    <row r="414" spans="1:19">
      <c r="A414" s="966"/>
      <c r="B414" s="137"/>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3">
        <f t="shared" si="82"/>
        <v>0</v>
      </c>
      <c r="S414" s="801">
        <f t="shared" si="73"/>
        <v>0</v>
      </c>
    </row>
    <row r="415" spans="1:19">
      <c r="A415" s="966"/>
      <c r="B415" s="137"/>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3">
        <f t="shared" si="82"/>
        <v>0</v>
      </c>
      <c r="S415" s="801">
        <f t="shared" si="73"/>
        <v>0</v>
      </c>
    </row>
    <row r="416" spans="1:19">
      <c r="A416" s="966"/>
      <c r="B416" s="137"/>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3">
        <f t="shared" si="82"/>
        <v>0</v>
      </c>
      <c r="S416" s="801">
        <f t="shared" si="73"/>
        <v>0</v>
      </c>
    </row>
    <row r="417" spans="1:19">
      <c r="A417" s="966"/>
      <c r="B417" s="137"/>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3">
        <f t="shared" si="82"/>
        <v>0</v>
      </c>
      <c r="S417" s="801">
        <f t="shared" si="73"/>
        <v>0</v>
      </c>
    </row>
    <row r="418" spans="1:19">
      <c r="A418" s="966"/>
      <c r="B418" s="137"/>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3">
        <f t="shared" si="82"/>
        <v>0</v>
      </c>
      <c r="S418" s="801">
        <f t="shared" si="73"/>
        <v>0</v>
      </c>
    </row>
    <row r="419" spans="1:19">
      <c r="A419" s="966"/>
      <c r="B419" s="137"/>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3">
        <f t="shared" si="82"/>
        <v>0</v>
      </c>
      <c r="S419" s="801">
        <f t="shared" si="73"/>
        <v>0</v>
      </c>
    </row>
    <row r="420" spans="1:19">
      <c r="A420" s="966"/>
      <c r="B420" s="137"/>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3">
        <f t="shared" si="82"/>
        <v>0</v>
      </c>
      <c r="S420" s="801">
        <f t="shared" si="73"/>
        <v>0</v>
      </c>
    </row>
    <row r="421" spans="1:19">
      <c r="A421" s="966"/>
      <c r="B421" s="137"/>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3">
        <f t="shared" si="82"/>
        <v>0</v>
      </c>
      <c r="S421" s="801">
        <f t="shared" si="73"/>
        <v>0</v>
      </c>
    </row>
    <row r="422" spans="1:19">
      <c r="A422" s="966"/>
      <c r="B422" s="137"/>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3">
        <f t="shared" si="82"/>
        <v>0</v>
      </c>
      <c r="S422" s="801">
        <f t="shared" si="73"/>
        <v>0</v>
      </c>
    </row>
    <row r="423" spans="1:19">
      <c r="A423" s="966"/>
      <c r="B423" s="137"/>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3">
        <f t="shared" si="82"/>
        <v>0</v>
      </c>
      <c r="S423" s="801">
        <f t="shared" ref="S423:S467" si="83">ROUND(R423*B423/10000,0)</f>
        <v>0</v>
      </c>
    </row>
    <row r="424" spans="1:19">
      <c r="A424" s="966"/>
      <c r="B424" s="137"/>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3">
        <f t="shared" si="82"/>
        <v>0</v>
      </c>
      <c r="S424" s="801">
        <f t="shared" si="83"/>
        <v>0</v>
      </c>
    </row>
    <row r="425" spans="1:19">
      <c r="A425" s="966"/>
      <c r="B425" s="137"/>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3">
        <f t="shared" si="82"/>
        <v>0</v>
      </c>
      <c r="S425" s="801">
        <f t="shared" si="83"/>
        <v>0</v>
      </c>
    </row>
    <row r="426" spans="1:19">
      <c r="A426" s="966"/>
      <c r="B426" s="137"/>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3">
        <f t="shared" si="82"/>
        <v>0</v>
      </c>
      <c r="S426" s="801">
        <f t="shared" si="83"/>
        <v>0</v>
      </c>
    </row>
    <row r="427" spans="1:19">
      <c r="A427" s="966"/>
      <c r="B427" s="137"/>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3">
        <f t="shared" si="82"/>
        <v>0</v>
      </c>
      <c r="S427" s="801">
        <f t="shared" si="83"/>
        <v>0</v>
      </c>
    </row>
    <row r="428" spans="1:19">
      <c r="A428" s="966"/>
      <c r="B428" s="137"/>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3">
        <f t="shared" si="82"/>
        <v>0</v>
      </c>
      <c r="S428" s="801">
        <f t="shared" si="83"/>
        <v>0</v>
      </c>
    </row>
    <row r="429" spans="1:19">
      <c r="A429" s="966"/>
      <c r="B429" s="137"/>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3">
        <f t="shared" si="82"/>
        <v>0</v>
      </c>
      <c r="S429" s="801">
        <f t="shared" si="83"/>
        <v>0</v>
      </c>
    </row>
    <row r="430" spans="1:19">
      <c r="A430" s="966"/>
      <c r="B430" s="137"/>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3">
        <f t="shared" si="82"/>
        <v>0</v>
      </c>
      <c r="S430" s="801">
        <f t="shared" si="83"/>
        <v>0</v>
      </c>
    </row>
    <row r="431" spans="1:19">
      <c r="A431" s="966"/>
      <c r="B431" s="137"/>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3">
        <f t="shared" si="82"/>
        <v>0</v>
      </c>
      <c r="S431" s="801">
        <f t="shared" si="83"/>
        <v>0</v>
      </c>
    </row>
    <row r="432" spans="1:19">
      <c r="A432" s="966"/>
      <c r="B432" s="137"/>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3">
        <f t="shared" si="82"/>
        <v>0</v>
      </c>
      <c r="S432" s="801">
        <f t="shared" si="83"/>
        <v>0</v>
      </c>
    </row>
    <row r="433" spans="1:19">
      <c r="A433" s="966"/>
      <c r="B433" s="137"/>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3">
        <f t="shared" si="82"/>
        <v>0</v>
      </c>
      <c r="S433" s="801">
        <f t="shared" si="83"/>
        <v>0</v>
      </c>
    </row>
    <row r="434" spans="1:19">
      <c r="A434" s="966"/>
      <c r="B434" s="137"/>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3">
        <f t="shared" si="82"/>
        <v>0</v>
      </c>
      <c r="S434" s="801">
        <f t="shared" si="83"/>
        <v>0</v>
      </c>
    </row>
    <row r="435" spans="1:19">
      <c r="A435" s="966"/>
      <c r="B435" s="137"/>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3">
        <f t="shared" si="82"/>
        <v>0</v>
      </c>
      <c r="S435" s="801">
        <f t="shared" si="83"/>
        <v>0</v>
      </c>
    </row>
    <row r="436" spans="1:19">
      <c r="A436" s="966"/>
      <c r="B436" s="137"/>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3">
        <f t="shared" si="82"/>
        <v>0</v>
      </c>
      <c r="S436" s="801">
        <f t="shared" si="83"/>
        <v>0</v>
      </c>
    </row>
    <row r="437" spans="1:19">
      <c r="A437" s="966"/>
      <c r="B437" s="137"/>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3">
        <f t="shared" si="82"/>
        <v>0</v>
      </c>
      <c r="S437" s="801">
        <f t="shared" si="83"/>
        <v>0</v>
      </c>
    </row>
    <row r="438" spans="1:19">
      <c r="A438" s="966"/>
      <c r="B438" s="137"/>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3">
        <f t="shared" si="82"/>
        <v>0</v>
      </c>
      <c r="S438" s="801">
        <f t="shared" si="83"/>
        <v>0</v>
      </c>
    </row>
    <row r="439" spans="1:19">
      <c r="A439" s="966"/>
      <c r="B439" s="137"/>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3">
        <f t="shared" si="82"/>
        <v>0</v>
      </c>
      <c r="S439" s="801">
        <f t="shared" si="83"/>
        <v>0</v>
      </c>
    </row>
    <row r="440" spans="1:19">
      <c r="A440" s="966"/>
      <c r="B440" s="137"/>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3">
        <f t="shared" si="82"/>
        <v>0</v>
      </c>
      <c r="S440" s="801">
        <f t="shared" si="83"/>
        <v>0</v>
      </c>
    </row>
    <row r="441" spans="1:19">
      <c r="A441" s="966"/>
      <c r="B441" s="137"/>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3">
        <f t="shared" si="82"/>
        <v>0</v>
      </c>
      <c r="S441" s="801">
        <f t="shared" si="83"/>
        <v>0</v>
      </c>
    </row>
    <row r="442" spans="1:19">
      <c r="A442" s="966"/>
      <c r="B442" s="137"/>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3">
        <f t="shared" si="82"/>
        <v>0</v>
      </c>
      <c r="S442" s="801">
        <f t="shared" si="83"/>
        <v>0</v>
      </c>
    </row>
    <row r="443" spans="1:19">
      <c r="A443" s="966"/>
      <c r="B443" s="137"/>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3">
        <f t="shared" si="82"/>
        <v>0</v>
      </c>
      <c r="S443" s="801">
        <f t="shared" si="83"/>
        <v>0</v>
      </c>
    </row>
    <row r="444" spans="1:19">
      <c r="A444" s="966"/>
      <c r="B444" s="137"/>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3">
        <f t="shared" si="82"/>
        <v>0</v>
      </c>
      <c r="S444" s="801">
        <f t="shared" si="83"/>
        <v>0</v>
      </c>
    </row>
    <row r="445" spans="1:19">
      <c r="A445" s="966"/>
      <c r="B445" s="137"/>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3">
        <f t="shared" si="82"/>
        <v>0</v>
      </c>
      <c r="S445" s="801">
        <f t="shared" si="83"/>
        <v>0</v>
      </c>
    </row>
    <row r="446" spans="1:19">
      <c r="A446" s="966"/>
      <c r="B446" s="137"/>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3">
        <f t="shared" si="82"/>
        <v>0</v>
      </c>
      <c r="S446" s="801">
        <f t="shared" si="83"/>
        <v>0</v>
      </c>
    </row>
    <row r="447" spans="1:19">
      <c r="A447" s="966"/>
      <c r="B447" s="137"/>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3">
        <f t="shared" si="82"/>
        <v>0</v>
      </c>
      <c r="S447" s="801">
        <f t="shared" si="83"/>
        <v>0</v>
      </c>
    </row>
    <row r="448" spans="1:19">
      <c r="A448" s="966"/>
      <c r="B448" s="137"/>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3">
        <f t="shared" si="82"/>
        <v>0</v>
      </c>
      <c r="S448" s="801">
        <f t="shared" si="83"/>
        <v>0</v>
      </c>
    </row>
    <row r="449" spans="1:19">
      <c r="A449" s="966"/>
      <c r="B449" s="137"/>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3">
        <f t="shared" si="82"/>
        <v>0</v>
      </c>
      <c r="S449" s="801">
        <f t="shared" si="83"/>
        <v>0</v>
      </c>
    </row>
    <row r="450" spans="1:19">
      <c r="A450" s="966"/>
      <c r="B450" s="137"/>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3">
        <f t="shared" si="82"/>
        <v>0</v>
      </c>
      <c r="S450" s="801">
        <f t="shared" si="83"/>
        <v>0</v>
      </c>
    </row>
    <row r="451" spans="1:19">
      <c r="A451" s="966"/>
      <c r="B451" s="137"/>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3">
        <f t="shared" si="82"/>
        <v>0</v>
      </c>
      <c r="S451" s="801">
        <f t="shared" si="83"/>
        <v>0</v>
      </c>
    </row>
    <row r="452" spans="1:19">
      <c r="A452" s="966"/>
      <c r="B452" s="137"/>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3">
        <f t="shared" si="82"/>
        <v>0</v>
      </c>
      <c r="S452" s="801">
        <f t="shared" si="83"/>
        <v>0</v>
      </c>
    </row>
    <row r="453" spans="1:19">
      <c r="A453" s="966"/>
      <c r="B453" s="137"/>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3">
        <f t="shared" si="82"/>
        <v>0</v>
      </c>
      <c r="S453" s="801">
        <f t="shared" si="83"/>
        <v>0</v>
      </c>
    </row>
    <row r="454" spans="1:19">
      <c r="A454" s="966"/>
      <c r="B454" s="137"/>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3">
        <f t="shared" si="82"/>
        <v>0</v>
      </c>
      <c r="S454" s="801">
        <f t="shared" si="83"/>
        <v>0</v>
      </c>
    </row>
    <row r="455" spans="1:19">
      <c r="A455" s="966"/>
      <c r="B455" s="137"/>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3">
        <f t="shared" si="82"/>
        <v>0</v>
      </c>
      <c r="S455" s="801">
        <f t="shared" si="83"/>
        <v>0</v>
      </c>
    </row>
    <row r="456" spans="1:19">
      <c r="A456" s="966"/>
      <c r="B456" s="137"/>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3">
        <f t="shared" si="82"/>
        <v>0</v>
      </c>
      <c r="S456" s="801">
        <f t="shared" si="83"/>
        <v>0</v>
      </c>
    </row>
    <row r="457" spans="1:19">
      <c r="A457" s="966"/>
      <c r="B457" s="137"/>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3">
        <f t="shared" si="82"/>
        <v>0</v>
      </c>
      <c r="S457" s="801">
        <f t="shared" si="83"/>
        <v>0</v>
      </c>
    </row>
    <row r="458" spans="1:19">
      <c r="A458" s="966"/>
      <c r="B458" s="137"/>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3">
        <f t="shared" si="82"/>
        <v>0</v>
      </c>
      <c r="S458" s="801">
        <f t="shared" si="83"/>
        <v>0</v>
      </c>
    </row>
    <row r="459" spans="1:19">
      <c r="A459" s="966"/>
      <c r="B459" s="137"/>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3">
        <f t="shared" si="82"/>
        <v>0</v>
      </c>
      <c r="S459" s="801">
        <f t="shared" si="83"/>
        <v>0</v>
      </c>
    </row>
    <row r="460" spans="1:19">
      <c r="A460" s="966"/>
      <c r="B460" s="137"/>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3">
        <f t="shared" si="82"/>
        <v>0</v>
      </c>
      <c r="S460" s="801">
        <f t="shared" si="83"/>
        <v>0</v>
      </c>
    </row>
    <row r="461" spans="1:19">
      <c r="A461" s="966"/>
      <c r="B461" s="137"/>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3">
        <f t="shared" si="82"/>
        <v>0</v>
      </c>
      <c r="S461" s="801">
        <f t="shared" si="83"/>
        <v>0</v>
      </c>
    </row>
    <row r="462" spans="1:19">
      <c r="A462" s="966"/>
      <c r="B462" s="137"/>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3">
        <f t="shared" si="82"/>
        <v>0</v>
      </c>
      <c r="S462" s="801">
        <f t="shared" si="83"/>
        <v>0</v>
      </c>
    </row>
    <row r="463" spans="1:19">
      <c r="A463" s="966"/>
      <c r="B463" s="137"/>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3">
        <f t="shared" si="82"/>
        <v>0</v>
      </c>
      <c r="S463" s="801">
        <f t="shared" si="83"/>
        <v>0</v>
      </c>
    </row>
    <row r="464" spans="1:19">
      <c r="A464" s="966"/>
      <c r="B464" s="137"/>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3">
        <f t="shared" si="82"/>
        <v>0</v>
      </c>
      <c r="S464" s="801">
        <f t="shared" si="83"/>
        <v>0</v>
      </c>
    </row>
    <row r="465" spans="1:19">
      <c r="A465" s="966"/>
      <c r="B465" s="137"/>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3">
        <f t="shared" si="82"/>
        <v>0</v>
      </c>
      <c r="S465" s="801">
        <f t="shared" si="83"/>
        <v>0</v>
      </c>
    </row>
    <row r="466" spans="1:19">
      <c r="A466" s="966"/>
      <c r="B466" s="137"/>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3">
        <f t="shared" si="82"/>
        <v>0</v>
      </c>
      <c r="S466" s="801">
        <f t="shared" si="83"/>
        <v>0</v>
      </c>
    </row>
    <row r="467" spans="1:19">
      <c r="A467" s="966"/>
      <c r="B467" s="137"/>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3">
        <f t="shared" si="82"/>
        <v>0</v>
      </c>
      <c r="S467" s="801">
        <f t="shared" si="83"/>
        <v>0</v>
      </c>
    </row>
    <row r="468" spans="1:19">
      <c r="A468" s="966"/>
      <c r="B468" s="137"/>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3">
        <f t="shared" si="82"/>
        <v>0</v>
      </c>
      <c r="S468" s="801">
        <f t="shared" ref="S468:S497" si="84">ROUND(R468*B468/10000,0)</f>
        <v>0</v>
      </c>
    </row>
    <row r="469" spans="1:19">
      <c r="A469" s="966"/>
      <c r="B469" s="137"/>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3">
        <f t="shared" si="82"/>
        <v>0</v>
      </c>
      <c r="S469" s="801">
        <f t="shared" si="84"/>
        <v>0</v>
      </c>
    </row>
    <row r="470" spans="1:19">
      <c r="A470" s="966"/>
      <c r="B470" s="137"/>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3">
        <f t="shared" si="82"/>
        <v>0</v>
      </c>
      <c r="S470" s="801">
        <f t="shared" si="84"/>
        <v>0</v>
      </c>
    </row>
    <row r="471" spans="1:19">
      <c r="A471" s="966"/>
      <c r="B471" s="137"/>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3">
        <f t="shared" si="82"/>
        <v>0</v>
      </c>
      <c r="S471" s="801">
        <f t="shared" si="84"/>
        <v>0</v>
      </c>
    </row>
    <row r="472" spans="1:19">
      <c r="A472" s="966"/>
      <c r="B472" s="137"/>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3">
        <f t="shared" si="82"/>
        <v>0</v>
      </c>
      <c r="S472" s="801">
        <f t="shared" si="84"/>
        <v>0</v>
      </c>
    </row>
    <row r="473" spans="1:19">
      <c r="A473" s="966"/>
      <c r="B473" s="137"/>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3">
        <f t="shared" si="82"/>
        <v>0</v>
      </c>
      <c r="S473" s="801">
        <f t="shared" si="84"/>
        <v>0</v>
      </c>
    </row>
    <row r="474" spans="1:19">
      <c r="A474" s="966"/>
      <c r="B474" s="137"/>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3">
        <f t="shared" ref="R474:R524" si="93">IF(B474="",0,ROUND($R$24*C474*E474*G474*I474*K474*M474*O474*Q474,0))</f>
        <v>0</v>
      </c>
      <c r="S474" s="801">
        <f t="shared" si="84"/>
        <v>0</v>
      </c>
    </row>
    <row r="475" spans="1:19">
      <c r="A475" s="966"/>
      <c r="B475" s="137"/>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3">
        <f t="shared" si="93"/>
        <v>0</v>
      </c>
      <c r="S475" s="801">
        <f t="shared" si="84"/>
        <v>0</v>
      </c>
    </row>
    <row r="476" spans="1:19">
      <c r="A476" s="966"/>
      <c r="B476" s="137"/>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3">
        <f t="shared" si="93"/>
        <v>0</v>
      </c>
      <c r="S476" s="801">
        <f t="shared" si="84"/>
        <v>0</v>
      </c>
    </row>
    <row r="477" spans="1:19">
      <c r="A477" s="966"/>
      <c r="B477" s="137"/>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3">
        <f t="shared" si="93"/>
        <v>0</v>
      </c>
      <c r="S477" s="801">
        <f t="shared" si="84"/>
        <v>0</v>
      </c>
    </row>
    <row r="478" spans="1:19">
      <c r="A478" s="966"/>
      <c r="B478" s="137"/>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3">
        <f t="shared" si="93"/>
        <v>0</v>
      </c>
      <c r="S478" s="801">
        <f t="shared" si="84"/>
        <v>0</v>
      </c>
    </row>
    <row r="479" spans="1:19">
      <c r="A479" s="966"/>
      <c r="B479" s="137"/>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3">
        <f t="shared" si="93"/>
        <v>0</v>
      </c>
      <c r="S479" s="801">
        <f t="shared" si="84"/>
        <v>0</v>
      </c>
    </row>
    <row r="480" spans="1:19">
      <c r="A480" s="966"/>
      <c r="B480" s="137"/>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3">
        <f t="shared" si="93"/>
        <v>0</v>
      </c>
      <c r="S480" s="801">
        <f t="shared" si="84"/>
        <v>0</v>
      </c>
    </row>
    <row r="481" spans="1:19">
      <c r="A481" s="966"/>
      <c r="B481" s="137"/>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3">
        <f t="shared" si="93"/>
        <v>0</v>
      </c>
      <c r="S481" s="801">
        <f t="shared" si="84"/>
        <v>0</v>
      </c>
    </row>
    <row r="482" spans="1:19">
      <c r="A482" s="966"/>
      <c r="B482" s="137"/>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3">
        <f t="shared" si="93"/>
        <v>0</v>
      </c>
      <c r="S482" s="801">
        <f t="shared" si="84"/>
        <v>0</v>
      </c>
    </row>
    <row r="483" spans="1:19">
      <c r="A483" s="966"/>
      <c r="B483" s="137"/>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3">
        <f t="shared" si="93"/>
        <v>0</v>
      </c>
      <c r="S483" s="801">
        <f t="shared" si="84"/>
        <v>0</v>
      </c>
    </row>
    <row r="484" spans="1:19">
      <c r="A484" s="966"/>
      <c r="B484" s="137"/>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3">
        <f t="shared" si="93"/>
        <v>0</v>
      </c>
      <c r="S484" s="801">
        <f t="shared" si="84"/>
        <v>0</v>
      </c>
    </row>
    <row r="485" spans="1:19">
      <c r="A485" s="966"/>
      <c r="B485" s="137"/>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3">
        <f t="shared" si="93"/>
        <v>0</v>
      </c>
      <c r="S485" s="801">
        <f t="shared" si="84"/>
        <v>0</v>
      </c>
    </row>
    <row r="486" spans="1:19">
      <c r="A486" s="966"/>
      <c r="B486" s="137"/>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3">
        <f t="shared" si="93"/>
        <v>0</v>
      </c>
      <c r="S486" s="801">
        <f t="shared" si="84"/>
        <v>0</v>
      </c>
    </row>
    <row r="487" spans="1:19">
      <c r="A487" s="966"/>
      <c r="B487" s="137"/>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3">
        <f t="shared" si="93"/>
        <v>0</v>
      </c>
      <c r="S487" s="801">
        <f t="shared" si="84"/>
        <v>0</v>
      </c>
    </row>
    <row r="488" spans="1:19">
      <c r="A488" s="966"/>
      <c r="B488" s="137"/>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3">
        <f t="shared" si="93"/>
        <v>0</v>
      </c>
      <c r="S488" s="801">
        <f t="shared" si="84"/>
        <v>0</v>
      </c>
    </row>
    <row r="489" spans="1:19">
      <c r="A489" s="966"/>
      <c r="B489" s="137"/>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3">
        <f t="shared" si="93"/>
        <v>0</v>
      </c>
      <c r="S489" s="801">
        <f t="shared" si="84"/>
        <v>0</v>
      </c>
    </row>
    <row r="490" spans="1:19">
      <c r="A490" s="966"/>
      <c r="B490" s="137"/>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3">
        <f t="shared" si="93"/>
        <v>0</v>
      </c>
      <c r="S490" s="801">
        <f t="shared" si="84"/>
        <v>0</v>
      </c>
    </row>
    <row r="491" spans="1:19">
      <c r="A491" s="966"/>
      <c r="B491" s="137"/>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3">
        <f t="shared" si="93"/>
        <v>0</v>
      </c>
      <c r="S491" s="801">
        <f t="shared" si="84"/>
        <v>0</v>
      </c>
    </row>
    <row r="492" spans="1:19">
      <c r="A492" s="966"/>
      <c r="B492" s="137"/>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3">
        <f t="shared" si="93"/>
        <v>0</v>
      </c>
      <c r="S492" s="801">
        <f t="shared" si="84"/>
        <v>0</v>
      </c>
    </row>
    <row r="493" spans="1:19">
      <c r="A493" s="966"/>
      <c r="B493" s="137"/>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3">
        <f t="shared" si="93"/>
        <v>0</v>
      </c>
      <c r="S493" s="801">
        <f t="shared" si="84"/>
        <v>0</v>
      </c>
    </row>
    <row r="494" spans="1:19">
      <c r="A494" s="966"/>
      <c r="B494" s="137"/>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3">
        <f t="shared" si="93"/>
        <v>0</v>
      </c>
      <c r="S494" s="801">
        <f t="shared" si="84"/>
        <v>0</v>
      </c>
    </row>
    <row r="495" spans="1:19">
      <c r="A495" s="966"/>
      <c r="B495" s="137"/>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3">
        <f t="shared" si="93"/>
        <v>0</v>
      </c>
      <c r="S495" s="801">
        <f t="shared" si="84"/>
        <v>0</v>
      </c>
    </row>
    <row r="496" spans="1:19">
      <c r="A496" s="966"/>
      <c r="B496" s="137"/>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3">
        <f t="shared" si="93"/>
        <v>0</v>
      </c>
      <c r="S496" s="801">
        <f t="shared" si="84"/>
        <v>0</v>
      </c>
    </row>
    <row r="497" spans="1:19">
      <c r="A497" s="966"/>
      <c r="B497" s="137"/>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3">
        <f t="shared" si="93"/>
        <v>0</v>
      </c>
      <c r="S497" s="801">
        <f t="shared" si="84"/>
        <v>0</v>
      </c>
    </row>
    <row r="498" spans="1:19">
      <c r="A498" s="966"/>
      <c r="B498" s="137"/>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3">
        <f t="shared" si="93"/>
        <v>0</v>
      </c>
      <c r="S498" s="801">
        <f t="shared" ref="S498:S524" si="94">ROUND(R498*B498/10000,0)</f>
        <v>0</v>
      </c>
    </row>
    <row r="499" spans="1:19">
      <c r="A499" s="966"/>
      <c r="B499" s="137"/>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3">
        <f t="shared" si="93"/>
        <v>0</v>
      </c>
      <c r="S499" s="801">
        <f t="shared" si="94"/>
        <v>0</v>
      </c>
    </row>
    <row r="500" spans="1:19">
      <c r="A500" s="966"/>
      <c r="B500" s="137"/>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3">
        <f t="shared" si="93"/>
        <v>0</v>
      </c>
      <c r="S500" s="801">
        <f t="shared" si="94"/>
        <v>0</v>
      </c>
    </row>
    <row r="501" spans="1:19">
      <c r="A501" s="966"/>
      <c r="B501" s="137"/>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3">
        <f t="shared" si="93"/>
        <v>0</v>
      </c>
      <c r="S501" s="801">
        <f t="shared" si="94"/>
        <v>0</v>
      </c>
    </row>
    <row r="502" spans="1:19">
      <c r="A502" s="966"/>
      <c r="B502" s="137"/>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3">
        <f t="shared" si="93"/>
        <v>0</v>
      </c>
      <c r="S502" s="801">
        <f t="shared" si="94"/>
        <v>0</v>
      </c>
    </row>
    <row r="503" spans="1:19">
      <c r="A503" s="966"/>
      <c r="B503" s="137"/>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3">
        <f t="shared" si="93"/>
        <v>0</v>
      </c>
      <c r="S503" s="801">
        <f t="shared" si="94"/>
        <v>0</v>
      </c>
    </row>
    <row r="504" spans="1:19">
      <c r="A504" s="966"/>
      <c r="B504" s="137"/>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3">
        <f t="shared" si="93"/>
        <v>0</v>
      </c>
      <c r="S504" s="801">
        <f t="shared" si="94"/>
        <v>0</v>
      </c>
    </row>
    <row r="505" spans="1:19">
      <c r="A505" s="966"/>
      <c r="B505" s="137"/>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3">
        <f t="shared" si="93"/>
        <v>0</v>
      </c>
      <c r="S505" s="801">
        <f t="shared" si="94"/>
        <v>0</v>
      </c>
    </row>
    <row r="506" spans="1:19">
      <c r="A506" s="966"/>
      <c r="B506" s="137"/>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3">
        <f t="shared" si="93"/>
        <v>0</v>
      </c>
      <c r="S506" s="801">
        <f t="shared" si="94"/>
        <v>0</v>
      </c>
    </row>
    <row r="507" spans="1:19">
      <c r="A507" s="966"/>
      <c r="B507" s="137"/>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3">
        <f t="shared" si="93"/>
        <v>0</v>
      </c>
      <c r="S507" s="801">
        <f t="shared" si="94"/>
        <v>0</v>
      </c>
    </row>
    <row r="508" spans="1:19">
      <c r="A508" s="966"/>
      <c r="B508" s="137"/>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3">
        <f t="shared" si="93"/>
        <v>0</v>
      </c>
      <c r="S508" s="801">
        <f t="shared" si="94"/>
        <v>0</v>
      </c>
    </row>
    <row r="509" spans="1:19">
      <c r="A509" s="966"/>
      <c r="B509" s="137"/>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3">
        <f t="shared" si="93"/>
        <v>0</v>
      </c>
      <c r="S509" s="801">
        <f t="shared" si="94"/>
        <v>0</v>
      </c>
    </row>
    <row r="510" spans="1:19">
      <c r="A510" s="966"/>
      <c r="B510" s="137"/>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3">
        <f t="shared" si="93"/>
        <v>0</v>
      </c>
      <c r="S510" s="801">
        <f t="shared" si="94"/>
        <v>0</v>
      </c>
    </row>
    <row r="511" spans="1:19">
      <c r="A511" s="966"/>
      <c r="B511" s="137"/>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3">
        <f t="shared" si="93"/>
        <v>0</v>
      </c>
      <c r="S511" s="801">
        <f t="shared" si="94"/>
        <v>0</v>
      </c>
    </row>
    <row r="512" spans="1:19">
      <c r="A512" s="966"/>
      <c r="B512" s="137"/>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3">
        <f t="shared" si="93"/>
        <v>0</v>
      </c>
      <c r="S512" s="801">
        <f t="shared" si="94"/>
        <v>0</v>
      </c>
    </row>
    <row r="513" spans="1:19">
      <c r="A513" s="966"/>
      <c r="B513" s="137"/>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3">
        <f t="shared" si="93"/>
        <v>0</v>
      </c>
      <c r="S513" s="801">
        <f t="shared" si="94"/>
        <v>0</v>
      </c>
    </row>
    <row r="514" spans="1:19">
      <c r="A514" s="966"/>
      <c r="B514" s="137"/>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3">
        <f t="shared" si="93"/>
        <v>0</v>
      </c>
      <c r="S514" s="801">
        <f t="shared" si="94"/>
        <v>0</v>
      </c>
    </row>
    <row r="515" spans="1:19">
      <c r="A515" s="966"/>
      <c r="B515" s="137"/>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3">
        <f t="shared" si="93"/>
        <v>0</v>
      </c>
      <c r="S515" s="801">
        <f t="shared" si="94"/>
        <v>0</v>
      </c>
    </row>
    <row r="516" spans="1:19">
      <c r="A516" s="966"/>
      <c r="B516" s="137"/>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3">
        <f t="shared" si="93"/>
        <v>0</v>
      </c>
      <c r="S516" s="801">
        <f t="shared" si="94"/>
        <v>0</v>
      </c>
    </row>
    <row r="517" spans="1:19">
      <c r="A517" s="966"/>
      <c r="B517" s="137"/>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3">
        <f t="shared" si="93"/>
        <v>0</v>
      </c>
      <c r="S517" s="801">
        <f t="shared" si="94"/>
        <v>0</v>
      </c>
    </row>
    <row r="518" spans="1:19">
      <c r="A518" s="966"/>
      <c r="B518" s="137"/>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3">
        <f t="shared" si="93"/>
        <v>0</v>
      </c>
      <c r="S518" s="801">
        <f t="shared" si="94"/>
        <v>0</v>
      </c>
    </row>
    <row r="519" spans="1:19">
      <c r="A519" s="966"/>
      <c r="B519" s="137"/>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3">
        <f t="shared" si="93"/>
        <v>0</v>
      </c>
      <c r="S519" s="801">
        <f t="shared" si="94"/>
        <v>0</v>
      </c>
    </row>
    <row r="520" spans="1:19">
      <c r="A520" s="966"/>
      <c r="B520" s="137"/>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3">
        <f t="shared" si="93"/>
        <v>0</v>
      </c>
      <c r="S520" s="801">
        <f t="shared" si="94"/>
        <v>0</v>
      </c>
    </row>
    <row r="521" spans="1:19">
      <c r="A521" s="966"/>
      <c r="B521" s="137"/>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3">
        <f t="shared" si="93"/>
        <v>0</v>
      </c>
      <c r="S521" s="801">
        <f t="shared" si="94"/>
        <v>0</v>
      </c>
    </row>
    <row r="522" spans="1:19">
      <c r="A522" s="966"/>
      <c r="B522" s="137"/>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3">
        <f t="shared" si="93"/>
        <v>0</v>
      </c>
      <c r="S522" s="801">
        <f t="shared" si="94"/>
        <v>0</v>
      </c>
    </row>
    <row r="523" spans="1:19">
      <c r="A523" s="966"/>
      <c r="B523" s="137"/>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3">
        <f t="shared" si="93"/>
        <v>0</v>
      </c>
      <c r="S523" s="801">
        <f t="shared" si="94"/>
        <v>0</v>
      </c>
    </row>
    <row r="524" spans="1:19">
      <c r="A524" s="966"/>
      <c r="B524" s="137"/>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3">
        <f t="shared" si="93"/>
        <v>0</v>
      </c>
      <c r="S524" s="801">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2791</v>
      </c>
      <c r="C1" s="3031">
        <f>项目基本情况!D3</f>
        <v>43052</v>
      </c>
      <c r="H1" s="2965">
        <f>IF(C1&gt;C13,0,MATCH(C1,C$13:C$100,-1))+IF(SUMIF(C13:C100,C1,D13:D100)=0,13,12)</f>
        <v>13</v>
      </c>
      <c r="I1" s="2965">
        <f>MATCH(C2,H3:H7,1)+IF(SUMIF(H3:H7,C2,I3:I7)=0,2,1)</f>
        <v>6</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2822</v>
      </c>
      <c r="C2" s="3032">
        <f>'数据-取费表'!B22</f>
        <v>4</v>
      </c>
      <c r="D2" s="3027" t="s">
        <v>2792</v>
      </c>
      <c r="E2" s="3030">
        <f ca="1">INDIRECT("I"&amp;$I$1)/100</f>
        <v>4.7500000000000001E-2</v>
      </c>
      <c r="G2" s="2967"/>
      <c r="H2" s="2967"/>
      <c r="I2" s="2967" t="s">
        <v>2793</v>
      </c>
      <c r="K2" s="2967"/>
      <c r="L2" s="2967"/>
      <c r="M2" s="2967"/>
      <c r="N2" s="2967" t="s">
        <v>2794</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2824</v>
      </c>
      <c r="C3" s="3029">
        <f>'数据-取费表'!B19</f>
        <v>0</v>
      </c>
      <c r="D3" s="3027" t="s">
        <v>2792</v>
      </c>
      <c r="E3" s="3030">
        <f ca="1">INDIRECT("J"&amp;$J$1)/100</f>
        <v>0</v>
      </c>
      <c r="G3" s="2969" t="s">
        <v>2795</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2823</v>
      </c>
      <c r="C4" s="3030">
        <f ca="1">N4/100</f>
        <v>1.4999999999999999E-2</v>
      </c>
      <c r="G4" s="2975" t="s">
        <v>2796</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2797</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2798</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2799</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2800</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2801</v>
      </c>
      <c r="C10" s="2994"/>
      <c r="D10" s="2994"/>
      <c r="E10" s="2994"/>
      <c r="F10" s="2994"/>
      <c r="G10" s="2994"/>
      <c r="H10" s="2994"/>
      <c r="I10" s="2968"/>
      <c r="J10" s="2968"/>
      <c r="K10" s="2994"/>
      <c r="L10" s="2995" t="s">
        <v>2802</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2803</v>
      </c>
      <c r="C11" s="2999" t="s">
        <v>2804</v>
      </c>
      <c r="D11" s="3000" t="s">
        <v>2805</v>
      </c>
      <c r="E11" s="3001"/>
      <c r="F11" s="3000" t="s">
        <v>2806</v>
      </c>
      <c r="G11" s="3002"/>
      <c r="H11" s="3001"/>
      <c r="I11" s="3000" t="s">
        <v>2807</v>
      </c>
      <c r="J11" s="3001"/>
      <c r="K11" s="2997"/>
      <c r="L11" s="2998" t="s">
        <v>2803</v>
      </c>
      <c r="M11" s="2999" t="s">
        <v>2804</v>
      </c>
      <c r="N11" s="2998" t="s">
        <v>2808</v>
      </c>
      <c r="O11" s="3000" t="s">
        <v>2809</v>
      </c>
      <c r="P11" s="3002"/>
      <c r="Q11" s="3002"/>
      <c r="R11" s="3002"/>
      <c r="S11" s="3002"/>
      <c r="T11" s="3001"/>
      <c r="U11" s="3000" t="s">
        <v>2810</v>
      </c>
      <c r="V11" s="3002"/>
      <c r="W11" s="3001"/>
      <c r="X11" s="2998" t="s">
        <v>2811</v>
      </c>
      <c r="Y11" s="2998" t="s">
        <v>2812</v>
      </c>
      <c r="Z11" s="2998" t="s">
        <v>2813</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2814</v>
      </c>
      <c r="E12" s="3007" t="s">
        <v>2815</v>
      </c>
      <c r="F12" s="3007" t="s">
        <v>2816</v>
      </c>
      <c r="G12" s="3007" t="s">
        <v>2817</v>
      </c>
      <c r="H12" s="3007" t="s">
        <v>2799</v>
      </c>
      <c r="I12" s="3008" t="s">
        <v>2818</v>
      </c>
      <c r="J12" s="3008" t="s">
        <v>2818</v>
      </c>
      <c r="K12" s="3004"/>
      <c r="L12" s="3005"/>
      <c r="M12" s="3006"/>
      <c r="N12" s="3005"/>
      <c r="O12" s="3008" t="s">
        <v>2819</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2820</v>
      </c>
      <c r="C13" s="3012">
        <v>42301</v>
      </c>
      <c r="D13" s="3013">
        <v>4.3499999999999996</v>
      </c>
      <c r="E13" s="3013">
        <v>4.3499999999999996</v>
      </c>
      <c r="F13" s="3013">
        <v>4.75</v>
      </c>
      <c r="G13" s="3013">
        <v>4.75</v>
      </c>
      <c r="H13" s="3013">
        <v>4.9000000000000004</v>
      </c>
      <c r="I13" s="3013">
        <v>2.75</v>
      </c>
      <c r="J13" s="3013">
        <v>3.25</v>
      </c>
      <c r="K13" s="3010"/>
      <c r="L13" s="3011" t="s">
        <v>2820</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2821</v>
      </c>
      <c r="Y42" s="3017" t="s">
        <v>2821</v>
      </c>
      <c r="Z42" s="3017" t="s">
        <v>2821</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2821</v>
      </c>
      <c r="Y43" s="3017" t="s">
        <v>2821</v>
      </c>
      <c r="Z43" s="3017" t="s">
        <v>2821</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2821</v>
      </c>
      <c r="Y44" s="3017" t="s">
        <v>2821</v>
      </c>
      <c r="Z44" s="3017" t="s">
        <v>2821</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2821</v>
      </c>
      <c r="Y45" s="3017" t="s">
        <v>2821</v>
      </c>
      <c r="Z45" s="3017" t="s">
        <v>2821</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2821</v>
      </c>
      <c r="Y46" s="3017" t="s">
        <v>2821</v>
      </c>
      <c r="Z46" s="3017" t="s">
        <v>2821</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2821</v>
      </c>
      <c r="Y47" s="3017" t="s">
        <v>2821</v>
      </c>
      <c r="Z47" s="3017" t="s">
        <v>2821</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2821</v>
      </c>
      <c r="Y48" s="3017" t="s">
        <v>2821</v>
      </c>
      <c r="Z48" s="3017" t="s">
        <v>2821</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2821</v>
      </c>
      <c r="Y49" s="3017" t="s">
        <v>2821</v>
      </c>
      <c r="Z49" s="3017" t="s">
        <v>2821</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2821</v>
      </c>
      <c r="Y50" s="3017" t="s">
        <v>2821</v>
      </c>
      <c r="Z50" s="3017" t="s">
        <v>2821</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2821</v>
      </c>
      <c r="V51" s="3017" t="s">
        <v>2821</v>
      </c>
      <c r="W51" s="3017" t="s">
        <v>2821</v>
      </c>
      <c r="X51" s="3017" t="s">
        <v>2821</v>
      </c>
      <c r="Y51" s="3017" t="s">
        <v>2821</v>
      </c>
      <c r="Z51" s="3017" t="s">
        <v>2821</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2821</v>
      </c>
      <c r="J55" s="3017" t="s">
        <v>2821</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C3" sqref="C3:C7"/>
    </sheetView>
  </sheetViews>
  <sheetFormatPr defaultRowHeight="13.5"/>
  <cols>
    <col min="1" max="1" width="23.875" customWidth="1"/>
    <col min="2" max="5" width="18.375" customWidth="1"/>
  </cols>
  <sheetData>
    <row r="1" spans="1:4">
      <c r="A1" s="3633" t="s">
        <v>3294</v>
      </c>
      <c r="B1" s="3633"/>
      <c r="C1" s="3633"/>
      <c r="D1" s="3633"/>
    </row>
    <row r="2" spans="1:4" ht="14.25" thickBot="1">
      <c r="A2" s="3227" t="s">
        <v>3295</v>
      </c>
      <c r="B2" s="3228" t="s">
        <v>3296</v>
      </c>
      <c r="C2" s="3228" t="s">
        <v>3297</v>
      </c>
      <c r="D2" s="3228" t="s">
        <v>3298</v>
      </c>
    </row>
    <row r="3" spans="1:4">
      <c r="A3" s="3229">
        <v>2016.1</v>
      </c>
      <c r="B3" s="3231">
        <v>7163</v>
      </c>
      <c r="C3" s="3231">
        <v>-7.0000000000000007E-2</v>
      </c>
      <c r="D3" s="3230"/>
    </row>
    <row r="4" spans="1:4">
      <c r="A4" s="3232">
        <v>2016.2</v>
      </c>
      <c r="B4" s="3234">
        <v>7087</v>
      </c>
      <c r="C4" s="3234">
        <v>-1.06</v>
      </c>
      <c r="D4" s="3233"/>
    </row>
    <row r="5" spans="1:4">
      <c r="A5" s="3229">
        <v>2016.3</v>
      </c>
      <c r="B5" s="3231">
        <v>7089</v>
      </c>
      <c r="C5" s="3231">
        <v>0.03</v>
      </c>
      <c r="D5" s="3230"/>
    </row>
    <row r="6" spans="1:4">
      <c r="A6" s="3232">
        <v>2016.4</v>
      </c>
      <c r="B6" s="3234">
        <v>7065</v>
      </c>
      <c r="C6" s="3234">
        <v>-0.34</v>
      </c>
      <c r="D6" s="3233"/>
    </row>
    <row r="7" spans="1:4" ht="14.25">
      <c r="A7" s="3235">
        <v>2017.1</v>
      </c>
      <c r="B7" s="3236">
        <v>7132</v>
      </c>
      <c r="C7" s="3236">
        <v>0.95</v>
      </c>
    </row>
  </sheetData>
  <mergeCells count="1">
    <mergeCell ref="A1:D1"/>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8" t="s">
        <v>2041</v>
      </c>
      <c r="B1" s="3308"/>
      <c r="C1" s="3308"/>
      <c r="D1" s="3308"/>
      <c r="E1" s="3308"/>
      <c r="F1" s="3308"/>
      <c r="G1" s="3308"/>
      <c r="H1" s="3308"/>
      <c r="I1" s="3308"/>
      <c r="J1" s="3308"/>
      <c r="K1" s="3308"/>
      <c r="L1" s="3308"/>
      <c r="M1" s="3308"/>
      <c r="N1" s="3308"/>
      <c r="O1" s="3308"/>
      <c r="P1" s="3308"/>
      <c r="Q1" s="3308"/>
      <c r="R1" s="3308"/>
    </row>
    <row r="2" spans="1:18">
      <c r="A2" s="1808" t="s">
        <v>2043</v>
      </c>
      <c r="B2" s="1808"/>
      <c r="C2" s="1808"/>
      <c r="D2" s="1808"/>
      <c r="E2" s="1808"/>
      <c r="F2" s="1808"/>
      <c r="G2" s="1808"/>
      <c r="H2" s="1808"/>
      <c r="I2" s="1809"/>
      <c r="J2" s="1809"/>
      <c r="K2" s="1810" t="str">
        <f>"估价期日："&amp;TEXT(项目基本情况!D3,"yyyy年m月d日;;")</f>
        <v>估价期日：2017年11月13日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309" t="s">
        <v>2032</v>
      </c>
      <c r="B3" s="3309" t="s">
        <v>2734</v>
      </c>
      <c r="C3" s="3310" t="s">
        <v>2033</v>
      </c>
      <c r="D3" s="3309" t="s">
        <v>2738</v>
      </c>
      <c r="E3" s="3312" t="s">
        <v>2034</v>
      </c>
      <c r="F3" s="3312"/>
      <c r="G3" s="3312"/>
      <c r="H3" s="3312" t="s">
        <v>2035</v>
      </c>
      <c r="I3" s="3312"/>
      <c r="J3" s="3312"/>
      <c r="K3" s="3310" t="s">
        <v>2036</v>
      </c>
      <c r="L3" s="3310" t="s">
        <v>2037</v>
      </c>
      <c r="M3" s="3309" t="s">
        <v>2735</v>
      </c>
      <c r="N3" s="3311" t="str">
        <f>"（分摊）"&amp;项目基本情况!B16&amp;"国有建设用地使用权面积/㎡"</f>
        <v>（分摊）出让国有建设用地使用权面积/㎡</v>
      </c>
      <c r="O3" s="3309" t="s">
        <v>2066</v>
      </c>
      <c r="P3" s="3310" t="s">
        <v>2046</v>
      </c>
      <c r="Q3" s="3310" t="s">
        <v>2067</v>
      </c>
      <c r="R3" s="3310" t="s">
        <v>2038</v>
      </c>
    </row>
    <row r="4" spans="1:18" ht="36.75" customHeight="1">
      <c r="A4" s="3309"/>
      <c r="B4" s="3309"/>
      <c r="C4" s="3310"/>
      <c r="D4" s="3309"/>
      <c r="E4" s="2675" t="s">
        <v>2045</v>
      </c>
      <c r="F4" s="2675" t="s">
        <v>2747</v>
      </c>
      <c r="G4" s="2675" t="s">
        <v>2039</v>
      </c>
      <c r="H4" s="2675" t="s">
        <v>2040</v>
      </c>
      <c r="I4" s="2675" t="s">
        <v>2748</v>
      </c>
      <c r="J4" s="2675" t="s">
        <v>2039</v>
      </c>
      <c r="K4" s="3310"/>
      <c r="L4" s="3310"/>
      <c r="M4" s="3309"/>
      <c r="N4" s="3311"/>
      <c r="O4" s="3309"/>
      <c r="P4" s="3310"/>
      <c r="Q4" s="3310"/>
      <c r="R4" s="3310"/>
    </row>
    <row r="5" spans="1:18" ht="135" customHeight="1">
      <c r="A5" s="1944" t="s">
        <v>2658</v>
      </c>
      <c r="B5" s="2894" t="s">
        <v>2656</v>
      </c>
      <c r="C5" s="2674">
        <v>22</v>
      </c>
      <c r="D5" s="2673" t="s">
        <v>2657</v>
      </c>
      <c r="E5" s="1811">
        <f>项目基本情况!B12</f>
        <v>0</v>
      </c>
      <c r="F5" s="2673">
        <v>258</v>
      </c>
      <c r="G5" s="1811">
        <f>项目基本情况!B13</f>
        <v>0</v>
      </c>
      <c r="H5" s="2673">
        <v>1.5</v>
      </c>
      <c r="I5" s="2673">
        <v>1.5</v>
      </c>
      <c r="J5" s="2673">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76242</v>
      </c>
      <c r="O5" s="1811">
        <f>项目基本情况!C21</f>
        <v>114363</v>
      </c>
      <c r="P5" s="1811">
        <f ca="1">结果表!E42</f>
        <v>2653</v>
      </c>
      <c r="Q5" s="1811">
        <f ca="1">结果表!D42</f>
        <v>1769</v>
      </c>
      <c r="R5" s="1812">
        <f ca="1">结果表!C42</f>
        <v>20227</v>
      </c>
    </row>
    <row r="6" spans="1:18">
      <c r="A6" s="3313" t="str">
        <f>IF(项目基本情况!B9="市场价格","——","抵押价格")</f>
        <v>抵押价格</v>
      </c>
      <c r="B6" s="3314"/>
      <c r="C6" s="3314"/>
      <c r="D6" s="3314"/>
      <c r="E6" s="3314"/>
      <c r="F6" s="3314"/>
      <c r="G6" s="3314"/>
      <c r="H6" s="3314"/>
      <c r="I6" s="3314"/>
      <c r="J6" s="3314"/>
      <c r="K6" s="3314"/>
      <c r="L6" s="3314"/>
      <c r="M6" s="3314"/>
      <c r="N6" s="3314"/>
      <c r="O6" s="3314"/>
      <c r="P6" s="3314"/>
      <c r="Q6" s="3315"/>
      <c r="R6" s="1813">
        <f ca="1">结果表!O39</f>
        <v>20227</v>
      </c>
    </row>
    <row r="7" spans="1:18">
      <c r="A7" s="3313" t="str">
        <f>IF(项目基本情况!B9="市场价格","——",IF(项目基本情况!E8="已注销及未注销","抵押担保权已注销时的抵押价格","——"))</f>
        <v>——</v>
      </c>
      <c r="B7" s="3314"/>
      <c r="C7" s="3314"/>
      <c r="D7" s="3314"/>
      <c r="E7" s="3314"/>
      <c r="F7" s="3314"/>
      <c r="G7" s="3314"/>
      <c r="H7" s="3314"/>
      <c r="I7" s="3314"/>
      <c r="J7" s="3314"/>
      <c r="K7" s="3314"/>
      <c r="L7" s="3314"/>
      <c r="M7" s="3314"/>
      <c r="N7" s="3314"/>
      <c r="O7" s="3314"/>
      <c r="P7" s="3314"/>
      <c r="Q7" s="3315"/>
      <c r="R7" s="1813" t="str">
        <f>结果表!O40</f>
        <v>——</v>
      </c>
    </row>
    <row r="8" spans="1:18">
      <c r="A8" s="3313" t="str">
        <f>IF(项目基本情况!B9="市场价格","——",项目基本情况!E9)</f>
        <v>——</v>
      </c>
      <c r="B8" s="3314"/>
      <c r="C8" s="3314"/>
      <c r="D8" s="3314"/>
      <c r="E8" s="3314"/>
      <c r="F8" s="3314"/>
      <c r="G8" s="3314"/>
      <c r="H8" s="3314"/>
      <c r="I8" s="3314"/>
      <c r="J8" s="3314"/>
      <c r="K8" s="3314"/>
      <c r="L8" s="3314"/>
      <c r="M8" s="3314"/>
      <c r="N8" s="3314"/>
      <c r="O8" s="3314"/>
      <c r="P8" s="3314"/>
      <c r="Q8" s="3315"/>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316" t="s">
        <v>2068</v>
      </c>
      <c r="B1" s="3316"/>
      <c r="C1" s="3316"/>
      <c r="D1" s="3316"/>
    </row>
    <row r="2" spans="1:4" ht="47.25" customHeight="1">
      <c r="A2" s="3320" t="str">
        <f>"1.权利限制："&amp;项目基本情况!L24&amp;"未设定租赁等其他他项权利。"</f>
        <v>1.权利限制：根据估价对象《不动产权证书》原件、《国有土地使用权》复印件，截至估价期日，估价对象抵押权未见登记。未设定租赁等其他他项权利。</v>
      </c>
      <c r="B2" s="3320"/>
      <c r="C2" s="3320"/>
      <c r="D2" s="3320"/>
    </row>
    <row r="3" spans="1:4" ht="48" customHeight="1">
      <c r="A3" s="33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6"/>
      <c r="C3" s="3316"/>
      <c r="D3" s="3316"/>
    </row>
    <row r="4" spans="1:4" ht="36.75" customHeight="1">
      <c r="A4" s="3316" t="str">
        <f>"3.估价规划限制条件：详见"&amp;项目基本情况!E21&amp;"。"</f>
        <v>3.估价规划限制条件：详见《建设工程规划许可证》[]、《出让合同》[]。</v>
      </c>
      <c r="B4" s="3316"/>
      <c r="C4" s="3316"/>
      <c r="D4" s="3316"/>
    </row>
    <row r="5" spans="1:4">
      <c r="A5" s="3319" t="s">
        <v>2069</v>
      </c>
      <c r="B5" s="3319"/>
      <c r="C5" s="3319"/>
      <c r="D5" s="3319"/>
    </row>
    <row r="6" spans="1:4">
      <c r="A6" s="3316" t="s">
        <v>2047</v>
      </c>
      <c r="B6" s="3316"/>
      <c r="C6" s="3316"/>
      <c r="D6" s="3316"/>
    </row>
    <row r="7" spans="1:4" ht="33" customHeight="1">
      <c r="A7" s="3316" t="s">
        <v>2577</v>
      </c>
      <c r="B7" s="3316"/>
      <c r="C7" s="3316"/>
      <c r="D7" s="3316"/>
    </row>
    <row r="8" spans="1:4" ht="32.25" customHeight="1">
      <c r="A8" s="33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6"/>
      <c r="C8" s="3316"/>
      <c r="D8" s="3316"/>
    </row>
    <row r="9" spans="1:4" ht="33.75" customHeight="1">
      <c r="A9" s="33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6"/>
      <c r="C9" s="3316"/>
      <c r="D9" s="3316"/>
    </row>
    <row r="10" spans="1:4">
      <c r="A10" s="3316" t="str">
        <f>IF(项目基本情况!B8="抵押","4.估价师所知悉的法定优先受偿款情况为：","——")</f>
        <v>4.估价师所知悉的法定优先受偿款情况为：</v>
      </c>
      <c r="B10" s="3316"/>
      <c r="C10" s="3316"/>
      <c r="D10" s="3316"/>
    </row>
    <row r="11" spans="1:4" ht="37.5" customHeight="1">
      <c r="A11" s="33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8"/>
      <c r="C11" s="3318"/>
      <c r="D11" s="3318"/>
    </row>
    <row r="12" spans="1:4" ht="168" customHeight="1">
      <c r="A12" s="3319" t="s">
        <v>2071</v>
      </c>
      <c r="B12" s="3319"/>
      <c r="C12" s="3319"/>
      <c r="D12" s="3319"/>
    </row>
    <row r="13" spans="1:4">
      <c r="A13" s="3317" t="s">
        <v>2749</v>
      </c>
      <c r="B13" s="3317"/>
      <c r="C13" s="3317"/>
      <c r="D13" s="3317"/>
    </row>
    <row r="14" spans="1:4">
      <c r="A14" s="3318" t="str">
        <f>IF(项目基本情况!B8="抵押","综上，"&amp;结果表!K47,"——")</f>
        <v>综上，本次评估不存在估价师知悉的法定优先受偿款</v>
      </c>
      <c r="B14" s="3318"/>
      <c r="C14" s="3318"/>
      <c r="D14" s="3318"/>
    </row>
    <row r="15" spans="1:4" ht="58.5" customHeight="1">
      <c r="A15" s="33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6"/>
      <c r="C15" s="3316"/>
      <c r="D15" s="3316"/>
    </row>
    <row r="16" spans="1:4" ht="70.5" customHeight="1">
      <c r="A16" s="33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6"/>
      <c r="C16" s="3316"/>
      <c r="D16" s="3316"/>
    </row>
    <row r="17" spans="1:4">
      <c r="A17" s="3316" t="s">
        <v>2705</v>
      </c>
      <c r="B17" s="3316"/>
      <c r="C17" s="3316"/>
      <c r="D17" s="3316"/>
    </row>
    <row r="18" spans="1:4">
      <c r="A18" s="3316" t="s">
        <v>2697</v>
      </c>
      <c r="B18" s="3316"/>
      <c r="C18" s="3316"/>
      <c r="D18" s="3316"/>
    </row>
    <row r="19" spans="1:4">
      <c r="A19" s="2895" t="s">
        <v>2698</v>
      </c>
      <c r="B19" s="2895" t="s">
        <v>2699</v>
      </c>
      <c r="C19" s="2895" t="s">
        <v>2700</v>
      </c>
      <c r="D19" s="2895" t="s">
        <v>2701</v>
      </c>
    </row>
    <row r="20" spans="1:4">
      <c r="A20" s="2895" t="str">
        <f>项目基本情况!B4</f>
        <v>王鹏</v>
      </c>
      <c r="B20" s="2895">
        <f ca="1">项目基本情况!C4</f>
        <v>2002110030</v>
      </c>
      <c r="C20" s="2897"/>
      <c r="D20" s="1801" t="s">
        <v>2706</v>
      </c>
    </row>
    <row r="21" spans="1:4">
      <c r="A21" s="2895" t="str">
        <f>项目基本情况!D4</f>
        <v>郑燚</v>
      </c>
      <c r="B21" s="2895">
        <f>项目基本情况!E4</f>
        <v>2014110011</v>
      </c>
      <c r="C21" s="2897"/>
      <c r="D21" s="1801" t="s">
        <v>2707</v>
      </c>
    </row>
    <row r="23" spans="1:4">
      <c r="A23" s="3316" t="s">
        <v>2702</v>
      </c>
      <c r="B23" s="3316"/>
      <c r="C23" s="3316"/>
      <c r="D23" s="3316"/>
    </row>
    <row r="24" spans="1:4">
      <c r="A24" s="2895" t="s">
        <v>2698</v>
      </c>
      <c r="B24" s="2895" t="s">
        <v>2703</v>
      </c>
      <c r="C24" s="2895" t="s">
        <v>2700</v>
      </c>
      <c r="D24" s="2895" t="s">
        <v>2701</v>
      </c>
    </row>
    <row r="25" spans="1:4">
      <c r="A25" s="2898" t="s">
        <v>2704</v>
      </c>
      <c r="B25" s="2895" t="s">
        <v>952</v>
      </c>
      <c r="C25" s="2897"/>
      <c r="D25" s="1801" t="s">
        <v>2707</v>
      </c>
    </row>
    <row r="29" spans="1:4">
      <c r="D29" s="2896" t="s">
        <v>2042</v>
      </c>
    </row>
    <row r="30" spans="1:4">
      <c r="D30" s="289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328" t="s">
        <v>53</v>
      </c>
      <c r="B15" s="3329" t="s">
        <v>846</v>
      </c>
      <c r="C15" s="3325"/>
    </row>
    <row r="16" spans="1:7" ht="14.25">
      <c r="A16" s="3328"/>
      <c r="B16" s="3326" t="s">
        <v>54</v>
      </c>
      <c r="C16" s="1172" t="s">
        <v>53</v>
      </c>
    </row>
    <row r="17" spans="1:3" ht="14.25">
      <c r="A17" s="3328"/>
      <c r="B17" s="3326"/>
      <c r="C17" s="1172" t="s">
        <v>55</v>
      </c>
    </row>
    <row r="18" spans="1:3" ht="14.25">
      <c r="A18" s="3328"/>
      <c r="B18" s="3326"/>
      <c r="C18" s="1172" t="s">
        <v>56</v>
      </c>
    </row>
    <row r="19" spans="1:3" ht="14.25">
      <c r="A19" s="3328"/>
      <c r="B19" s="3324" t="s">
        <v>57</v>
      </c>
      <c r="C19" s="3325"/>
    </row>
    <row r="20" spans="1:3" ht="14.25">
      <c r="A20" s="1173" t="s">
        <v>58</v>
      </c>
      <c r="B20" s="1174"/>
      <c r="C20" s="1175"/>
    </row>
    <row r="21" spans="1:3" ht="14.25">
      <c r="A21" s="3327" t="s">
        <v>59</v>
      </c>
      <c r="B21" s="3324" t="s">
        <v>60</v>
      </c>
      <c r="C21" s="3325"/>
    </row>
    <row r="22" spans="1:3" ht="14.25">
      <c r="A22" s="3327"/>
      <c r="B22" s="3324" t="s">
        <v>61</v>
      </c>
      <c r="C22" s="3325"/>
    </row>
    <row r="23" spans="1:3" ht="14.25">
      <c r="A23" s="3327"/>
      <c r="B23" s="3324" t="s">
        <v>62</v>
      </c>
      <c r="C23" s="3325"/>
    </row>
    <row r="24" spans="1:3" ht="14.25">
      <c r="A24" s="3327"/>
      <c r="B24" s="3330" t="s">
        <v>63</v>
      </c>
      <c r="C24" s="1176" t="s">
        <v>837</v>
      </c>
    </row>
    <row r="25" spans="1:3" ht="14.25">
      <c r="A25" s="3327"/>
      <c r="B25" s="3331"/>
      <c r="C25" s="1176" t="s">
        <v>838</v>
      </c>
    </row>
    <row r="26" spans="1:3" ht="14.25">
      <c r="A26" s="3327"/>
      <c r="B26" s="3331"/>
      <c r="C26" s="1176" t="s">
        <v>839</v>
      </c>
    </row>
    <row r="27" spans="1:3" ht="14.25">
      <c r="A27" s="3327"/>
      <c r="B27" s="3331"/>
      <c r="C27" s="1176" t="s">
        <v>840</v>
      </c>
    </row>
    <row r="28" spans="1:3" ht="14.25">
      <c r="A28" s="3327"/>
      <c r="B28" s="3331"/>
      <c r="C28" s="1176" t="s">
        <v>841</v>
      </c>
    </row>
    <row r="29" spans="1:3" ht="14.25">
      <c r="A29" s="3327"/>
      <c r="B29" s="3331"/>
      <c r="C29" s="1176" t="s">
        <v>842</v>
      </c>
    </row>
    <row r="30" spans="1:3" ht="14.25">
      <c r="A30" s="3327"/>
      <c r="B30" s="3331"/>
      <c r="C30" s="1176" t="s">
        <v>843</v>
      </c>
    </row>
    <row r="31" spans="1:3" ht="14.25">
      <c r="A31" s="3327"/>
      <c r="B31" s="3331"/>
      <c r="C31" s="1176" t="s">
        <v>844</v>
      </c>
    </row>
    <row r="32" spans="1:3" ht="14.25">
      <c r="A32" s="3327"/>
      <c r="B32" s="3331"/>
      <c r="C32" s="1176" t="s">
        <v>1647</v>
      </c>
    </row>
    <row r="33" spans="1:3" ht="14.25">
      <c r="A33" s="3327"/>
      <c r="B33" s="3321" t="s">
        <v>1653</v>
      </c>
      <c r="C33" s="1176" t="s">
        <v>1648</v>
      </c>
    </row>
    <row r="34" spans="1:3" ht="14.25">
      <c r="A34" s="3327"/>
      <c r="B34" s="3322"/>
      <c r="C34" s="1181" t="s">
        <v>1649</v>
      </c>
    </row>
    <row r="35" spans="1:3" ht="14.25">
      <c r="A35" s="3327"/>
      <c r="B35" s="3322"/>
      <c r="C35" s="1182" t="s">
        <v>1650</v>
      </c>
    </row>
    <row r="36" spans="1:3" ht="14.25">
      <c r="A36" s="3327"/>
      <c r="B36" s="3322"/>
      <c r="C36" s="1182" t="s">
        <v>1651</v>
      </c>
    </row>
    <row r="37" spans="1:3" ht="14.25">
      <c r="A37" s="3327"/>
      <c r="B37" s="3323"/>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3" zoomScale="93" zoomScaleNormal="100" zoomScaleSheetLayoutView="93" workbookViewId="0">
      <selection activeCell="D8" sqref="D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43097</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33">
        <v>43849</v>
      </c>
      <c r="D4" s="2344" t="s">
        <v>1915</v>
      </c>
      <c r="E4" s="2344">
        <f ca="1">IF(F4&lt;B2,"已过期",96010014)</f>
        <v>96010014</v>
      </c>
      <c r="F4" s="3034">
        <v>47118</v>
      </c>
    </row>
    <row r="5" spans="1:6" ht="20.25" customHeight="1">
      <c r="A5" s="2344" t="s">
        <v>1916</v>
      </c>
      <c r="B5" s="2344">
        <f ca="1">IF(C5&lt;B2,"已过期",1119970074)</f>
        <v>1119970074</v>
      </c>
      <c r="C5" s="3033">
        <v>43849</v>
      </c>
      <c r="D5" s="2344" t="s">
        <v>1916</v>
      </c>
      <c r="E5" s="2344">
        <f ca="1">IF(F5&lt;B2,"已过期",2002110027)</f>
        <v>2002110027</v>
      </c>
      <c r="F5" s="3034">
        <v>46752</v>
      </c>
    </row>
    <row r="6" spans="1:6" ht="20.25" customHeight="1">
      <c r="A6" s="2344" t="s">
        <v>1917</v>
      </c>
      <c r="B6" s="2344">
        <f ca="1">IF(C6&lt;B2,"已过期",1119970111)</f>
        <v>1119970111</v>
      </c>
      <c r="C6" s="3033">
        <v>43849</v>
      </c>
      <c r="D6" s="2344" t="s">
        <v>1917</v>
      </c>
      <c r="E6" s="2344">
        <f ca="1">IF(F6&lt;B2,"已过期",94010078)</f>
        <v>94010078</v>
      </c>
      <c r="F6" s="3034">
        <v>46387</v>
      </c>
    </row>
    <row r="7" spans="1:6" ht="20.25" customHeight="1">
      <c r="A7" s="2344" t="s">
        <v>1918</v>
      </c>
      <c r="B7" s="2344">
        <f ca="1">IF(C7&lt;B2,"已过期",1120050019)</f>
        <v>1120050019</v>
      </c>
      <c r="C7" s="3033">
        <v>43359</v>
      </c>
      <c r="D7" s="2344" t="s">
        <v>1918</v>
      </c>
      <c r="E7" s="2344">
        <f ca="1">IF(F7&lt;B2,"已过期",2002110030)</f>
        <v>2002110030</v>
      </c>
      <c r="F7" s="3034">
        <v>46387</v>
      </c>
    </row>
    <row r="8" spans="1:6" ht="20.25" customHeight="1">
      <c r="A8" s="2344" t="s">
        <v>1919</v>
      </c>
      <c r="B8" s="2344">
        <f ca="1">IF(C8&lt;B2,"已过期",1120000080)</f>
        <v>1120000080</v>
      </c>
      <c r="C8" s="3033">
        <v>43849</v>
      </c>
      <c r="D8" s="2344" t="s">
        <v>1919</v>
      </c>
      <c r="E8" s="2344">
        <f ca="1">IF(F8&lt;B2,"已过期",2000110082)</f>
        <v>2000110082</v>
      </c>
      <c r="F8" s="3034">
        <v>46387</v>
      </c>
    </row>
    <row r="9" spans="1:6" ht="20.25" customHeight="1">
      <c r="A9" s="2344" t="s">
        <v>1920</v>
      </c>
      <c r="B9" s="2344">
        <f ca="1">IF(C9&lt;B2,"已过期",1419970001)</f>
        <v>1419970001</v>
      </c>
      <c r="C9" s="3033">
        <v>43867</v>
      </c>
      <c r="D9" s="2344" t="s">
        <v>1920</v>
      </c>
      <c r="E9" s="2344">
        <f ca="1">IF(F9&lt;B2,"已过期",2002110125)</f>
        <v>2002110125</v>
      </c>
      <c r="F9" s="3034">
        <v>47118</v>
      </c>
    </row>
    <row r="10" spans="1:6" ht="20.25" customHeight="1">
      <c r="A10" s="2344" t="s">
        <v>1921</v>
      </c>
      <c r="B10" s="2344">
        <f ca="1">IF(C10&lt;B2,"已过期",1120060040)</f>
        <v>1120060040</v>
      </c>
      <c r="C10" s="3033">
        <v>43483</v>
      </c>
      <c r="D10" s="2344" t="s">
        <v>1921</v>
      </c>
      <c r="E10" s="2344">
        <f ca="1">IF(F10&lt;B2,"已过期",2004110096)</f>
        <v>2004110096</v>
      </c>
      <c r="F10" s="3034">
        <v>47118</v>
      </c>
    </row>
    <row r="11" spans="1:6" ht="20.25" customHeight="1">
      <c r="A11" s="2344" t="s">
        <v>1922</v>
      </c>
      <c r="B11" s="2344">
        <f ca="1">IF(C11&lt;B2,"已过期",1120100036)</f>
        <v>1120100036</v>
      </c>
      <c r="C11" s="3033">
        <v>43622</v>
      </c>
      <c r="D11" s="2344" t="s">
        <v>1922</v>
      </c>
      <c r="E11" s="2344">
        <f ca="1">IF(F11&lt;B2,"已过期",2010110070)</f>
        <v>2010110070</v>
      </c>
      <c r="F11" s="3034">
        <v>47907</v>
      </c>
    </row>
    <row r="12" spans="1:6" ht="20.25" customHeight="1">
      <c r="A12" s="2344"/>
      <c r="B12" s="2344"/>
      <c r="C12" s="3033"/>
      <c r="D12" s="2344"/>
      <c r="E12" s="2344"/>
      <c r="F12" s="2344"/>
    </row>
    <row r="13" spans="1:6" ht="20.25" customHeight="1">
      <c r="A13" s="2344" t="s">
        <v>1923</v>
      </c>
      <c r="B13" s="2344">
        <f ca="1">IF(C13&lt;B2,"已过期",1120070131)</f>
        <v>1120070131</v>
      </c>
      <c r="C13" s="3033">
        <v>43814</v>
      </c>
      <c r="D13" s="2344" t="s">
        <v>1923</v>
      </c>
      <c r="E13" s="2344">
        <v>2014110011</v>
      </c>
      <c r="F13" s="3034">
        <v>49302</v>
      </c>
    </row>
    <row r="14" spans="1:6" ht="20.25" customHeight="1">
      <c r="A14" s="2344" t="s">
        <v>1924</v>
      </c>
      <c r="B14" s="2344">
        <f ca="1">IF(C14&lt;B2,"已过期",1120130020)</f>
        <v>1120130020</v>
      </c>
      <c r="C14" s="3033">
        <v>43622</v>
      </c>
      <c r="D14" s="2344"/>
      <c r="E14" s="2344"/>
      <c r="F14" s="2344"/>
    </row>
    <row r="15" spans="1:6" ht="20.25" customHeight="1">
      <c r="A15" s="2344" t="s">
        <v>2576</v>
      </c>
      <c r="B15" s="2344">
        <v>1120070085</v>
      </c>
      <c r="C15" s="3033">
        <v>43814</v>
      </c>
      <c r="D15" s="2344" t="s">
        <v>2576</v>
      </c>
      <c r="E15" s="2344">
        <v>2004110128</v>
      </c>
      <c r="F15" s="3034">
        <v>47118</v>
      </c>
    </row>
    <row r="16" spans="1:6" ht="20.25" customHeight="1">
      <c r="A16" s="2344" t="s">
        <v>1925</v>
      </c>
      <c r="B16" s="2344">
        <f ca="1">IF(C16&lt;B2,"已过期",1120140022)</f>
        <v>1120140022</v>
      </c>
      <c r="C16" s="3033">
        <v>44029</v>
      </c>
      <c r="D16" s="2344" t="s">
        <v>1925</v>
      </c>
      <c r="E16" s="2344">
        <f ca="1">IF(F16&lt;B2,"已过期",2008110059)</f>
        <v>2008110059</v>
      </c>
      <c r="F16" s="3034">
        <v>47177</v>
      </c>
    </row>
    <row r="17" spans="1:7" ht="20.25" customHeight="1">
      <c r="A17" s="2344"/>
      <c r="B17" s="2344"/>
      <c r="C17" s="3033"/>
      <c r="D17" s="2344"/>
      <c r="E17" s="2344"/>
      <c r="F17" s="3034"/>
    </row>
    <row r="18" spans="1:7" ht="20.25" customHeight="1">
      <c r="A18" s="2344"/>
      <c r="B18" s="2344"/>
      <c r="C18" s="3033"/>
      <c r="D18" s="2344"/>
      <c r="E18" s="2344"/>
      <c r="F18" s="3034"/>
    </row>
    <row r="19" spans="1:7" ht="20.25" customHeight="1">
      <c r="A19" s="2344"/>
      <c r="B19" s="2344"/>
      <c r="C19" s="3033"/>
      <c r="D19" s="2344"/>
      <c r="E19" s="2344"/>
      <c r="F19" s="2344"/>
    </row>
    <row r="20" spans="1:7" ht="20.25" customHeight="1">
      <c r="A20" s="2344"/>
      <c r="B20" s="2344"/>
      <c r="C20" s="3033"/>
      <c r="D20" s="2344"/>
      <c r="E20" s="2344"/>
      <c r="F20" s="2344"/>
    </row>
    <row r="21" spans="1:7" ht="20.25" customHeight="1">
      <c r="A21" s="2344"/>
      <c r="B21" s="2344"/>
      <c r="C21" s="3033"/>
      <c r="D21" s="2344" t="s">
        <v>1926</v>
      </c>
      <c r="E21" s="2344">
        <f ca="1">IF(F21&lt;B2,"已过期",2011110090)</f>
        <v>2011110090</v>
      </c>
      <c r="F21" s="3034">
        <v>48302</v>
      </c>
    </row>
    <row r="22" spans="1:7" ht="20.25" customHeight="1">
      <c r="A22" s="2344" t="s">
        <v>1927</v>
      </c>
      <c r="B22" s="2344">
        <f ca="1">IF(C22&lt;B2,"已过期",1120020033)</f>
        <v>1120020033</v>
      </c>
      <c r="C22" s="3033">
        <v>43304</v>
      </c>
      <c r="D22" s="2344" t="s">
        <v>1927</v>
      </c>
      <c r="E22" s="2344">
        <f ca="1">IF(F22&lt;B2,"已过期",2000110137)</f>
        <v>2000110137</v>
      </c>
      <c r="F22" s="3034">
        <v>46387</v>
      </c>
    </row>
    <row r="23" spans="1:7" ht="20.25" customHeight="1">
      <c r="A23" s="2344" t="s">
        <v>1928</v>
      </c>
      <c r="B23" s="2344">
        <f ca="1">IF(C23&lt;B2,"已过期",1120130048)</f>
        <v>1120130048</v>
      </c>
      <c r="C23" s="3033">
        <v>43686</v>
      </c>
      <c r="D23" s="2344"/>
      <c r="E23" s="2344"/>
      <c r="F23" s="2344"/>
    </row>
    <row r="24" spans="1:7" s="2348" customFormat="1" ht="20.25" customHeight="1">
      <c r="A24" s="2346" t="s">
        <v>2056</v>
      </c>
      <c r="B24" s="2346" t="s">
        <v>2056</v>
      </c>
      <c r="C24" s="3033"/>
      <c r="D24" s="3035" t="s">
        <v>2056</v>
      </c>
      <c r="E24" s="2346" t="s">
        <v>2056</v>
      </c>
      <c r="F24" s="2347"/>
    </row>
    <row r="25" spans="1:7" ht="20.25" customHeight="1">
      <c r="A25" s="3332" t="s">
        <v>1929</v>
      </c>
      <c r="B25" s="3332"/>
      <c r="C25" s="3332"/>
      <c r="D25" s="3332"/>
      <c r="E25" s="3332"/>
      <c r="F25" s="3332"/>
      <c r="G25" s="3332"/>
    </row>
    <row r="26" spans="1:7" ht="20.25" customHeight="1">
      <c r="A26" s="3333" t="s">
        <v>1930</v>
      </c>
      <c r="B26" s="3333"/>
      <c r="C26" s="3333"/>
      <c r="D26" s="3333" t="s">
        <v>1931</v>
      </c>
      <c r="E26" s="3333"/>
      <c r="F26" s="3333"/>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8"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2547</v>
      </c>
      <c r="R1" s="2607" t="s">
        <v>2541</v>
      </c>
      <c r="S1" s="6" t="s">
        <v>146</v>
      </c>
      <c r="T1" s="7" t="s">
        <v>147</v>
      </c>
      <c r="U1" s="6" t="s">
        <v>148</v>
      </c>
      <c r="V1" s="6" t="s">
        <v>149</v>
      </c>
      <c r="W1" s="1005"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7" t="s">
        <v>880</v>
      </c>
      <c r="Q2" s="9" t="s">
        <v>75</v>
      </c>
      <c r="R2" s="1007" t="s">
        <v>2542</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2543</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7" t="s">
        <v>760</v>
      </c>
      <c r="Q4" s="9" t="s">
        <v>92</v>
      </c>
      <c r="R4" s="1007" t="s">
        <v>2544</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7" t="s">
        <v>547</v>
      </c>
      <c r="Q5" s="9" t="s">
        <v>97</v>
      </c>
      <c r="R5" s="1007" t="s">
        <v>2545</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7" t="s">
        <v>881</v>
      </c>
      <c r="Q6" s="9" t="s">
        <v>101</v>
      </c>
      <c r="R6" s="1007" t="s">
        <v>2546</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43" t="s">
        <v>2953</v>
      </c>
      <c r="C18" s="1554"/>
    </row>
    <row r="19" spans="1:3">
      <c r="A19" s="8" t="s">
        <v>120</v>
      </c>
      <c r="B19" s="3143" t="s">
        <v>2961</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3143" t="s">
        <v>3276</v>
      </c>
      <c r="B28" s="8" t="s">
        <v>1642</v>
      </c>
      <c r="C28" s="1554"/>
    </row>
    <row r="29" spans="1:3">
      <c r="A29" s="3143" t="s">
        <v>3277</v>
      </c>
      <c r="B29" s="8" t="s">
        <v>1642</v>
      </c>
      <c r="C29" s="1554"/>
    </row>
    <row r="30" spans="1:3">
      <c r="A30" s="3143" t="s">
        <v>3278</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中诚信托有限公司办理贷款手续。中诚信托有限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334"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13日，在规划利用条件下、设定土地开发程度为红线外“七通”、宗地内场地，设定用途为，剩余土地使用年限为的出让国有建设用地使用权价格。</v>
      </c>
      <c r="D53" s="1768"/>
      <c r="E53" s="1768"/>
    </row>
    <row r="54" spans="1:5">
      <c r="A54" s="3334"/>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334"/>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334"/>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334"/>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面积统计表</vt:lpstr>
      <vt:lpstr>数据-基础表</vt:lpstr>
      <vt:lpstr>住宅土地明细 (2)</vt:lpstr>
      <vt:lpstr>数据-汇总表</vt:lpstr>
      <vt:lpstr>数据-取费表</vt:lpstr>
      <vt:lpstr>估价对象房地状况</vt:lpstr>
      <vt:lpstr>工业土地明细 </vt:lpstr>
      <vt:lpstr>住宅土地明细</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土地案例</vt:lpstr>
      <vt:lpstr>剩余法-待开发</vt:lpstr>
      <vt:lpstr>不动产收益法</vt:lpstr>
      <vt:lpstr>酒店收入计算</vt:lpstr>
      <vt:lpstr>成本逼近法</vt:lpstr>
      <vt:lpstr>不动产比较法-小高层</vt:lpstr>
      <vt:lpstr>不动产比较法-多层</vt:lpstr>
      <vt:lpstr>不动产比较法-联排</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'住宅土地明细 (2)'!Print_Area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'不动产比较法-多层'!住宅朝向</vt:lpstr>
      <vt:lpstr>'不动产比较法-联排'!住宅朝向</vt:lpstr>
      <vt:lpstr>'不动产比较法-小高层'!住宅朝向</vt:lpstr>
      <vt:lpstr>'不动产比较法-多层'!住宅房型</vt:lpstr>
      <vt:lpstr>'不动产比较法-联排'!住宅房型</vt:lpstr>
      <vt:lpstr>'不动产比较法-小高层'!住宅房型</vt:lpstr>
      <vt:lpstr>'不动产比较法-多层'!住宅公共部分装修</vt:lpstr>
      <vt:lpstr>'不动产比较法-联排'!住宅公共部分装修</vt:lpstr>
      <vt:lpstr>'不动产比较法-小高层'!住宅公共部分装修</vt:lpstr>
      <vt:lpstr>'不动产比较法-多层'!住宅基础设施水平</vt:lpstr>
      <vt:lpstr>'不动产比较法-联排'!住宅基础设施水平</vt:lpstr>
      <vt:lpstr>'不动产比较法-小高层'!住宅基础设施水平</vt:lpstr>
      <vt:lpstr>'不动产比较法-多层'!住宅建筑结构</vt:lpstr>
      <vt:lpstr>'不动产比较法-联排'!住宅建筑结构</vt:lpstr>
      <vt:lpstr>'不动产比较法-小高层'!住宅建筑结构</vt:lpstr>
      <vt:lpstr>'不动产比较法-多层'!住宅建筑类型</vt:lpstr>
      <vt:lpstr>'不动产比较法-联排'!住宅建筑类型</vt:lpstr>
      <vt:lpstr>'不动产比较法-小高层'!住宅建筑类型</vt:lpstr>
      <vt:lpstr>'不动产比较法-多层'!住宅建筑品质</vt:lpstr>
      <vt:lpstr>'不动产比较法-联排'!住宅建筑品质</vt:lpstr>
      <vt:lpstr>'不动产比较法-小高层'!住宅建筑品质</vt:lpstr>
      <vt:lpstr>'不动产比较法-多层'!住宅交易情况</vt:lpstr>
      <vt:lpstr>'不动产比较法-联排'!住宅交易情况</vt:lpstr>
      <vt:lpstr>'不动产比较法-小高层'!住宅交易情况</vt:lpstr>
      <vt:lpstr>'不动产比较法-多层'!住宅楼层</vt:lpstr>
      <vt:lpstr>'不动产比较法-联排'!住宅楼层</vt:lpstr>
      <vt:lpstr>'不动产比较法-小高层'!住宅楼层</vt:lpstr>
      <vt:lpstr>'不动产比较法-多层'!住宅内部装修</vt:lpstr>
      <vt:lpstr>'不动产比较法-联排'!住宅内部装修</vt:lpstr>
      <vt:lpstr>'不动产比较法-小高层'!住宅内部装修</vt:lpstr>
      <vt:lpstr>'不动产比较法-多层'!住宅物业管理</vt:lpstr>
      <vt:lpstr>'不动产比较法-联排'!住宅物业管理</vt:lpstr>
      <vt:lpstr>'不动产比较法-小高层'!住宅物业管理</vt:lpstr>
      <vt:lpstr>'不动产比较法-多层'!住宅用途</vt:lpstr>
      <vt:lpstr>'不动产比较法-联排'!住宅用途</vt:lpstr>
      <vt:lpstr>'不动产比较法-小高层'!住宅用途</vt:lpstr>
      <vt:lpstr>'不动产比较法-多层'!住宅主力户型面积</vt:lpstr>
      <vt:lpstr>'不动产比较法-联排'!住宅主力户型面积</vt:lpstr>
      <vt:lpstr>'不动产比较法-小高层'!住宅主力户型面积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2017-12-28T05:55:42Z</dcterms:modified>
</cp:coreProperties>
</file>