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10\Desktop\司法-旭辉天地\F01\"/>
    </mc:Choice>
  </mc:AlternateContent>
  <bookViews>
    <workbookView xWindow="0" yWindow="0" windowWidth="12810" windowHeight="561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r:id="rId17"/>
    <sheet name="成本法" sheetId="68" state="hidden" r:id="rId18"/>
    <sheet name="比较法-住宅" sheetId="21" state="hidden" r:id="rId19"/>
    <sheet name="比较法-办公" sheetId="34" r:id="rId20"/>
    <sheet name="成交案例" sheetId="81" r:id="rId21"/>
    <sheet name="收益法 (元)" sheetId="67" r:id="rId22"/>
    <sheet name="成本法 (元)" sheetId="69" state="hidden" r:id="rId23"/>
    <sheet name="假设开发法" sheetId="12" state="hidden" r:id="rId24"/>
    <sheet name="收益法" sheetId="15" state="hidden" r:id="rId25"/>
    <sheet name="收益法-酒店模型" sheetId="77" state="hidden" r:id="rId26"/>
    <sheet name="收益法（汇总）" sheetId="70"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比较法-办公租金" sheetId="83" r:id="rId44"/>
    <sheet name="Sheet1" sheetId="82" r:id="rId45"/>
    <sheet name="系统读取表" sheetId="74" r:id="rId46"/>
    <sheet name="地价" sheetId="71" state="hidden" r:id="rId47"/>
    <sheet name="存贷款利率" sheetId="73" state="hidden" r:id="rId48"/>
  </sheets>
  <externalReferences>
    <externalReference r:id="rId49"/>
  </externalReferences>
  <definedNames>
    <definedName name="_xlnm._FilterDatabase" localSheetId="19" hidden="1">'比较法-办公'!$A$1:$L$50</definedName>
    <definedName name="_xlnm._FilterDatabase" localSheetId="43" hidden="1">'比较法-办公租金'!$A$1:$L$50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18"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43">'比较法-办公租金'!$A$1:$K$55,'比较法-办公租金'!$A$58:$M$132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18">'比较法-住宅'!$A$1:$K$54,'比较法-住宅'!$A$57:$M$131</definedName>
    <definedName name="_xlnm.Print_Area" localSheetId="17">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3">假设开发法!$A$1:$K$32</definedName>
    <definedName name="_xlnm.Print_Area" localSheetId="16">结果表!$A$1:$I$127</definedName>
    <definedName name="_xlnm.Print_Area" localSheetId="24">收益法!$A$1:$F$43,收益法!$H$3:$M$29,收益法!$A$46:$F$71,收益法!$I$46:$N$65</definedName>
    <definedName name="_xlnm.Print_Area" localSheetId="21">'收益法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45">系统读取表!$A$1:$I$26</definedName>
    <definedName name="_xlnm.Print_Area" localSheetId="11">项目基本情况!$A$1:$I$38</definedName>
    <definedName name="八级">区片价!$P$1:$P$44</definedName>
    <definedName name="办公层高" localSheetId="43">'比较法-办公租金'!$B$119:$M$119</definedName>
    <definedName name="办公层高">'比较法-办公'!$B$119:$M$119</definedName>
    <definedName name="办公朝向" localSheetId="43">'比较法-办公租金'!$B$91:$M$91</definedName>
    <definedName name="办公朝向">'比较法-办公'!$B$91:$M$91</definedName>
    <definedName name="办公道路级别" localSheetId="43">'比较法-办公租金'!$B$87:$M$87</definedName>
    <definedName name="办公道路级别">'比较法-办公'!$B$87:$M$87</definedName>
    <definedName name="办公公共部分装修" localSheetId="43">'比较法-办公租金'!$B$108:$M$108</definedName>
    <definedName name="办公公共部分装修">'比较法-办公'!$B$108:$M$108</definedName>
    <definedName name="办公基础设施水平" localSheetId="43">'比较法-办公租金'!$B$117:$M$117</definedName>
    <definedName name="办公基础设施水平">'比较法-办公'!$B$117:$M$117</definedName>
    <definedName name="办公集聚程度">定义!$M$1:$M$6</definedName>
    <definedName name="办公建筑结构" localSheetId="43">'比较法-办公租金'!$B$106:$M$106</definedName>
    <definedName name="办公建筑结构">'比较法-办公'!$B$106:$M$106</definedName>
    <definedName name="办公建筑类型" localSheetId="43">'比较法-办公租金'!$B$101:$M$101</definedName>
    <definedName name="办公建筑类型">'比较法-办公'!$B$101:$M$101</definedName>
    <definedName name="办公交易情况" localSheetId="43">'比较法-办公租金'!$A$62:$M$62</definedName>
    <definedName name="办公交易情况">'比较法-办公'!$A$62:$M$62</definedName>
    <definedName name="办公楼层" localSheetId="43">'比较法-办公租金'!$B$89:$M$89</definedName>
    <definedName name="办公楼层">'比较法-办公'!$B$89:$M$89</definedName>
    <definedName name="办公内部装修" localSheetId="43">'比较法-办公租金'!$B$123:$M$123</definedName>
    <definedName name="办公内部装修">'比较法-办公'!$B$123:$M$123</definedName>
    <definedName name="办公物业管理" localSheetId="43">'比较法-办公租金'!$B$115:$M$115</definedName>
    <definedName name="办公物业管理">'比较法-办公'!$B$115:$M$115</definedName>
    <definedName name="办公用途" localSheetId="43">'比较法-办公租金'!$B$64:$M$64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43">'比较法-办公租金'!$B$113:$M$113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B14" i="74" l="1"/>
  <c r="I7" i="83"/>
  <c r="G7" i="83"/>
  <c r="E7" i="83"/>
  <c r="B131" i="83"/>
  <c r="B129" i="83"/>
  <c r="B127" i="83"/>
  <c r="G126" i="83"/>
  <c r="D126" i="83"/>
  <c r="E126" i="83"/>
  <c r="F126" i="83"/>
  <c r="E124" i="83"/>
  <c r="F124" i="83"/>
  <c r="G124" i="83"/>
  <c r="H124" i="83"/>
  <c r="I124" i="83"/>
  <c r="J124" i="83"/>
  <c r="K124" i="83"/>
  <c r="L124" i="83"/>
  <c r="M124" i="83"/>
  <c r="D124" i="83"/>
  <c r="D120" i="83"/>
  <c r="E120" i="83"/>
  <c r="F120" i="83"/>
  <c r="G120" i="83"/>
  <c r="H120" i="83"/>
  <c r="I120" i="83"/>
  <c r="J120" i="83"/>
  <c r="K120" i="83"/>
  <c r="L120" i="83"/>
  <c r="M120" i="83"/>
  <c r="D118" i="83"/>
  <c r="E118" i="83"/>
  <c r="F118" i="83"/>
  <c r="G118" i="83"/>
  <c r="I116" i="83"/>
  <c r="J116" i="83"/>
  <c r="K116" i="83"/>
  <c r="L116" i="83"/>
  <c r="M116" i="83"/>
  <c r="E116" i="83"/>
  <c r="F116" i="83"/>
  <c r="G116" i="83"/>
  <c r="H116" i="83"/>
  <c r="D116" i="83"/>
  <c r="G114" i="83"/>
  <c r="H114" i="83"/>
  <c r="I114" i="83"/>
  <c r="J114" i="83"/>
  <c r="K114" i="83"/>
  <c r="L114" i="83"/>
  <c r="M114" i="83"/>
  <c r="D114" i="83"/>
  <c r="E114" i="83"/>
  <c r="F114" i="83"/>
  <c r="E112" i="83"/>
  <c r="F112" i="83"/>
  <c r="G112" i="83"/>
  <c r="H112" i="83"/>
  <c r="I112" i="83"/>
  <c r="J112" i="83"/>
  <c r="K112" i="83"/>
  <c r="L112" i="83"/>
  <c r="M112" i="83"/>
  <c r="D112" i="83"/>
  <c r="G110" i="83"/>
  <c r="F110" i="83"/>
  <c r="E110" i="83"/>
  <c r="D110" i="83"/>
  <c r="C110" i="83"/>
  <c r="H109" i="83"/>
  <c r="I109" i="83"/>
  <c r="J109" i="83"/>
  <c r="K109" i="83"/>
  <c r="L109" i="83"/>
  <c r="M109" i="83"/>
  <c r="D109" i="83"/>
  <c r="E109" i="83"/>
  <c r="F109" i="83"/>
  <c r="G109" i="83"/>
  <c r="D107" i="83"/>
  <c r="E107" i="83"/>
  <c r="F107" i="83"/>
  <c r="G107" i="83"/>
  <c r="H107" i="83"/>
  <c r="I107" i="83"/>
  <c r="J107" i="83"/>
  <c r="K107" i="83"/>
  <c r="L107" i="83"/>
  <c r="M107" i="83"/>
  <c r="M103" i="83"/>
  <c r="L103" i="83"/>
  <c r="K103" i="83"/>
  <c r="J103" i="83"/>
  <c r="I103" i="83"/>
  <c r="H103" i="83"/>
  <c r="G103" i="83"/>
  <c r="F103" i="83"/>
  <c r="E103" i="83"/>
  <c r="D103" i="83"/>
  <c r="C103" i="83"/>
  <c r="E102" i="83"/>
  <c r="F102" i="83"/>
  <c r="G102" i="83"/>
  <c r="H102" i="83"/>
  <c r="I102" i="83"/>
  <c r="J102" i="83"/>
  <c r="K102" i="83"/>
  <c r="L102" i="83"/>
  <c r="M102" i="83"/>
  <c r="D102" i="83"/>
  <c r="B99" i="83"/>
  <c r="F32" i="83"/>
  <c r="B97" i="83"/>
  <c r="B95" i="83"/>
  <c r="B93" i="83"/>
  <c r="D92" i="83"/>
  <c r="E92" i="83" s="1"/>
  <c r="F92" i="83" s="1"/>
  <c r="G92" i="83" s="1"/>
  <c r="H92" i="83" s="1"/>
  <c r="B91" i="83"/>
  <c r="H90" i="83"/>
  <c r="I90" i="83"/>
  <c r="J90" i="83"/>
  <c r="K90" i="83"/>
  <c r="L90" i="83"/>
  <c r="M90" i="83"/>
  <c r="D90" i="83"/>
  <c r="E90" i="83"/>
  <c r="F90" i="83"/>
  <c r="G90" i="83"/>
  <c r="B89" i="83"/>
  <c r="G88" i="83"/>
  <c r="H88" i="83"/>
  <c r="I88" i="83"/>
  <c r="J88" i="83"/>
  <c r="K88" i="83"/>
  <c r="L88" i="83"/>
  <c r="M88" i="83"/>
  <c r="E88" i="83"/>
  <c r="F88" i="83"/>
  <c r="D88" i="83"/>
  <c r="E86" i="83"/>
  <c r="F86" i="83"/>
  <c r="G86" i="83"/>
  <c r="D86" i="83"/>
  <c r="G84" i="83"/>
  <c r="E84" i="83"/>
  <c r="F84" i="83"/>
  <c r="D84" i="83"/>
  <c r="E82" i="83"/>
  <c r="F82" i="83"/>
  <c r="G82" i="83"/>
  <c r="D82" i="83"/>
  <c r="G80" i="83"/>
  <c r="E80" i="83"/>
  <c r="F80" i="83"/>
  <c r="D80" i="83"/>
  <c r="E78" i="83"/>
  <c r="F78" i="83"/>
  <c r="G78" i="83"/>
  <c r="D78" i="83"/>
  <c r="B75" i="83"/>
  <c r="J14" i="83"/>
  <c r="B73" i="83"/>
  <c r="B71" i="83"/>
  <c r="H70" i="83"/>
  <c r="I70" i="83"/>
  <c r="J70" i="83"/>
  <c r="K70" i="83"/>
  <c r="L70" i="83"/>
  <c r="M70" i="83"/>
  <c r="D70" i="83"/>
  <c r="E70" i="83"/>
  <c r="F70" i="83"/>
  <c r="G70" i="83"/>
  <c r="M68" i="83"/>
  <c r="L68" i="83"/>
  <c r="K68" i="83"/>
  <c r="J68" i="83"/>
  <c r="I68" i="83"/>
  <c r="H68" i="83"/>
  <c r="G68" i="83"/>
  <c r="F68" i="83"/>
  <c r="E68" i="83"/>
  <c r="D68" i="83"/>
  <c r="C68" i="83"/>
  <c r="C64" i="83"/>
  <c r="D59" i="83"/>
  <c r="E59" i="83"/>
  <c r="F59" i="83"/>
  <c r="G59" i="83"/>
  <c r="H59" i="83"/>
  <c r="P50" i="83"/>
  <c r="P49" i="83"/>
  <c r="K49" i="83"/>
  <c r="V48" i="83"/>
  <c r="P48" i="83"/>
  <c r="G55" i="83"/>
  <c r="H55" i="83"/>
  <c r="R48" i="83"/>
  <c r="Q47" i="83"/>
  <c r="Z47" i="83"/>
  <c r="J47" i="83"/>
  <c r="AC47" i="83"/>
  <c r="H47" i="83"/>
  <c r="U47" i="83"/>
  <c r="F47" i="83"/>
  <c r="AA47" i="83"/>
  <c r="Q46" i="83"/>
  <c r="Z46" i="83"/>
  <c r="J46" i="83"/>
  <c r="AC46" i="83"/>
  <c r="H46" i="83"/>
  <c r="AB46" i="83"/>
  <c r="F46" i="83"/>
  <c r="AA46" i="83"/>
  <c r="Z45" i="83"/>
  <c r="Q45" i="83"/>
  <c r="J45" i="83"/>
  <c r="AC45" i="83"/>
  <c r="H45" i="83"/>
  <c r="AB45" i="83"/>
  <c r="F45" i="83"/>
  <c r="AA45" i="83"/>
  <c r="Q44" i="83"/>
  <c r="Z44" i="83"/>
  <c r="J44" i="83"/>
  <c r="AC44" i="83"/>
  <c r="H44" i="83"/>
  <c r="AB44" i="83"/>
  <c r="F44" i="83"/>
  <c r="AA44" i="83"/>
  <c r="U43" i="83"/>
  <c r="Q43" i="83"/>
  <c r="Z43" i="83"/>
  <c r="J43" i="83"/>
  <c r="AC43" i="83"/>
  <c r="H43" i="83"/>
  <c r="AB43" i="83"/>
  <c r="F43" i="83"/>
  <c r="AA43" i="83"/>
  <c r="Q42" i="83"/>
  <c r="Z42" i="83"/>
  <c r="J42" i="83"/>
  <c r="AC42" i="83"/>
  <c r="H42" i="83"/>
  <c r="AB42" i="83"/>
  <c r="F42" i="83"/>
  <c r="AA42" i="83"/>
  <c r="Q41" i="83"/>
  <c r="Z41" i="83"/>
  <c r="J41" i="83"/>
  <c r="AC41" i="83"/>
  <c r="H41" i="83"/>
  <c r="AB41" i="83"/>
  <c r="F41" i="83"/>
  <c r="AA41" i="83"/>
  <c r="AC40" i="83"/>
  <c r="Q40" i="83"/>
  <c r="Z40" i="83"/>
  <c r="J40" i="83"/>
  <c r="W40" i="83"/>
  <c r="H40" i="83"/>
  <c r="AB40" i="83"/>
  <c r="F40" i="83"/>
  <c r="AA40" i="83"/>
  <c r="U39" i="83"/>
  <c r="Q39" i="83"/>
  <c r="Z39" i="83"/>
  <c r="J39" i="83"/>
  <c r="AC39" i="83"/>
  <c r="H39" i="83"/>
  <c r="AB39" i="83"/>
  <c r="F39" i="83"/>
  <c r="AA39" i="83"/>
  <c r="AA38" i="83"/>
  <c r="Q38" i="83"/>
  <c r="Z38" i="83"/>
  <c r="J38" i="83"/>
  <c r="AC38" i="83"/>
  <c r="H38" i="83"/>
  <c r="AB38" i="83"/>
  <c r="F38" i="83"/>
  <c r="S38" i="83"/>
  <c r="Q37" i="83"/>
  <c r="Z37" i="83"/>
  <c r="G37" i="83"/>
  <c r="H37" i="83"/>
  <c r="C37" i="83"/>
  <c r="I37" i="83"/>
  <c r="Q36" i="83"/>
  <c r="Z36" i="83"/>
  <c r="J36" i="83"/>
  <c r="AC36" i="83"/>
  <c r="H36" i="83"/>
  <c r="AB36" i="83"/>
  <c r="F36" i="83"/>
  <c r="AA36" i="83"/>
  <c r="Q35" i="83"/>
  <c r="Z35" i="83"/>
  <c r="J35" i="83"/>
  <c r="AC35" i="83"/>
  <c r="H35" i="83"/>
  <c r="U35" i="83"/>
  <c r="F35" i="83"/>
  <c r="AA35" i="83"/>
  <c r="Q34" i="83"/>
  <c r="Z34" i="83"/>
  <c r="H34" i="83"/>
  <c r="F34" i="83"/>
  <c r="AA34" i="83"/>
  <c r="C34" i="83"/>
  <c r="Z33" i="83"/>
  <c r="Q33" i="83"/>
  <c r="J33" i="83"/>
  <c r="W33" i="83"/>
  <c r="H33" i="83"/>
  <c r="AB33" i="83"/>
  <c r="F33" i="83"/>
  <c r="AA33" i="83"/>
  <c r="Q32" i="83"/>
  <c r="Z32" i="83"/>
  <c r="H32" i="83"/>
  <c r="U32" i="83"/>
  <c r="AB31" i="83"/>
  <c r="Q31" i="83"/>
  <c r="Z31" i="83"/>
  <c r="J31" i="83"/>
  <c r="AC31" i="83"/>
  <c r="H31" i="83"/>
  <c r="U31" i="83"/>
  <c r="F31" i="83"/>
  <c r="S31" i="83"/>
  <c r="Q30" i="83"/>
  <c r="Z30" i="83"/>
  <c r="J30" i="83"/>
  <c r="AC30" i="83"/>
  <c r="H30" i="83"/>
  <c r="AB30" i="83"/>
  <c r="F30" i="83"/>
  <c r="AA30" i="83"/>
  <c r="Q29" i="83"/>
  <c r="Z29" i="83"/>
  <c r="J29" i="83"/>
  <c r="AC29" i="83"/>
  <c r="H29" i="83"/>
  <c r="AB29" i="83"/>
  <c r="F29" i="83"/>
  <c r="AA29" i="83"/>
  <c r="Q28" i="83"/>
  <c r="Z28" i="83"/>
  <c r="Q27" i="83"/>
  <c r="Z27" i="83"/>
  <c r="J27" i="83"/>
  <c r="AC27" i="83"/>
  <c r="H27" i="83"/>
  <c r="AB27" i="83"/>
  <c r="F27" i="83"/>
  <c r="S27" i="83"/>
  <c r="Q25" i="83"/>
  <c r="Z25" i="83"/>
  <c r="J25" i="83"/>
  <c r="AC25" i="83"/>
  <c r="H25" i="83"/>
  <c r="AB25" i="83"/>
  <c r="F25" i="83"/>
  <c r="AA25" i="83"/>
  <c r="AC23" i="83"/>
  <c r="Z23" i="83"/>
  <c r="W23" i="83"/>
  <c r="Q23" i="83"/>
  <c r="J23" i="83"/>
  <c r="H23" i="83"/>
  <c r="F23" i="83"/>
  <c r="S23" i="83"/>
  <c r="C23" i="83"/>
  <c r="Q21" i="83"/>
  <c r="Z21" i="83"/>
  <c r="J21" i="83"/>
  <c r="AC21" i="83"/>
  <c r="H21" i="83"/>
  <c r="U21" i="83"/>
  <c r="F21" i="83"/>
  <c r="AA21" i="83"/>
  <c r="C21" i="83"/>
  <c r="Q19" i="83"/>
  <c r="Z19" i="83"/>
  <c r="J19" i="83"/>
  <c r="AC19" i="83"/>
  <c r="H19" i="83"/>
  <c r="AB19" i="83"/>
  <c r="F19" i="83"/>
  <c r="AA19" i="83"/>
  <c r="C19" i="83"/>
  <c r="Q17" i="83"/>
  <c r="Z17" i="83"/>
  <c r="J17" i="83"/>
  <c r="AC17" i="83"/>
  <c r="H17" i="83"/>
  <c r="AB17" i="83"/>
  <c r="F17" i="83"/>
  <c r="AA17" i="83"/>
  <c r="C17" i="83"/>
  <c r="Q15" i="83"/>
  <c r="Z15" i="83"/>
  <c r="J15" i="83"/>
  <c r="AC15" i="83"/>
  <c r="H15" i="83"/>
  <c r="AB15" i="83"/>
  <c r="F15" i="83"/>
  <c r="AA15" i="83"/>
  <c r="C15" i="83"/>
  <c r="Q14" i="83"/>
  <c r="Z14" i="83"/>
  <c r="H14" i="83"/>
  <c r="AB14" i="83"/>
  <c r="F14" i="83"/>
  <c r="AA14" i="83"/>
  <c r="Q13" i="83"/>
  <c r="Z13" i="83"/>
  <c r="J13" i="83"/>
  <c r="AC13" i="83"/>
  <c r="H13" i="83"/>
  <c r="AB13" i="83"/>
  <c r="F13" i="83"/>
  <c r="AA13" i="83"/>
  <c r="Q12" i="83"/>
  <c r="Z12" i="83"/>
  <c r="J12" i="83"/>
  <c r="AC12" i="83"/>
  <c r="H12" i="83"/>
  <c r="AB12" i="83"/>
  <c r="F12" i="83"/>
  <c r="AA12" i="83"/>
  <c r="Q11" i="83"/>
  <c r="Z11" i="83"/>
  <c r="J11" i="83"/>
  <c r="AC11" i="83"/>
  <c r="H11" i="83"/>
  <c r="AB11" i="83"/>
  <c r="F11" i="83"/>
  <c r="AA11" i="83"/>
  <c r="Q10" i="83"/>
  <c r="Z10" i="83"/>
  <c r="J10" i="83"/>
  <c r="AC10" i="83"/>
  <c r="H10" i="83"/>
  <c r="AB10" i="83"/>
  <c r="F10" i="83"/>
  <c r="AA10" i="83"/>
  <c r="Q9" i="83"/>
  <c r="Z9" i="83"/>
  <c r="J9" i="83"/>
  <c r="AC9" i="83"/>
  <c r="H9" i="83"/>
  <c r="AB9" i="83"/>
  <c r="F9" i="83"/>
  <c r="AA9" i="83"/>
  <c r="AC8" i="83"/>
  <c r="W8" i="83"/>
  <c r="J8" i="83"/>
  <c r="H8" i="83"/>
  <c r="U8" i="83"/>
  <c r="F8" i="83"/>
  <c r="S8" i="83"/>
  <c r="C7" i="83"/>
  <c r="C59" i="83"/>
  <c r="I5" i="83"/>
  <c r="G5" i="83"/>
  <c r="E5" i="83"/>
  <c r="C5" i="83"/>
  <c r="D3" i="83"/>
  <c r="D5" i="9"/>
  <c r="S34" i="83"/>
  <c r="I59" i="83"/>
  <c r="J59" i="83"/>
  <c r="K59" i="83"/>
  <c r="L59" i="83"/>
  <c r="M59" i="83"/>
  <c r="N59" i="83"/>
  <c r="O59" i="83"/>
  <c r="F7" i="83"/>
  <c r="J7" i="83"/>
  <c r="AC14" i="83"/>
  <c r="W14" i="83"/>
  <c r="AB34" i="83"/>
  <c r="U34" i="83"/>
  <c r="H7" i="83"/>
  <c r="U15" i="83"/>
  <c r="AB21" i="83"/>
  <c r="S25" i="83"/>
  <c r="U27" i="83"/>
  <c r="AB47" i="83"/>
  <c r="AA32" i="83"/>
  <c r="S32" i="83"/>
  <c r="W10" i="83"/>
  <c r="S12" i="83"/>
  <c r="U13" i="83"/>
  <c r="W17" i="83"/>
  <c r="W21" i="83"/>
  <c r="AA27" i="83"/>
  <c r="S30" i="83"/>
  <c r="J32" i="83"/>
  <c r="AB32" i="83"/>
  <c r="S46" i="83"/>
  <c r="S9" i="83"/>
  <c r="W11" i="83"/>
  <c r="S13" i="83"/>
  <c r="U14" i="83"/>
  <c r="U19" i="83"/>
  <c r="AB35" i="83"/>
  <c r="AB37" i="83"/>
  <c r="U37" i="83"/>
  <c r="AA8" i="83"/>
  <c r="U9" i="83"/>
  <c r="W15" i="83"/>
  <c r="W19" i="83"/>
  <c r="AC33" i="83"/>
  <c r="W36" i="83"/>
  <c r="AB8" i="83"/>
  <c r="W9" i="83"/>
  <c r="S11" i="83"/>
  <c r="U12" i="83"/>
  <c r="W13" i="83"/>
  <c r="AA23" i="83"/>
  <c r="W29" i="83"/>
  <c r="AA31" i="83"/>
  <c r="J34" i="83"/>
  <c r="S42" i="83"/>
  <c r="W44" i="83"/>
  <c r="U10" i="83"/>
  <c r="U17" i="83"/>
  <c r="AB23" i="83"/>
  <c r="U23" i="83"/>
  <c r="S10" i="83"/>
  <c r="U11" i="83"/>
  <c r="W12" i="83"/>
  <c r="S14" i="83"/>
  <c r="S15" i="83"/>
  <c r="S17" i="83"/>
  <c r="S19" i="83"/>
  <c r="S21" i="83"/>
  <c r="J37" i="83"/>
  <c r="I55" i="83"/>
  <c r="J55" i="83"/>
  <c r="U25" i="83"/>
  <c r="W27" i="83"/>
  <c r="S29" i="83"/>
  <c r="U30" i="83"/>
  <c r="W31" i="83"/>
  <c r="S33" i="83"/>
  <c r="W35" i="83"/>
  <c r="U38" i="83"/>
  <c r="W39" i="83"/>
  <c r="S41" i="83"/>
  <c r="U42" i="83"/>
  <c r="W43" i="83"/>
  <c r="S45" i="83"/>
  <c r="U46" i="83"/>
  <c r="W47" i="83"/>
  <c r="E55" i="83"/>
  <c r="F55" i="83"/>
  <c r="W25" i="83"/>
  <c r="U29" i="83"/>
  <c r="W30" i="83"/>
  <c r="U33" i="83"/>
  <c r="S36" i="83"/>
  <c r="E37" i="83"/>
  <c r="F37" i="83"/>
  <c r="W38" i="83"/>
  <c r="S40" i="83"/>
  <c r="U41" i="83"/>
  <c r="W42" i="83"/>
  <c r="S44" i="83"/>
  <c r="U45" i="83"/>
  <c r="W46" i="83"/>
  <c r="S35" i="83"/>
  <c r="U36" i="83"/>
  <c r="S39" i="83"/>
  <c r="U40" i="83"/>
  <c r="W41" i="83"/>
  <c r="S43" i="83"/>
  <c r="U44" i="83"/>
  <c r="W45" i="83"/>
  <c r="S47" i="83"/>
  <c r="T48" i="83"/>
  <c r="U7" i="83"/>
  <c r="AB7" i="83"/>
  <c r="W7" i="83"/>
  <c r="AC7" i="83"/>
  <c r="AA37" i="83"/>
  <c r="S37" i="83"/>
  <c r="AC34" i="83"/>
  <c r="W34" i="83"/>
  <c r="AA7" i="83"/>
  <c r="S7" i="83"/>
  <c r="W32" i="83"/>
  <c r="AC32" i="83"/>
  <c r="AC37" i="83"/>
  <c r="W37" i="83"/>
  <c r="I48" i="34"/>
  <c r="I34" i="34"/>
  <c r="I7" i="34"/>
  <c r="I37" i="34"/>
  <c r="G37" i="34"/>
  <c r="E37" i="34"/>
  <c r="C37" i="34"/>
  <c r="G34" i="34"/>
  <c r="E34" i="34"/>
  <c r="C34" i="34"/>
  <c r="G48" i="34"/>
  <c r="E48" i="34"/>
  <c r="G7" i="34"/>
  <c r="E7" i="34"/>
  <c r="I5" i="34"/>
  <c r="G5" i="34"/>
  <c r="E5" i="34"/>
  <c r="C5" i="34"/>
  <c r="N2" i="81"/>
  <c r="N6" i="81"/>
  <c r="N5" i="81"/>
  <c r="N4" i="81"/>
  <c r="N3" i="81"/>
  <c r="AE6" i="1"/>
  <c r="Y6" i="1"/>
  <c r="N24" i="1"/>
  <c r="N22" i="1"/>
  <c r="N21" i="1"/>
  <c r="N20" i="1"/>
  <c r="F19" i="6"/>
  <c r="D3" i="4"/>
  <c r="I29" i="79"/>
  <c r="I28" i="79"/>
  <c r="N28" i="79"/>
  <c r="M28" i="79"/>
  <c r="P28" i="79"/>
  <c r="L28" i="79"/>
  <c r="N29" i="79"/>
  <c r="M29" i="79"/>
  <c r="L29" i="79"/>
  <c r="O6" i="79"/>
  <c r="N6" i="79"/>
  <c r="M6" i="79"/>
  <c r="P6" i="79"/>
  <c r="L6" i="79"/>
  <c r="K6" i="79"/>
  <c r="O7" i="79"/>
  <c r="N7" i="79"/>
  <c r="M7" i="79"/>
  <c r="P7" i="79"/>
  <c r="L7" i="79"/>
  <c r="K7" i="79"/>
  <c r="P29" i="79"/>
  <c r="G14" i="73"/>
  <c r="F14" i="73"/>
  <c r="E14" i="73"/>
  <c r="L30" i="79"/>
  <c r="M30" i="79"/>
  <c r="P30" i="79"/>
  <c r="N30" i="79"/>
  <c r="L31" i="79"/>
  <c r="M31" i="79"/>
  <c r="P31" i="79"/>
  <c r="N31" i="79"/>
  <c r="L32" i="79"/>
  <c r="M32" i="79"/>
  <c r="N32" i="79"/>
  <c r="I30" i="79"/>
  <c r="I31" i="79"/>
  <c r="I32" i="79"/>
  <c r="I8" i="79"/>
  <c r="I9" i="79"/>
  <c r="I10" i="79"/>
  <c r="K8" i="79"/>
  <c r="L8" i="79"/>
  <c r="M8" i="79"/>
  <c r="P8" i="79"/>
  <c r="N8" i="79"/>
  <c r="O8" i="79"/>
  <c r="K9" i="79"/>
  <c r="L9" i="79"/>
  <c r="M9" i="79"/>
  <c r="P9" i="79"/>
  <c r="N9" i="79"/>
  <c r="O9" i="79"/>
  <c r="K10" i="79"/>
  <c r="L10" i="79"/>
  <c r="M10" i="79"/>
  <c r="P10" i="79"/>
  <c r="N10" i="79"/>
  <c r="O10" i="79"/>
  <c r="P32"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3" i="78"/>
  <c r="C7" i="78"/>
  <c r="C6" i="78"/>
  <c r="C5"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40" i="79"/>
  <c r="AA40" i="79"/>
  <c r="Z40" i="79"/>
  <c r="W40" i="79"/>
  <c r="N40" i="79"/>
  <c r="M40" i="79"/>
  <c r="P40" i="79"/>
  <c r="L40" i="79"/>
  <c r="I40" i="79"/>
  <c r="AD40" i="79"/>
  <c r="AB39" i="79"/>
  <c r="AA39" i="79"/>
  <c r="Z39" i="79"/>
  <c r="N39" i="79"/>
  <c r="U39" i="79"/>
  <c r="M39" i="79"/>
  <c r="L39" i="79"/>
  <c r="S39" i="79"/>
  <c r="I39" i="79"/>
  <c r="AD39" i="79"/>
  <c r="AB38" i="79"/>
  <c r="AA38" i="79"/>
  <c r="Z38" i="79"/>
  <c r="N38" i="79"/>
  <c r="U38" i="79"/>
  <c r="M38" i="79"/>
  <c r="L38" i="79"/>
  <c r="I38" i="79"/>
  <c r="AB37" i="79"/>
  <c r="AA37" i="79"/>
  <c r="Z37" i="79"/>
  <c r="N37" i="79"/>
  <c r="M37" i="79"/>
  <c r="L37" i="79"/>
  <c r="I37" i="79"/>
  <c r="AB36" i="79"/>
  <c r="AA36" i="79"/>
  <c r="Z36" i="79"/>
  <c r="N36" i="79"/>
  <c r="M36" i="79"/>
  <c r="L36" i="79"/>
  <c r="S36" i="79"/>
  <c r="I36" i="79"/>
  <c r="AB35" i="79"/>
  <c r="AA35" i="79"/>
  <c r="Z35" i="79"/>
  <c r="N35" i="79"/>
  <c r="M35" i="79"/>
  <c r="L35" i="79"/>
  <c r="I35" i="79"/>
  <c r="AD35" i="79"/>
  <c r="AB34" i="79"/>
  <c r="AA34" i="79"/>
  <c r="Z34" i="79"/>
  <c r="N34" i="79"/>
  <c r="U34" i="79"/>
  <c r="M34" i="79"/>
  <c r="L34" i="79"/>
  <c r="I34" i="79"/>
  <c r="AB33" i="79"/>
  <c r="AA33" i="79"/>
  <c r="Z33" i="79"/>
  <c r="N33" i="79"/>
  <c r="M33" i="79"/>
  <c r="T28" i="79"/>
  <c r="W28" i="79"/>
  <c r="L33" i="79"/>
  <c r="I33" i="79"/>
  <c r="AB27" i="79"/>
  <c r="AA27" i="79"/>
  <c r="AA25" i="79"/>
  <c r="AD25" i="79"/>
  <c r="Z27" i="79"/>
  <c r="N27" i="79"/>
  <c r="M27" i="79"/>
  <c r="L27" i="79"/>
  <c r="L25" i="79"/>
  <c r="I27" i="79"/>
  <c r="AD27" i="79"/>
  <c r="T25" i="79"/>
  <c r="W25" i="79"/>
  <c r="G25" i="79"/>
  <c r="F25" i="79"/>
  <c r="I25" i="79"/>
  <c r="E25" i="79"/>
  <c r="AC18" i="79"/>
  <c r="AB18" i="79"/>
  <c r="AA18" i="79"/>
  <c r="AD18" i="79"/>
  <c r="Z18" i="79"/>
  <c r="Y18" i="79"/>
  <c r="W18" i="79"/>
  <c r="O18" i="79"/>
  <c r="N18" i="79"/>
  <c r="M18" i="79"/>
  <c r="P18" i="79"/>
  <c r="L18" i="79"/>
  <c r="K18" i="79"/>
  <c r="I18" i="79"/>
  <c r="AC17" i="79"/>
  <c r="AB17" i="79"/>
  <c r="AA17" i="79"/>
  <c r="AD17" i="79"/>
  <c r="Z17" i="79"/>
  <c r="Y17" i="79"/>
  <c r="O17" i="79"/>
  <c r="V17" i="79"/>
  <c r="N17" i="79"/>
  <c r="U17" i="79"/>
  <c r="M17" i="79"/>
  <c r="L17" i="79"/>
  <c r="S17" i="79"/>
  <c r="K17" i="79"/>
  <c r="R17" i="79"/>
  <c r="I17" i="79"/>
  <c r="AD16" i="79"/>
  <c r="AC16" i="79"/>
  <c r="AB16" i="79"/>
  <c r="AA16" i="79"/>
  <c r="Z16" i="79"/>
  <c r="Y16" i="79"/>
  <c r="O16" i="79"/>
  <c r="V16" i="79"/>
  <c r="N16" i="79"/>
  <c r="U16" i="79"/>
  <c r="M16" i="79"/>
  <c r="T16" i="79"/>
  <c r="W16" i="79"/>
  <c r="L16" i="79"/>
  <c r="S16" i="79"/>
  <c r="K16" i="79"/>
  <c r="R16" i="79"/>
  <c r="I16" i="79"/>
  <c r="AC15" i="79"/>
  <c r="AB15" i="79"/>
  <c r="AA15" i="79"/>
  <c r="AD15" i="79"/>
  <c r="Z15" i="79"/>
  <c r="Y15" i="79"/>
  <c r="O15" i="79"/>
  <c r="V15" i="79"/>
  <c r="N15" i="79"/>
  <c r="U15" i="79"/>
  <c r="M15" i="79"/>
  <c r="L15" i="79"/>
  <c r="K15" i="79"/>
  <c r="R15" i="79"/>
  <c r="I15" i="79"/>
  <c r="AC14" i="79"/>
  <c r="AB14" i="79"/>
  <c r="AA14" i="79"/>
  <c r="AD14" i="79"/>
  <c r="Z14" i="79"/>
  <c r="Y14" i="79"/>
  <c r="O14" i="79"/>
  <c r="V14" i="79"/>
  <c r="N14" i="79"/>
  <c r="U14" i="79"/>
  <c r="M14" i="79"/>
  <c r="L14" i="79"/>
  <c r="K14" i="79"/>
  <c r="R14" i="79"/>
  <c r="I14" i="79"/>
  <c r="AC13" i="79"/>
  <c r="AB13" i="79"/>
  <c r="AA13" i="79"/>
  <c r="AD13" i="79"/>
  <c r="Z13" i="79"/>
  <c r="Y13" i="79"/>
  <c r="O13" i="79"/>
  <c r="N13" i="79"/>
  <c r="U13" i="79"/>
  <c r="M13" i="79"/>
  <c r="L13" i="79"/>
  <c r="K13" i="79"/>
  <c r="I13" i="79"/>
  <c r="AC12" i="79"/>
  <c r="AB12" i="79"/>
  <c r="AA12" i="79"/>
  <c r="AD12" i="79"/>
  <c r="Z12" i="79"/>
  <c r="Y12" i="79"/>
  <c r="O12" i="79"/>
  <c r="N12" i="79"/>
  <c r="M12" i="79"/>
  <c r="T12" i="79"/>
  <c r="W12" i="79"/>
  <c r="L12" i="79"/>
  <c r="K12" i="79"/>
  <c r="I12" i="79"/>
  <c r="AC11" i="79"/>
  <c r="AB11" i="79"/>
  <c r="AA11" i="79"/>
  <c r="AD11" i="79"/>
  <c r="Z11" i="79"/>
  <c r="Y11" i="79"/>
  <c r="O11" i="79"/>
  <c r="N11" i="79"/>
  <c r="M11" i="79"/>
  <c r="L11" i="79"/>
  <c r="S3" i="79"/>
  <c r="K11" i="79"/>
  <c r="I11" i="79"/>
  <c r="AC5" i="79"/>
  <c r="AB5" i="79"/>
  <c r="AB3" i="79"/>
  <c r="AA5" i="79"/>
  <c r="AD5" i="79"/>
  <c r="Z5" i="79"/>
  <c r="Y5" i="79"/>
  <c r="O5" i="79"/>
  <c r="O3" i="79"/>
  <c r="N5" i="79"/>
  <c r="M5" i="79"/>
  <c r="P5" i="79"/>
  <c r="L5" i="79"/>
  <c r="L3" i="79"/>
  <c r="K5" i="79"/>
  <c r="K3" i="79"/>
  <c r="I5" i="79"/>
  <c r="N3" i="79"/>
  <c r="H3" i="79"/>
  <c r="G3" i="79"/>
  <c r="F3" i="79"/>
  <c r="I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Y3" i="79"/>
  <c r="AC3" i="79"/>
  <c r="U12" i="79"/>
  <c r="R13" i="79"/>
  <c r="V13" i="79"/>
  <c r="S14" i="79"/>
  <c r="S15" i="79"/>
  <c r="U25" i="79"/>
  <c r="T27" i="79"/>
  <c r="U28" i="79"/>
  <c r="AD34" i="79"/>
  <c r="S35" i="79"/>
  <c r="U37" i="79"/>
  <c r="AD38" i="79"/>
  <c r="V3" i="79"/>
  <c r="Z3" i="79"/>
  <c r="U3" i="79"/>
  <c r="R12" i="79"/>
  <c r="V12" i="79"/>
  <c r="S13" i="79"/>
  <c r="T14" i="79"/>
  <c r="W14" i="79"/>
  <c r="M25" i="79"/>
  <c r="P25" i="79"/>
  <c r="U36" i="79"/>
  <c r="AD37" i="79"/>
  <c r="S38" i="79"/>
  <c r="S12" i="79"/>
  <c r="N25" i="79"/>
  <c r="S28" i="79"/>
  <c r="T34" i="79"/>
  <c r="U35" i="79"/>
  <c r="AD36" i="79"/>
  <c r="S37" i="79"/>
  <c r="S27" i="79"/>
  <c r="M3" i="79"/>
  <c r="P3" i="79"/>
  <c r="T3" i="79"/>
  <c r="W3" i="79"/>
  <c r="U27" i="79"/>
  <c r="AD33" i="79"/>
  <c r="T32" i="79"/>
  <c r="T30" i="79"/>
  <c r="W30" i="79"/>
  <c r="T33" i="79"/>
  <c r="W33" i="79"/>
  <c r="T31" i="79"/>
  <c r="T29" i="79"/>
  <c r="W29" i="79"/>
  <c r="S34" i="79"/>
  <c r="T35" i="79"/>
  <c r="W35" i="79"/>
  <c r="T37" i="79"/>
  <c r="W37" i="79"/>
  <c r="T39" i="79"/>
  <c r="W39" i="79"/>
  <c r="S33" i="79"/>
  <c r="S31" i="79"/>
  <c r="S32" i="79"/>
  <c r="S30" i="79"/>
  <c r="S29" i="79"/>
  <c r="U33" i="79"/>
  <c r="U31" i="79"/>
  <c r="U32" i="79"/>
  <c r="U30" i="79"/>
  <c r="U29" i="79"/>
  <c r="T36" i="79"/>
  <c r="W36" i="79"/>
  <c r="T38" i="79"/>
  <c r="W38" i="79"/>
  <c r="S7" i="79"/>
  <c r="S10" i="79"/>
  <c r="S11" i="79"/>
  <c r="S6" i="79"/>
  <c r="U7" i="79"/>
  <c r="U10" i="79"/>
  <c r="U11" i="79"/>
  <c r="U6" i="79"/>
  <c r="P15" i="79"/>
  <c r="T15" i="79"/>
  <c r="W15" i="79"/>
  <c r="R7" i="79"/>
  <c r="R10" i="79"/>
  <c r="R11" i="79"/>
  <c r="R6" i="79"/>
  <c r="T7" i="79"/>
  <c r="W7" i="79"/>
  <c r="T10" i="79"/>
  <c r="W10" i="79"/>
  <c r="T11" i="79"/>
  <c r="W11" i="79"/>
  <c r="T6" i="79"/>
  <c r="W6" i="79"/>
  <c r="V7" i="79"/>
  <c r="V10" i="79"/>
  <c r="V11" i="79"/>
  <c r="V6" i="79"/>
  <c r="P13" i="79"/>
  <c r="T13" i="79"/>
  <c r="W13" i="79"/>
  <c r="P17" i="79"/>
  <c r="T17" i="79"/>
  <c r="W17" i="79"/>
  <c r="AA3" i="79"/>
  <c r="AD3" i="79"/>
  <c r="W32" i="79"/>
  <c r="W31" i="79"/>
  <c r="W27" i="79"/>
  <c r="AB25" i="79"/>
  <c r="R8" i="79"/>
  <c r="R5" i="79"/>
  <c r="R9" i="79"/>
  <c r="P11" i="79"/>
  <c r="T9" i="79"/>
  <c r="W9" i="79"/>
  <c r="T8" i="79"/>
  <c r="W8" i="79"/>
  <c r="T5" i="79"/>
  <c r="W5" i="79"/>
  <c r="V8" i="79"/>
  <c r="V5" i="79"/>
  <c r="V9" i="79"/>
  <c r="S9" i="79"/>
  <c r="S5" i="79"/>
  <c r="S8" i="79"/>
  <c r="U9" i="79"/>
  <c r="U5" i="79"/>
  <c r="U8" i="79"/>
  <c r="S25" i="79"/>
  <c r="P14" i="79"/>
  <c r="P16" i="79"/>
  <c r="R3" i="79"/>
  <c r="Z25" i="79"/>
  <c r="W34" i="79"/>
  <c r="P12"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c r="F25" i="78"/>
  <c r="E23" i="78"/>
  <c r="E22" i="78"/>
  <c r="G22" i="78"/>
  <c r="F12" i="78"/>
  <c r="C15" i="78"/>
  <c r="F11" i="78"/>
  <c r="D7" i="78"/>
  <c r="D6" i="78"/>
  <c r="D5" i="78"/>
  <c r="C18" i="78"/>
  <c r="H100" i="43"/>
  <c r="H97" i="43"/>
  <c r="H95" i="43"/>
  <c r="H94" i="43"/>
  <c r="H98" i="43"/>
  <c r="H93" i="43"/>
  <c r="H101" i="43"/>
  <c r="H99" i="43"/>
  <c r="H96" i="43"/>
  <c r="G23" i="78"/>
  <c r="G24" i="78"/>
  <c r="G25" i="78"/>
  <c r="B15" i="78"/>
  <c r="B18" i="78"/>
  <c r="G16" i="73"/>
  <c r="F16" i="73"/>
  <c r="E16" i="73"/>
  <c r="G17" i="73"/>
  <c r="F17" i="73"/>
  <c r="E17" i="73"/>
  <c r="G18" i="73"/>
  <c r="F18" i="73"/>
  <c r="E18"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D11" i="77"/>
  <c r="R11" i="77"/>
  <c r="R10" i="77"/>
  <c r="D10" i="77"/>
  <c r="R9" i="77"/>
  <c r="D9" i="77"/>
  <c r="R8" i="77"/>
  <c r="R7" i="77"/>
  <c r="R4" i="77"/>
  <c r="R3" i="77"/>
  <c r="E11" i="77"/>
  <c r="E7" i="77"/>
  <c r="C27" i="77"/>
  <c r="D7" i="77"/>
  <c r="C26" i="77"/>
  <c r="C32" i="77"/>
  <c r="C38" i="77"/>
  <c r="C39" i="77"/>
  <c r="R14" i="77"/>
  <c r="R24" i="77"/>
  <c r="R25" i="77"/>
  <c r="D29" i="77"/>
  <c r="D32" i="77"/>
  <c r="E23" i="77"/>
  <c r="D26" i="77"/>
  <c r="C29" i="77"/>
  <c r="R35" i="77"/>
  <c r="U34" i="77"/>
  <c r="AH9" i="71"/>
  <c r="AG9" i="71"/>
  <c r="AE9" i="71"/>
  <c r="AF9" i="71"/>
  <c r="AD9" i="71"/>
  <c r="Q9" i="71"/>
  <c r="P9" i="71"/>
  <c r="O9" i="71"/>
  <c r="N9" i="71"/>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7" i="49" s="1"/>
  <c r="H7" i="49" s="1"/>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c r="F7" i="68"/>
  <c r="C7" i="68"/>
  <c r="AH19" i="71"/>
  <c r="AG19" i="71"/>
  <c r="AE19" i="71"/>
  <c r="AF19" i="71"/>
  <c r="AD19" i="71"/>
  <c r="AD20" i="71"/>
  <c r="AH20" i="71"/>
  <c r="AG20" i="71"/>
  <c r="AE20" i="71"/>
  <c r="AF20" i="71"/>
  <c r="Q20" i="71"/>
  <c r="AB13" i="71"/>
  <c r="P20" i="71"/>
  <c r="O20" i="71"/>
  <c r="N20" i="71"/>
  <c r="L3" i="71"/>
  <c r="AH3" i="71"/>
  <c r="K3" i="71"/>
  <c r="AG3" i="71"/>
  <c r="J3" i="71"/>
  <c r="AE3" i="71"/>
  <c r="I3" i="71"/>
  <c r="AH21" i="71"/>
  <c r="AG21" i="71"/>
  <c r="AE21" i="71"/>
  <c r="AF21" i="71"/>
  <c r="AD21" i="71"/>
  <c r="Q21" i="71"/>
  <c r="Q22" i="71"/>
  <c r="P21" i="71"/>
  <c r="P22" i="71"/>
  <c r="AA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E24" i="71"/>
  <c r="O24" i="71"/>
  <c r="C24" i="71"/>
  <c r="C23" i="71"/>
  <c r="Q25" i="71"/>
  <c r="F24" i="71"/>
  <c r="F23" i="71"/>
  <c r="F22" i="71"/>
  <c r="P25" i="71"/>
  <c r="AA25" i="71"/>
  <c r="O25" i="71"/>
  <c r="N25" i="71"/>
  <c r="B24" i="71"/>
  <c r="B23" i="71"/>
  <c r="B22" i="71"/>
  <c r="B21" i="71"/>
  <c r="B20" i="71"/>
  <c r="B19" i="71"/>
  <c r="B18" i="71"/>
  <c r="B17" i="71"/>
  <c r="A2" i="53"/>
  <c r="K59" i="67"/>
  <c r="P61" i="67"/>
  <c r="K59" i="15"/>
  <c r="P74" i="15"/>
  <c r="D115" i="39"/>
  <c r="E115" i="39"/>
  <c r="F115" i="39"/>
  <c r="G115" i="39"/>
  <c r="H115" i="39"/>
  <c r="I115" i="39"/>
  <c r="J115" i="39"/>
  <c r="K115" i="39"/>
  <c r="L115" i="39"/>
  <c r="M115" i="39"/>
  <c r="C115" i="39"/>
  <c r="A21" i="62"/>
  <c r="B67" i="72"/>
  <c r="A20" i="62"/>
  <c r="A22" i="51"/>
  <c r="A21" i="51"/>
  <c r="A20" i="51"/>
  <c r="A14" i="62"/>
  <c r="B60" i="72"/>
  <c r="A13" i="62"/>
  <c r="B59" i="72"/>
  <c r="A19" i="62"/>
  <c r="B65" i="72"/>
  <c r="A12" i="62"/>
  <c r="B58" i="72"/>
  <c r="A120" i="9"/>
  <c r="H2" i="52"/>
  <c r="A1" i="52"/>
  <c r="A3" i="53"/>
  <c r="Q26" i="71"/>
  <c r="P26" i="71"/>
  <c r="O26" i="71"/>
  <c r="N26" i="71"/>
  <c r="A15" i="51"/>
  <c r="B12" i="72"/>
  <c r="C76" i="9"/>
  <c r="I107" i="40"/>
  <c r="K6" i="4"/>
  <c r="M56" i="9"/>
  <c r="B22" i="31"/>
  <c r="K56" i="9"/>
  <c r="E15" i="74"/>
  <c r="F15" i="74"/>
  <c r="E16" i="74"/>
  <c r="F16" i="74"/>
  <c r="E17" i="74"/>
  <c r="F17" i="74"/>
  <c r="E18" i="74"/>
  <c r="F18" i="74"/>
  <c r="E19" i="74"/>
  <c r="F19" i="74"/>
  <c r="E20" i="74"/>
  <c r="F20" i="74"/>
  <c r="E21" i="74"/>
  <c r="F21" i="74"/>
  <c r="E22" i="74"/>
  <c r="F22" i="74"/>
  <c r="E23" i="74"/>
  <c r="F23" i="74"/>
  <c r="B3" i="74"/>
  <c r="C91" i="9"/>
  <c r="B8" i="72"/>
  <c r="O27" i="71"/>
  <c r="P27" i="71"/>
  <c r="Q27" i="71"/>
  <c r="AB25"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6"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c r="C68" i="71"/>
  <c r="O68" i="71"/>
  <c r="B68" i="71"/>
  <c r="S68"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C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E55"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C51"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D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C43" i="71"/>
  <c r="C44" i="71"/>
  <c r="N41" i="71"/>
  <c r="B42" i="71"/>
  <c r="B43" i="71"/>
  <c r="B44" i="71"/>
  <c r="S44" i="71"/>
  <c r="D41" i="71"/>
  <c r="Q40" i="71"/>
  <c r="P40" i="71"/>
  <c r="O40" i="71"/>
  <c r="N40" i="71"/>
  <c r="AB39" i="71"/>
  <c r="Q39" i="71"/>
  <c r="P39" i="71"/>
  <c r="O39" i="71"/>
  <c r="Y37" i="71"/>
  <c r="Z37" i="71"/>
  <c r="N39" i="71"/>
  <c r="X39" i="71"/>
  <c r="Q38" i="71"/>
  <c r="AB38" i="71"/>
  <c r="P38" i="71"/>
  <c r="O38" i="71"/>
  <c r="N38" i="71"/>
  <c r="Q37" i="71"/>
  <c r="AB37" i="71"/>
  <c r="P37" i="71"/>
  <c r="O37" i="71"/>
  <c r="N37" i="71"/>
  <c r="D37" i="71"/>
  <c r="Q36" i="71"/>
  <c r="P36" i="71"/>
  <c r="O36" i="71"/>
  <c r="Y36" i="71"/>
  <c r="Z36" i="71"/>
  <c r="N36" i="71"/>
  <c r="X36" i="71"/>
  <c r="Q35" i="71"/>
  <c r="P35" i="71"/>
  <c r="AA35" i="71"/>
  <c r="O35" i="71"/>
  <c r="N35" i="71"/>
  <c r="Q34" i="71"/>
  <c r="AB34" i="71"/>
  <c r="P34" i="71"/>
  <c r="O34" i="71"/>
  <c r="Y34" i="71"/>
  <c r="Z34" i="71"/>
  <c r="N34" i="71"/>
  <c r="Q33" i="71"/>
  <c r="F34" i="71"/>
  <c r="F35" i="71"/>
  <c r="F36" i="71"/>
  <c r="V36" i="71"/>
  <c r="P33" i="71"/>
  <c r="O33" i="71"/>
  <c r="C34" i="71"/>
  <c r="N33" i="71"/>
  <c r="D33" i="71"/>
  <c r="Q32" i="71"/>
  <c r="AB32" i="71"/>
  <c r="P32" i="71"/>
  <c r="O32" i="71"/>
  <c r="Y32" i="71"/>
  <c r="Z32" i="71"/>
  <c r="N32" i="71"/>
  <c r="Q31" i="71"/>
  <c r="AB31" i="71"/>
  <c r="P31" i="71"/>
  <c r="AA31" i="71"/>
  <c r="O31" i="71"/>
  <c r="N31" i="71"/>
  <c r="X31" i="71"/>
  <c r="Q30" i="71"/>
  <c r="P30" i="71"/>
  <c r="AA30" i="71"/>
  <c r="O30" i="71"/>
  <c r="Y30" i="71"/>
  <c r="Z30" i="71"/>
  <c r="N30" i="71"/>
  <c r="Q29" i="71"/>
  <c r="P29" i="71"/>
  <c r="O29" i="71"/>
  <c r="Y27" i="71"/>
  <c r="N29" i="71"/>
  <c r="D29" i="71"/>
  <c r="O28" i="71"/>
  <c r="N28" i="71"/>
  <c r="X25" i="71"/>
  <c r="B30" i="71"/>
  <c r="B31" i="71"/>
  <c r="X29" i="71"/>
  <c r="E30" i="71"/>
  <c r="AA29" i="71"/>
  <c r="B34" i="71"/>
  <c r="B35" i="71"/>
  <c r="B36" i="71"/>
  <c r="S36" i="71"/>
  <c r="B38" i="71"/>
  <c r="B39" i="71"/>
  <c r="B40" i="71"/>
  <c r="S40" i="71"/>
  <c r="X37" i="71"/>
  <c r="E38" i="71"/>
  <c r="E39" i="71"/>
  <c r="E40" i="71"/>
  <c r="U40" i="71"/>
  <c r="AA37" i="71"/>
  <c r="N68" i="71"/>
  <c r="X30" i="71"/>
  <c r="X32" i="71"/>
  <c r="AA32" i="71"/>
  <c r="AB33" i="71"/>
  <c r="X35" i="71"/>
  <c r="AA36" i="71"/>
  <c r="C38" i="71"/>
  <c r="X38" i="71"/>
  <c r="AA38" i="71"/>
  <c r="C28" i="71"/>
  <c r="D28" i="71"/>
  <c r="U28" i="71"/>
  <c r="Z27" i="71"/>
  <c r="C39" i="71"/>
  <c r="C40" i="71"/>
  <c r="D38" i="71"/>
  <c r="D42" i="71"/>
  <c r="C47" i="71"/>
  <c r="D47" i="71"/>
  <c r="D50" i="71"/>
  <c r="P28" i="71"/>
  <c r="E56" i="71"/>
  <c r="U56" i="71"/>
  <c r="E59" i="71"/>
  <c r="E60" i="71"/>
  <c r="U60" i="71"/>
  <c r="E63" i="71"/>
  <c r="E64" i="71"/>
  <c r="U64" i="71"/>
  <c r="U68" i="71"/>
  <c r="E67" i="71"/>
  <c r="Q28" i="71"/>
  <c r="AB28" i="71"/>
  <c r="D58" i="71"/>
  <c r="C63" i="71"/>
  <c r="D62" i="71"/>
  <c r="N67" i="71"/>
  <c r="B66" i="71"/>
  <c r="N66" i="71"/>
  <c r="D68" i="71"/>
  <c r="Q68" i="71"/>
  <c r="C71" i="71"/>
  <c r="E71" i="71"/>
  <c r="E70" i="71"/>
  <c r="D72" i="71"/>
  <c r="C75" i="71"/>
  <c r="E75" i="71"/>
  <c r="E74" i="71"/>
  <c r="D76" i="71"/>
  <c r="C79" i="71"/>
  <c r="E79" i="71"/>
  <c r="E78" i="71"/>
  <c r="D80" i="71"/>
  <c r="C83" i="71"/>
  <c r="C87" i="71"/>
  <c r="C86" i="71"/>
  <c r="D86" i="71"/>
  <c r="F28" i="71"/>
  <c r="F27" i="71"/>
  <c r="F26" i="71"/>
  <c r="AB26" i="71"/>
  <c r="E28" i="71"/>
  <c r="E27" i="71"/>
  <c r="E26" i="71"/>
  <c r="AA26" i="71"/>
  <c r="C64" i="71"/>
  <c r="D64" i="71"/>
  <c r="D63" i="71"/>
  <c r="D83" i="71"/>
  <c r="C82" i="71"/>
  <c r="D82" i="71"/>
  <c r="D75" i="71"/>
  <c r="C74" i="71"/>
  <c r="D74" i="71"/>
  <c r="N65" i="71"/>
  <c r="D79" i="71"/>
  <c r="C78" i="71"/>
  <c r="D78" i="71"/>
  <c r="D71" i="71"/>
  <c r="C70" i="71"/>
  <c r="D70" i="71"/>
  <c r="P67" i="71"/>
  <c r="E66" i="71"/>
  <c r="P65" i="71"/>
  <c r="D43" i="71"/>
  <c r="D39" i="71"/>
  <c r="V28" i="71"/>
  <c r="P66" i="71"/>
  <c r="O27" i="6"/>
  <c r="N27" i="6"/>
  <c r="P20" i="6"/>
  <c r="P21" i="6"/>
  <c r="P22" i="6"/>
  <c r="P27"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c r="D94" i="40"/>
  <c r="E94" i="40"/>
  <c r="F94" i="40"/>
  <c r="G94" i="40"/>
  <c r="F25" i="40"/>
  <c r="S25" i="40"/>
  <c r="Q29" i="39"/>
  <c r="Z29" i="39"/>
  <c r="D102" i="39"/>
  <c r="E102" i="39"/>
  <c r="F102" i="39"/>
  <c r="G102" i="39"/>
  <c r="F29" i="39"/>
  <c r="AA29" i="39"/>
  <c r="Q18" i="36"/>
  <c r="Z18" i="36"/>
  <c r="D66" i="36"/>
  <c r="E66" i="36"/>
  <c r="F66" i="36"/>
  <c r="G66" i="36"/>
  <c r="H18" i="36"/>
  <c r="AB18" i="36"/>
  <c r="F18" i="36"/>
  <c r="AA18" i="36"/>
  <c r="C18" i="36"/>
  <c r="Q18" i="35"/>
  <c r="Z18" i="35"/>
  <c r="D68" i="35"/>
  <c r="E68" i="35"/>
  <c r="F18" i="35"/>
  <c r="S18" i="35"/>
  <c r="AA18" i="35"/>
  <c r="C18" i="35"/>
  <c r="Z21" i="37"/>
  <c r="Q21" i="37"/>
  <c r="D77" i="37"/>
  <c r="E77" i="37"/>
  <c r="C21" i="37"/>
  <c r="Q21" i="34"/>
  <c r="Z21" i="34"/>
  <c r="D84" i="34"/>
  <c r="E84" i="34"/>
  <c r="F21" i="34"/>
  <c r="AA21" i="34"/>
  <c r="C21" i="34"/>
  <c r="Q21" i="33"/>
  <c r="Z21" i="33"/>
  <c r="D83" i="33"/>
  <c r="E83" i="33"/>
  <c r="F83" i="33"/>
  <c r="G83" i="33"/>
  <c r="C21" i="33"/>
  <c r="C21" i="21"/>
  <c r="Q21" i="21"/>
  <c r="Z21" i="21"/>
  <c r="H19" i="21"/>
  <c r="D83" i="21"/>
  <c r="F21" i="21"/>
  <c r="AA21" i="21"/>
  <c r="D81" i="21"/>
  <c r="G20" i="20"/>
  <c r="C25" i="40"/>
  <c r="B88" i="43"/>
  <c r="C22" i="20"/>
  <c r="B100" i="43"/>
  <c r="B77" i="43"/>
  <c r="B57" i="43"/>
  <c r="B68" i="43"/>
  <c r="C29" i="39"/>
  <c r="S18" i="36"/>
  <c r="H25" i="40"/>
  <c r="AB25" i="40"/>
  <c r="J25" i="40"/>
  <c r="H29" i="39"/>
  <c r="AB29" i="39"/>
  <c r="J29" i="39"/>
  <c r="AC29" i="39"/>
  <c r="J18" i="36"/>
  <c r="AC18" i="36"/>
  <c r="F68" i="35"/>
  <c r="H18" i="35"/>
  <c r="G68" i="35"/>
  <c r="J18" i="35"/>
  <c r="F77" i="37"/>
  <c r="G77" i="37"/>
  <c r="H21" i="37"/>
  <c r="F21" i="37"/>
  <c r="AA21" i="37"/>
  <c r="F84" i="34"/>
  <c r="H21" i="34"/>
  <c r="AB21" i="34"/>
  <c r="H21" i="33"/>
  <c r="U21" i="33"/>
  <c r="F21" i="33"/>
  <c r="E83" i="21"/>
  <c r="F83" i="21"/>
  <c r="H1" i="69"/>
  <c r="AC25" i="40"/>
  <c r="W25" i="40"/>
  <c r="U29" i="39"/>
  <c r="W29" i="39"/>
  <c r="W18" i="36"/>
  <c r="AB21" i="37"/>
  <c r="U21" i="37"/>
  <c r="S21" i="37"/>
  <c r="AB21" i="33"/>
  <c r="AA21" i="33"/>
  <c r="S21" i="33"/>
  <c r="AC18" i="35"/>
  <c r="W18" i="35"/>
  <c r="J21" i="37"/>
  <c r="W21" i="37"/>
  <c r="G84" i="34"/>
  <c r="J21" i="34"/>
  <c r="W21" i="34"/>
  <c r="J21" i="33"/>
  <c r="W21" i="33"/>
  <c r="H21" i="21"/>
  <c r="U21" i="21"/>
  <c r="F38" i="69"/>
  <c r="E37" i="69"/>
  <c r="F36" i="69"/>
  <c r="F35" i="69"/>
  <c r="F21" i="69"/>
  <c r="F40" i="69"/>
  <c r="F20" i="69"/>
  <c r="F39" i="69"/>
  <c r="E10" i="69"/>
  <c r="E9" i="69"/>
  <c r="AC21" i="37"/>
  <c r="AC21" i="33"/>
  <c r="AB21" i="21"/>
  <c r="G83" i="21"/>
  <c r="J21" i="21"/>
  <c r="C40" i="69"/>
  <c r="F38" i="68"/>
  <c r="E37" i="68"/>
  <c r="F36" i="68"/>
  <c r="F35" i="68"/>
  <c r="F21" i="68"/>
  <c r="F40" i="68"/>
  <c r="F20" i="68"/>
  <c r="F39" i="68"/>
  <c r="E10" i="68"/>
  <c r="E9"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6"/>
  <c r="C46" i="36"/>
  <c r="D46" i="36"/>
  <c r="E46" i="36"/>
  <c r="F46" i="36"/>
  <c r="G46" i="36"/>
  <c r="H46" i="36"/>
  <c r="I46" i="36"/>
  <c r="E15" i="4"/>
  <c r="F8" i="1"/>
  <c r="G8" i="1"/>
  <c r="A7" i="1"/>
  <c r="B7" i="1"/>
  <c r="E7" i="1"/>
  <c r="A8" i="1"/>
  <c r="B8" i="1"/>
  <c r="E8" i="1"/>
  <c r="A9" i="1"/>
  <c r="A10" i="1"/>
  <c r="A11" i="1"/>
  <c r="B11" i="1"/>
  <c r="E11" i="1"/>
  <c r="A12" i="1"/>
  <c r="A13" i="1"/>
  <c r="K13" i="1"/>
  <c r="M13" i="1"/>
  <c r="O13" i="1"/>
  <c r="P13" i="1"/>
  <c r="A6" i="1"/>
  <c r="F3" i="35"/>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G111" i="3"/>
  <c r="H111" i="3"/>
  <c r="BT110" i="3"/>
  <c r="BS110" i="3"/>
  <c r="BR110" i="3"/>
  <c r="BQ110" i="3"/>
  <c r="BP110" i="3"/>
  <c r="BO110" i="3"/>
  <c r="BN110" i="3"/>
  <c r="BM110" i="3"/>
  <c r="BL110" i="3"/>
  <c r="BK110" i="3"/>
  <c r="BJ110" i="3"/>
  <c r="BI110" i="3"/>
  <c r="BH110" i="3"/>
  <c r="BG110" i="3"/>
  <c r="BF110" i="3"/>
  <c r="BE110" i="3"/>
  <c r="BD110" i="3"/>
  <c r="BC110" i="3"/>
  <c r="BA110" i="3"/>
  <c r="BB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c r="H109" i="3"/>
  <c r="BT108" i="3"/>
  <c r="BS108" i="3"/>
  <c r="BR108" i="3"/>
  <c r="BQ108" i="3"/>
  <c r="BP108" i="3"/>
  <c r="BO108" i="3"/>
  <c r="BL108" i="3"/>
  <c r="BN108" i="3"/>
  <c r="BM108" i="3"/>
  <c r="BK108" i="3"/>
  <c r="BJ108" i="3"/>
  <c r="BI108" i="3"/>
  <c r="BH108" i="3"/>
  <c r="BG108" i="3"/>
  <c r="BF108" i="3"/>
  <c r="BE108" i="3"/>
  <c r="BD108" i="3"/>
  <c r="BC108" i="3"/>
  <c r="BA108" i="3"/>
  <c r="BB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c r="AZ103" i="3"/>
  <c r="BC103" i="3"/>
  <c r="BB103" i="3"/>
  <c r="AX103" i="3"/>
  <c r="AW103" i="3"/>
  <c r="AV103" i="3"/>
  <c r="AC103" i="3"/>
  <c r="G103" i="3"/>
  <c r="H103" i="3"/>
  <c r="BT102" i="3"/>
  <c r="BS102" i="3"/>
  <c r="BR102" i="3"/>
  <c r="BQ102" i="3"/>
  <c r="BP102" i="3"/>
  <c r="BO102" i="3"/>
  <c r="BL102" i="3"/>
  <c r="BN102" i="3"/>
  <c r="BM102" i="3"/>
  <c r="BK102" i="3"/>
  <c r="BJ102" i="3"/>
  <c r="BI102" i="3"/>
  <c r="BH102" i="3"/>
  <c r="BG102" i="3"/>
  <c r="BF102" i="3"/>
  <c r="BE102" i="3"/>
  <c r="BD102" i="3"/>
  <c r="BC102" i="3"/>
  <c r="BA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A101" i="3"/>
  <c r="BB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L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L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X92" i="3"/>
  <c r="AW92" i="3"/>
  <c r="AV92" i="3"/>
  <c r="AC92" i="3"/>
  <c r="G92" i="3"/>
  <c r="H92" i="3"/>
  <c r="BT91" i="3"/>
  <c r="BS91" i="3"/>
  <c r="BR91" i="3"/>
  <c r="BQ91" i="3"/>
  <c r="BP91" i="3"/>
  <c r="BO91" i="3"/>
  <c r="BN91" i="3"/>
  <c r="BM91" i="3"/>
  <c r="BL91" i="3"/>
  <c r="BK91" i="3"/>
  <c r="BJ91" i="3"/>
  <c r="BI91" i="3"/>
  <c r="BH91" i="3"/>
  <c r="BG91" i="3"/>
  <c r="BF91" i="3"/>
  <c r="BE91" i="3"/>
  <c r="BD91" i="3"/>
  <c r="BC91" i="3"/>
  <c r="BA91" i="3"/>
  <c r="AZ91" i="3"/>
  <c r="BB91" i="3"/>
  <c r="AX91" i="3"/>
  <c r="AW91" i="3"/>
  <c r="AV91" i="3"/>
  <c r="AC91" i="3"/>
  <c r="H91" i="3"/>
  <c r="BT90" i="3"/>
  <c r="BS90" i="3"/>
  <c r="BR90" i="3"/>
  <c r="BQ90" i="3"/>
  <c r="BP90" i="3"/>
  <c r="BO90" i="3"/>
  <c r="BN90" i="3"/>
  <c r="BL90" i="3"/>
  <c r="BM90" i="3"/>
  <c r="BK90" i="3"/>
  <c r="BJ90" i="3"/>
  <c r="BI90" i="3"/>
  <c r="BH90" i="3"/>
  <c r="BG90" i="3"/>
  <c r="BF90" i="3"/>
  <c r="BE90" i="3"/>
  <c r="BD90" i="3"/>
  <c r="BC90" i="3"/>
  <c r="BB90" i="3"/>
  <c r="BA90" i="3"/>
  <c r="AX90" i="3"/>
  <c r="AW90" i="3"/>
  <c r="AV90" i="3"/>
  <c r="AC90" i="3"/>
  <c r="G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A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BT83" i="3"/>
  <c r="BS83" i="3"/>
  <c r="BR83" i="3"/>
  <c r="BQ83" i="3"/>
  <c r="BP83" i="3"/>
  <c r="BO83" i="3"/>
  <c r="BN83" i="3"/>
  <c r="BL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c r="BK82" i="3"/>
  <c r="BJ82" i="3"/>
  <c r="BI82" i="3"/>
  <c r="BH82" i="3"/>
  <c r="BG82" i="3"/>
  <c r="BF82" i="3"/>
  <c r="BE82" i="3"/>
  <c r="BD82" i="3"/>
  <c r="BA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G80" i="3"/>
  <c r="H80" i="3"/>
  <c r="BT79" i="3"/>
  <c r="BS79" i="3"/>
  <c r="BR79" i="3"/>
  <c r="BQ79" i="3"/>
  <c r="BP79" i="3"/>
  <c r="BO79" i="3"/>
  <c r="BN79" i="3"/>
  <c r="BM79" i="3"/>
  <c r="BL79" i="3"/>
  <c r="BK79" i="3"/>
  <c r="BJ79" i="3"/>
  <c r="BI79" i="3"/>
  <c r="BH79" i="3"/>
  <c r="BG79" i="3"/>
  <c r="BF79" i="3"/>
  <c r="BE79" i="3"/>
  <c r="BD79" i="3"/>
  <c r="BC79" i="3"/>
  <c r="BA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L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AX76" i="3"/>
  <c r="AW76" i="3"/>
  <c r="AV76" i="3"/>
  <c r="AC76" i="3"/>
  <c r="H76" i="3"/>
  <c r="G76" i="3"/>
  <c r="BT75" i="3"/>
  <c r="BS75" i="3"/>
  <c r="BR75" i="3"/>
  <c r="BQ75" i="3"/>
  <c r="BP75" i="3"/>
  <c r="BO75" i="3"/>
  <c r="BN75" i="3"/>
  <c r="BM75" i="3"/>
  <c r="BK75" i="3"/>
  <c r="BJ75" i="3"/>
  <c r="BI75" i="3"/>
  <c r="BH75" i="3"/>
  <c r="BG75" i="3"/>
  <c r="BF75" i="3"/>
  <c r="BE75" i="3"/>
  <c r="BD75" i="3"/>
  <c r="BC75" i="3"/>
  <c r="BB75" i="3"/>
  <c r="BA75" i="3"/>
  <c r="AX75" i="3"/>
  <c r="AW75" i="3"/>
  <c r="AV75" i="3"/>
  <c r="AC75" i="3"/>
  <c r="G75" i="3"/>
  <c r="H75" i="3"/>
  <c r="BT74" i="3"/>
  <c r="BS74" i="3"/>
  <c r="BR74" i="3"/>
  <c r="BQ74" i="3"/>
  <c r="BP74" i="3"/>
  <c r="BO74" i="3"/>
  <c r="BL74" i="3"/>
  <c r="BN74" i="3"/>
  <c r="BM74" i="3"/>
  <c r="BK74" i="3"/>
  <c r="BJ74" i="3"/>
  <c r="BI74" i="3"/>
  <c r="BH74" i="3"/>
  <c r="BG74" i="3"/>
  <c r="BF74" i="3"/>
  <c r="BE74" i="3"/>
  <c r="BD74" i="3"/>
  <c r="BC74" i="3"/>
  <c r="BA74" i="3"/>
  <c r="BB74" i="3"/>
  <c r="AX74" i="3"/>
  <c r="AW74" i="3"/>
  <c r="AV74" i="3"/>
  <c r="AC74" i="3"/>
  <c r="H74" i="3"/>
  <c r="G74" i="3"/>
  <c r="BT73" i="3"/>
  <c r="BS73" i="3"/>
  <c r="BR73" i="3"/>
  <c r="BQ73" i="3"/>
  <c r="BP73" i="3"/>
  <c r="BO73" i="3"/>
  <c r="BN73" i="3"/>
  <c r="BM73" i="3"/>
  <c r="BL73" i="3"/>
  <c r="BK73" i="3"/>
  <c r="BJ73" i="3"/>
  <c r="BI73" i="3"/>
  <c r="BH73" i="3"/>
  <c r="BG73" i="3"/>
  <c r="BF73" i="3"/>
  <c r="BE73" i="3"/>
  <c r="BD73" i="3"/>
  <c r="BC73" i="3"/>
  <c r="BA73" i="3"/>
  <c r="BB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A70" i="3"/>
  <c r="AZ70" i="3"/>
  <c r="BC70" i="3"/>
  <c r="BB70" i="3"/>
  <c r="AX70" i="3"/>
  <c r="AW70" i="3"/>
  <c r="AV70" i="3"/>
  <c r="AC70" i="3"/>
  <c r="G70" i="3"/>
  <c r="H70" i="3"/>
  <c r="BT69" i="3"/>
  <c r="BS69" i="3"/>
  <c r="BR69" i="3"/>
  <c r="BQ69" i="3"/>
  <c r="BP69" i="3"/>
  <c r="BO69" i="3"/>
  <c r="BL69" i="3"/>
  <c r="BN69" i="3"/>
  <c r="BM69" i="3"/>
  <c r="BK69" i="3"/>
  <c r="BJ69" i="3"/>
  <c r="BI69" i="3"/>
  <c r="BH69" i="3"/>
  <c r="BG69" i="3"/>
  <c r="BF69" i="3"/>
  <c r="BE69" i="3"/>
  <c r="BD69" i="3"/>
  <c r="BC69" i="3"/>
  <c r="BA69" i="3"/>
  <c r="BB69" i="3"/>
  <c r="AX69" i="3"/>
  <c r="AW69" i="3"/>
  <c r="AV69" i="3"/>
  <c r="AC69" i="3"/>
  <c r="H69" i="3"/>
  <c r="G69" i="3"/>
  <c r="BT68" i="3"/>
  <c r="BS68" i="3"/>
  <c r="BR68" i="3"/>
  <c r="BQ68" i="3"/>
  <c r="BP68" i="3"/>
  <c r="BO68" i="3"/>
  <c r="BN68" i="3"/>
  <c r="BM68" i="3"/>
  <c r="BL68" i="3"/>
  <c r="BK68" i="3"/>
  <c r="BJ68" i="3"/>
  <c r="BI68" i="3"/>
  <c r="BH68" i="3"/>
  <c r="BG68" i="3"/>
  <c r="BF68" i="3"/>
  <c r="BE68" i="3"/>
  <c r="BD68" i="3"/>
  <c r="BC68" i="3"/>
  <c r="BA68" i="3"/>
  <c r="BB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c r="BT65" i="3"/>
  <c r="BS65" i="3"/>
  <c r="BR65" i="3"/>
  <c r="BQ65" i="3"/>
  <c r="BP65" i="3"/>
  <c r="BO65" i="3"/>
  <c r="BN65" i="3"/>
  <c r="BM65" i="3"/>
  <c r="BL65" i="3"/>
  <c r="BK65" i="3"/>
  <c r="BJ65" i="3"/>
  <c r="BI65" i="3"/>
  <c r="BH65" i="3"/>
  <c r="BG65" i="3"/>
  <c r="BF65" i="3"/>
  <c r="BE65" i="3"/>
  <c r="BD65" i="3"/>
  <c r="BA65" i="3"/>
  <c r="AZ65" i="3"/>
  <c r="BC65" i="3"/>
  <c r="BB65" i="3"/>
  <c r="AX65" i="3"/>
  <c r="AW65" i="3"/>
  <c r="AV65" i="3"/>
  <c r="AC65" i="3"/>
  <c r="G65" i="3"/>
  <c r="H65" i="3"/>
  <c r="BT64" i="3"/>
  <c r="BS64" i="3"/>
  <c r="BR64" i="3"/>
  <c r="BQ64" i="3"/>
  <c r="BP64" i="3"/>
  <c r="BO64" i="3"/>
  <c r="BL64" i="3"/>
  <c r="BN64" i="3"/>
  <c r="BM64" i="3"/>
  <c r="BK64" i="3"/>
  <c r="BJ64" i="3"/>
  <c r="BI64" i="3"/>
  <c r="BH64" i="3"/>
  <c r="BG64" i="3"/>
  <c r="BF64" i="3"/>
  <c r="BE64" i="3"/>
  <c r="BD64" i="3"/>
  <c r="BC64" i="3"/>
  <c r="BA64" i="3"/>
  <c r="AZ64" i="3"/>
  <c r="BB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AX63" i="3"/>
  <c r="AW63" i="3"/>
  <c r="AV63" i="3"/>
  <c r="AC63" i="3"/>
  <c r="H63" i="3"/>
  <c r="G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BT60" i="3"/>
  <c r="BS60" i="3"/>
  <c r="BR60" i="3"/>
  <c r="BQ60" i="3"/>
  <c r="BP60" i="3"/>
  <c r="BO60" i="3"/>
  <c r="BN60" i="3"/>
  <c r="BL60" i="3"/>
  <c r="BM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G59" i="3"/>
  <c r="H59" i="3"/>
  <c r="BT58" i="3"/>
  <c r="BS58" i="3"/>
  <c r="BR58" i="3"/>
  <c r="BQ58" i="3"/>
  <c r="BP58" i="3"/>
  <c r="BO58" i="3"/>
  <c r="BN58" i="3"/>
  <c r="BM58" i="3"/>
  <c r="BL58" i="3"/>
  <c r="BK58" i="3"/>
  <c r="BJ58" i="3"/>
  <c r="BI58" i="3"/>
  <c r="BH58" i="3"/>
  <c r="BG58" i="3"/>
  <c r="BF58" i="3"/>
  <c r="BE58" i="3"/>
  <c r="BD58" i="3"/>
  <c r="BC58" i="3"/>
  <c r="BB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G56" i="3"/>
  <c r="H56" i="3"/>
  <c r="BT55" i="3"/>
  <c r="BS55" i="3"/>
  <c r="BR55" i="3"/>
  <c r="BQ55" i="3"/>
  <c r="BP55" i="3"/>
  <c r="BO55" i="3"/>
  <c r="BN55" i="3"/>
  <c r="BM55" i="3"/>
  <c r="BL55" i="3"/>
  <c r="BK55" i="3"/>
  <c r="BJ55" i="3"/>
  <c r="BI55" i="3"/>
  <c r="BH55" i="3"/>
  <c r="BG55" i="3"/>
  <c r="BF55" i="3"/>
  <c r="BE55" i="3"/>
  <c r="BD55" i="3"/>
  <c r="BC55" i="3"/>
  <c r="BB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L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G51" i="3"/>
  <c r="H51" i="3"/>
  <c r="BT50" i="3"/>
  <c r="BS50" i="3"/>
  <c r="BR50" i="3"/>
  <c r="BQ50" i="3"/>
  <c r="BP50" i="3"/>
  <c r="BO50" i="3"/>
  <c r="BN50" i="3"/>
  <c r="BM50" i="3"/>
  <c r="BL50" i="3"/>
  <c r="BK50" i="3"/>
  <c r="BJ50" i="3"/>
  <c r="BI50" i="3"/>
  <c r="BH50" i="3"/>
  <c r="BG50" i="3"/>
  <c r="BF50" i="3"/>
  <c r="BE50" i="3"/>
  <c r="BD50" i="3"/>
  <c r="BC50" i="3"/>
  <c r="BA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G48" i="3"/>
  <c r="H48" i="3"/>
  <c r="BT47" i="3"/>
  <c r="BS47" i="3"/>
  <c r="BR47" i="3"/>
  <c r="BQ47" i="3"/>
  <c r="BP47" i="3"/>
  <c r="BO47" i="3"/>
  <c r="BN47" i="3"/>
  <c r="BM47" i="3"/>
  <c r="BL47" i="3"/>
  <c r="BK47" i="3"/>
  <c r="BJ47" i="3"/>
  <c r="BI47" i="3"/>
  <c r="BH47" i="3"/>
  <c r="BG47" i="3"/>
  <c r="BF47" i="3"/>
  <c r="BE47" i="3"/>
  <c r="BD47" i="3"/>
  <c r="BC47" i="3"/>
  <c r="BA47" i="3"/>
  <c r="BB47" i="3"/>
  <c r="AX47" i="3"/>
  <c r="AW47" i="3"/>
  <c r="AV47" i="3"/>
  <c r="AC47" i="3"/>
  <c r="H47" i="3"/>
  <c r="G47" i="3"/>
  <c r="BT46" i="3"/>
  <c r="BS46" i="3"/>
  <c r="BR46" i="3"/>
  <c r="BQ46" i="3"/>
  <c r="BP46" i="3"/>
  <c r="BO46" i="3"/>
  <c r="BN46" i="3"/>
  <c r="BM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BT44" i="3"/>
  <c r="BS44" i="3"/>
  <c r="BR44" i="3"/>
  <c r="BQ44" i="3"/>
  <c r="BP44" i="3"/>
  <c r="BO44" i="3"/>
  <c r="BN44" i="3"/>
  <c r="BL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G43" i="3"/>
  <c r="H43" i="3"/>
  <c r="BT42" i="3"/>
  <c r="BS42" i="3"/>
  <c r="BR42" i="3"/>
  <c r="BQ42" i="3"/>
  <c r="BP42" i="3"/>
  <c r="BO42" i="3"/>
  <c r="BN42" i="3"/>
  <c r="BM42" i="3"/>
  <c r="BL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G41" i="3"/>
  <c r="H41" i="3"/>
  <c r="BT40" i="3"/>
  <c r="BS40" i="3"/>
  <c r="BR40" i="3"/>
  <c r="BQ40" i="3"/>
  <c r="BP40" i="3"/>
  <c r="BO40" i="3"/>
  <c r="BN40" i="3"/>
  <c r="BM40" i="3"/>
  <c r="BL40" i="3"/>
  <c r="BK40" i="3"/>
  <c r="BJ40" i="3"/>
  <c r="BI40" i="3"/>
  <c r="BH40" i="3"/>
  <c r="BG40" i="3"/>
  <c r="BF40" i="3"/>
  <c r="BE40" i="3"/>
  <c r="BD40" i="3"/>
  <c r="BC40" i="3"/>
  <c r="BA40" i="3"/>
  <c r="AZ40" i="3"/>
  <c r="BB40" i="3"/>
  <c r="AX40" i="3"/>
  <c r="AW40" i="3"/>
  <c r="AV40" i="3"/>
  <c r="AC40" i="3"/>
  <c r="H40" i="3"/>
  <c r="G40" i="3"/>
  <c r="BT39" i="3"/>
  <c r="BS39" i="3"/>
  <c r="BR39" i="3"/>
  <c r="BQ39" i="3"/>
  <c r="BP39" i="3"/>
  <c r="BO39" i="3"/>
  <c r="BN39" i="3"/>
  <c r="BL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X38" i="3"/>
  <c r="AW38" i="3"/>
  <c r="AV38" i="3"/>
  <c r="AC38" i="3"/>
  <c r="G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L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G33" i="3"/>
  <c r="H33" i="3"/>
  <c r="BT32" i="3"/>
  <c r="BS32" i="3"/>
  <c r="BR32" i="3"/>
  <c r="BQ32" i="3"/>
  <c r="BP32" i="3"/>
  <c r="BO32" i="3"/>
  <c r="BN32" i="3"/>
  <c r="BM32" i="3"/>
  <c r="BL32" i="3"/>
  <c r="BK32" i="3"/>
  <c r="BJ32" i="3"/>
  <c r="BI32" i="3"/>
  <c r="BH32" i="3"/>
  <c r="BG32" i="3"/>
  <c r="BF32" i="3"/>
  <c r="BE32" i="3"/>
  <c r="BD32" i="3"/>
  <c r="BC32" i="3"/>
  <c r="BA32" i="3"/>
  <c r="BB32" i="3"/>
  <c r="AX32" i="3"/>
  <c r="AW32" i="3"/>
  <c r="AV32" i="3"/>
  <c r="AC32" i="3"/>
  <c r="H32" i="3"/>
  <c r="G32" i="3"/>
  <c r="BT31" i="3"/>
  <c r="BS31" i="3"/>
  <c r="BR31" i="3"/>
  <c r="BQ31" i="3"/>
  <c r="BP31" i="3"/>
  <c r="BO31" i="3"/>
  <c r="BN31" i="3"/>
  <c r="BM31" i="3"/>
  <c r="BK31" i="3"/>
  <c r="BJ31" i="3"/>
  <c r="BI31" i="3"/>
  <c r="BH31" i="3"/>
  <c r="BG31" i="3"/>
  <c r="BF31" i="3"/>
  <c r="BE31" i="3"/>
  <c r="BD31" i="3"/>
  <c r="BC31" i="3"/>
  <c r="BB31" i="3"/>
  <c r="BA31" i="3"/>
  <c r="AX31" i="3"/>
  <c r="AW31" i="3"/>
  <c r="AV31" i="3"/>
  <c r="AC31" i="3"/>
  <c r="G31" i="3"/>
  <c r="H31" i="3"/>
  <c r="BT30" i="3"/>
  <c r="BS30" i="3"/>
  <c r="BR30" i="3"/>
  <c r="BQ30" i="3"/>
  <c r="BP30" i="3"/>
  <c r="BO30" i="3"/>
  <c r="BL30" i="3"/>
  <c r="AZ30" i="3"/>
  <c r="BN30" i="3"/>
  <c r="BM30" i="3"/>
  <c r="BK30" i="3"/>
  <c r="BJ30" i="3"/>
  <c r="BI30" i="3"/>
  <c r="BH30" i="3"/>
  <c r="BG30" i="3"/>
  <c r="BF30" i="3"/>
  <c r="BE30" i="3"/>
  <c r="BD30" i="3"/>
  <c r="BC30" i="3"/>
  <c r="BA30" i="3"/>
  <c r="BB30" i="3"/>
  <c r="AX30" i="3"/>
  <c r="AW30" i="3"/>
  <c r="AV30" i="3"/>
  <c r="AC30" i="3"/>
  <c r="H30" i="3"/>
  <c r="BT29" i="3"/>
  <c r="BS29" i="3"/>
  <c r="BR29" i="3"/>
  <c r="BQ29" i="3"/>
  <c r="BP29" i="3"/>
  <c r="BO29" i="3"/>
  <c r="BN29" i="3"/>
  <c r="BL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A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G26" i="3"/>
  <c r="H26" i="3"/>
  <c r="BT25" i="3"/>
  <c r="BS25" i="3"/>
  <c r="BR25" i="3"/>
  <c r="BQ25" i="3"/>
  <c r="BP25" i="3"/>
  <c r="BO25" i="3"/>
  <c r="BL25" i="3"/>
  <c r="BN25" i="3"/>
  <c r="BM25" i="3"/>
  <c r="BK25" i="3"/>
  <c r="BJ25" i="3"/>
  <c r="BI25" i="3"/>
  <c r="BH25" i="3"/>
  <c r="BG25" i="3"/>
  <c r="BF25" i="3"/>
  <c r="BE25" i="3"/>
  <c r="BD25" i="3"/>
  <c r="BC25" i="3"/>
  <c r="BA25" i="3"/>
  <c r="AZ25" i="3"/>
  <c r="BB25" i="3"/>
  <c r="AX25" i="3"/>
  <c r="AW25" i="3"/>
  <c r="AV25" i="3"/>
  <c r="AC25" i="3"/>
  <c r="H25" i="3"/>
  <c r="G25" i="3"/>
  <c r="BT24" i="3"/>
  <c r="BS24" i="3"/>
  <c r="BR24" i="3"/>
  <c r="BQ24" i="3"/>
  <c r="BP24" i="3"/>
  <c r="BO24" i="3"/>
  <c r="BN24" i="3"/>
  <c r="BL24" i="3"/>
  <c r="BM24" i="3"/>
  <c r="BK24" i="3"/>
  <c r="BJ24" i="3"/>
  <c r="BI24" i="3"/>
  <c r="BH24" i="3"/>
  <c r="BG24" i="3"/>
  <c r="BF24" i="3"/>
  <c r="BE24" i="3"/>
  <c r="BD24" i="3"/>
  <c r="BC24" i="3"/>
  <c r="BB24" i="3"/>
  <c r="AX24" i="3"/>
  <c r="AW24" i="3"/>
  <c r="AV24" i="3"/>
  <c r="AC24" i="3"/>
  <c r="H24" i="3"/>
  <c r="G24" i="3"/>
  <c r="BT23" i="3"/>
  <c r="BS23" i="3"/>
  <c r="BR23" i="3"/>
  <c r="BQ23" i="3"/>
  <c r="BP23" i="3"/>
  <c r="BO23" i="3"/>
  <c r="BN23" i="3"/>
  <c r="BM23" i="3"/>
  <c r="BL23" i="3"/>
  <c r="BK23" i="3"/>
  <c r="BJ23" i="3"/>
  <c r="BI23" i="3"/>
  <c r="BH23" i="3"/>
  <c r="BG23" i="3"/>
  <c r="BF23" i="3"/>
  <c r="BE23" i="3"/>
  <c r="BD23" i="3"/>
  <c r="BA23" i="3"/>
  <c r="AZ23" i="3"/>
  <c r="BC23" i="3"/>
  <c r="BB23" i="3"/>
  <c r="AX23" i="3"/>
  <c r="AW23" i="3"/>
  <c r="AV23" i="3"/>
  <c r="AC23" i="3"/>
  <c r="G23" i="3"/>
  <c r="H23" i="3"/>
  <c r="BT22" i="3"/>
  <c r="BS22" i="3"/>
  <c r="BR22" i="3"/>
  <c r="BQ22" i="3"/>
  <c r="BP22" i="3"/>
  <c r="BO22" i="3"/>
  <c r="BL22" i="3"/>
  <c r="BN22" i="3"/>
  <c r="BM22" i="3"/>
  <c r="BK22" i="3"/>
  <c r="BJ22" i="3"/>
  <c r="BI22" i="3"/>
  <c r="BH22" i="3"/>
  <c r="BG22" i="3"/>
  <c r="BF22" i="3"/>
  <c r="BE22" i="3"/>
  <c r="BD22" i="3"/>
  <c r="BC22" i="3"/>
  <c r="BA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A20" i="3"/>
  <c r="BC20" i="3"/>
  <c r="BB20" i="3"/>
  <c r="AX20" i="3"/>
  <c r="AW20" i="3"/>
  <c r="AV20" i="3"/>
  <c r="AC20" i="3"/>
  <c r="H20" i="3"/>
  <c r="G20" i="3"/>
  <c r="BT19" i="3"/>
  <c r="BS19" i="3"/>
  <c r="BR19" i="3"/>
  <c r="BQ19" i="3"/>
  <c r="BP19" i="3"/>
  <c r="BO19" i="3"/>
  <c r="BN19" i="3"/>
  <c r="BL19" i="3"/>
  <c r="BM19" i="3"/>
  <c r="BK19" i="3"/>
  <c r="BJ19" i="3"/>
  <c r="BI19" i="3"/>
  <c r="BH19" i="3"/>
  <c r="BG19" i="3"/>
  <c r="BF19" i="3"/>
  <c r="BE19" i="3"/>
  <c r="BD19" i="3"/>
  <c r="BC19" i="3"/>
  <c r="BB19" i="3"/>
  <c r="AX19" i="3"/>
  <c r="AW19" i="3"/>
  <c r="AV19" i="3"/>
  <c r="AC19" i="3"/>
  <c r="H19" i="3"/>
  <c r="G19" i="3"/>
  <c r="BT18" i="3"/>
  <c r="BS18" i="3"/>
  <c r="BR18" i="3"/>
  <c r="BQ18" i="3"/>
  <c r="BP18" i="3"/>
  <c r="BO18" i="3"/>
  <c r="BN18" i="3"/>
  <c r="BM18" i="3"/>
  <c r="BL18" i="3"/>
  <c r="BK18" i="3"/>
  <c r="BJ18" i="3"/>
  <c r="BI18" i="3"/>
  <c r="BH18" i="3"/>
  <c r="BG18" i="3"/>
  <c r="BF18" i="3"/>
  <c r="BE18" i="3"/>
  <c r="BD18" i="3"/>
  <c r="BA18" i="3"/>
  <c r="AZ18" i="3"/>
  <c r="BC18" i="3"/>
  <c r="BB18" i="3"/>
  <c r="AX18" i="3"/>
  <c r="AW18" i="3"/>
  <c r="AV18" i="3"/>
  <c r="AC18" i="3"/>
  <c r="G18" i="3"/>
  <c r="H18" i="3"/>
  <c r="BT207" i="3"/>
  <c r="BS207" i="3"/>
  <c r="BR207" i="3"/>
  <c r="BQ207" i="3"/>
  <c r="BP207" i="3"/>
  <c r="BO207" i="3"/>
  <c r="BL207" i="3"/>
  <c r="BN207" i="3"/>
  <c r="BM207" i="3"/>
  <c r="BK207" i="3"/>
  <c r="BJ207" i="3"/>
  <c r="BI207" i="3"/>
  <c r="BH207" i="3"/>
  <c r="BG207" i="3"/>
  <c r="BF207" i="3"/>
  <c r="BE207" i="3"/>
  <c r="BD207" i="3"/>
  <c r="BC207" i="3"/>
  <c r="BA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c r="AZ205" i="3"/>
  <c r="BC205" i="3"/>
  <c r="BB205" i="3"/>
  <c r="AX205" i="3"/>
  <c r="AW205" i="3"/>
  <c r="AV205" i="3"/>
  <c r="AC205" i="3"/>
  <c r="G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G202" i="3"/>
  <c r="H202" i="3"/>
  <c r="BT201" i="3"/>
  <c r="BS201" i="3"/>
  <c r="BR201" i="3"/>
  <c r="BQ201" i="3"/>
  <c r="BP201" i="3"/>
  <c r="BO201" i="3"/>
  <c r="BL201" i="3"/>
  <c r="BN201" i="3"/>
  <c r="BM201" i="3"/>
  <c r="BK201" i="3"/>
  <c r="BJ201" i="3"/>
  <c r="BI201" i="3"/>
  <c r="BH201" i="3"/>
  <c r="BG201" i="3"/>
  <c r="BF201" i="3"/>
  <c r="BE201" i="3"/>
  <c r="BD201" i="3"/>
  <c r="BC201" i="3"/>
  <c r="BA201" i="3"/>
  <c r="AZ201" i="3"/>
  <c r="BB201" i="3"/>
  <c r="AX201" i="3"/>
  <c r="AW201" i="3"/>
  <c r="AV201" i="3"/>
  <c r="AC201" i="3"/>
  <c r="H201" i="3"/>
  <c r="BT200" i="3"/>
  <c r="BS200" i="3"/>
  <c r="BR200" i="3"/>
  <c r="BQ200" i="3"/>
  <c r="BP200" i="3"/>
  <c r="BO200" i="3"/>
  <c r="BN200" i="3"/>
  <c r="BM200" i="3"/>
  <c r="BK200" i="3"/>
  <c r="BJ200" i="3"/>
  <c r="BI200" i="3"/>
  <c r="BH200" i="3"/>
  <c r="BG200" i="3"/>
  <c r="BF200" i="3"/>
  <c r="BE200" i="3"/>
  <c r="BD200" i="3"/>
  <c r="BA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G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L193" i="3"/>
  <c r="BM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A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L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A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c r="BC188" i="3"/>
  <c r="BB188" i="3"/>
  <c r="AX188" i="3"/>
  <c r="AW188" i="3"/>
  <c r="AV188" i="3"/>
  <c r="AC188" i="3"/>
  <c r="H188" i="3"/>
  <c r="G188" i="3"/>
  <c r="BT187" i="3"/>
  <c r="BS187" i="3"/>
  <c r="BR187" i="3"/>
  <c r="BQ187" i="3"/>
  <c r="BP187" i="3"/>
  <c r="BO187" i="3"/>
  <c r="BN187" i="3"/>
  <c r="BL187" i="3"/>
  <c r="BM187" i="3"/>
  <c r="BK187" i="3"/>
  <c r="BJ187" i="3"/>
  <c r="BI187" i="3"/>
  <c r="BH187" i="3"/>
  <c r="BG187" i="3"/>
  <c r="BF187" i="3"/>
  <c r="BE187" i="3"/>
  <c r="BD187" i="3"/>
  <c r="BC187" i="3"/>
  <c r="BB187" i="3"/>
  <c r="AX187" i="3"/>
  <c r="AW187" i="3"/>
  <c r="AV187" i="3"/>
  <c r="AC187" i="3"/>
  <c r="G187" i="3"/>
  <c r="H187" i="3"/>
  <c r="BT186" i="3"/>
  <c r="BS186" i="3"/>
  <c r="BR186" i="3"/>
  <c r="BQ186" i="3"/>
  <c r="BP186" i="3"/>
  <c r="BO186" i="3"/>
  <c r="BL186" i="3"/>
  <c r="BN186" i="3"/>
  <c r="BM186" i="3"/>
  <c r="BK186" i="3"/>
  <c r="BJ186" i="3"/>
  <c r="BI186" i="3"/>
  <c r="BH186" i="3"/>
  <c r="BG186" i="3"/>
  <c r="BF186" i="3"/>
  <c r="BE186" i="3"/>
  <c r="BD186" i="3"/>
  <c r="BC186" i="3"/>
  <c r="BA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A185" i="3"/>
  <c r="AZ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L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G178" i="3"/>
  <c r="H178" i="3"/>
  <c r="BT177" i="3"/>
  <c r="BS177" i="3"/>
  <c r="BR177" i="3"/>
  <c r="BQ177" i="3"/>
  <c r="BP177" i="3"/>
  <c r="BO177" i="3"/>
  <c r="BN177" i="3"/>
  <c r="BM177" i="3"/>
  <c r="BL177" i="3"/>
  <c r="BK177" i="3"/>
  <c r="BJ177" i="3"/>
  <c r="BI177" i="3"/>
  <c r="BH177" i="3"/>
  <c r="BG177" i="3"/>
  <c r="BF177" i="3"/>
  <c r="BE177" i="3"/>
  <c r="BD177" i="3"/>
  <c r="BC177" i="3"/>
  <c r="BA177" i="3"/>
  <c r="AZ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L175" i="3"/>
  <c r="BM175" i="3"/>
  <c r="BK175" i="3"/>
  <c r="BJ175" i="3"/>
  <c r="BI175" i="3"/>
  <c r="BH175" i="3"/>
  <c r="BG175" i="3"/>
  <c r="BF175" i="3"/>
  <c r="BE175" i="3"/>
  <c r="BD175" i="3"/>
  <c r="BC175" i="3"/>
  <c r="BB175" i="3"/>
  <c r="AX175" i="3"/>
  <c r="AW175" i="3"/>
  <c r="AV175" i="3"/>
  <c r="AC175" i="3"/>
  <c r="G175" i="3"/>
  <c r="H175" i="3"/>
  <c r="BT174" i="3"/>
  <c r="BS174" i="3"/>
  <c r="BR174" i="3"/>
  <c r="BQ174" i="3"/>
  <c r="BP174" i="3"/>
  <c r="BO174" i="3"/>
  <c r="BL174" i="3"/>
  <c r="BN174" i="3"/>
  <c r="BM174" i="3"/>
  <c r="BK174" i="3"/>
  <c r="BJ174" i="3"/>
  <c r="BI174" i="3"/>
  <c r="BH174" i="3"/>
  <c r="BG174" i="3"/>
  <c r="BF174" i="3"/>
  <c r="BE174" i="3"/>
  <c r="BD174" i="3"/>
  <c r="BC174" i="3"/>
  <c r="BA174" i="3"/>
  <c r="BB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c r="H172" i="3"/>
  <c r="BT171" i="3"/>
  <c r="BS171" i="3"/>
  <c r="BR171" i="3"/>
  <c r="BQ171" i="3"/>
  <c r="BP171" i="3"/>
  <c r="BO171" i="3"/>
  <c r="BL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A170" i="3"/>
  <c r="BC170" i="3"/>
  <c r="BB170" i="3"/>
  <c r="AX170" i="3"/>
  <c r="AW170" i="3"/>
  <c r="AV170" i="3"/>
  <c r="AC170" i="3"/>
  <c r="H170" i="3"/>
  <c r="G170" i="3"/>
  <c r="BT169" i="3"/>
  <c r="BS169" i="3"/>
  <c r="BR169" i="3"/>
  <c r="BQ169" i="3"/>
  <c r="BP169" i="3"/>
  <c r="BO169" i="3"/>
  <c r="BN169" i="3"/>
  <c r="BL169" i="3"/>
  <c r="BM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c r="BB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L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L163" i="3"/>
  <c r="BM163" i="3"/>
  <c r="BK163" i="3"/>
  <c r="BJ163" i="3"/>
  <c r="BI163" i="3"/>
  <c r="BH163" i="3"/>
  <c r="BG163" i="3"/>
  <c r="BF163" i="3"/>
  <c r="BE163" i="3"/>
  <c r="BD163" i="3"/>
  <c r="BC163" i="3"/>
  <c r="BB163" i="3"/>
  <c r="AX163" i="3"/>
  <c r="AW163" i="3"/>
  <c r="AV163" i="3"/>
  <c r="AC163" i="3"/>
  <c r="G163" i="3"/>
  <c r="H163" i="3"/>
  <c r="BT162" i="3"/>
  <c r="BS162" i="3"/>
  <c r="BR162" i="3"/>
  <c r="BQ162" i="3"/>
  <c r="BP162" i="3"/>
  <c r="BO162" i="3"/>
  <c r="BL162" i="3"/>
  <c r="BN162" i="3"/>
  <c r="BM162" i="3"/>
  <c r="BK162" i="3"/>
  <c r="BJ162" i="3"/>
  <c r="BI162" i="3"/>
  <c r="BH162" i="3"/>
  <c r="BG162" i="3"/>
  <c r="BF162" i="3"/>
  <c r="BE162" i="3"/>
  <c r="BD162" i="3"/>
  <c r="BC162" i="3"/>
  <c r="BA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G158" i="3"/>
  <c r="H158" i="3"/>
  <c r="BT157" i="3"/>
  <c r="BS157" i="3"/>
  <c r="BR157" i="3"/>
  <c r="BQ157" i="3"/>
  <c r="BP157" i="3"/>
  <c r="BO157" i="3"/>
  <c r="BN157" i="3"/>
  <c r="BM157" i="3"/>
  <c r="BL157" i="3"/>
  <c r="BK157" i="3"/>
  <c r="BJ157" i="3"/>
  <c r="BI157" i="3"/>
  <c r="BH157" i="3"/>
  <c r="BG157" i="3"/>
  <c r="BF157" i="3"/>
  <c r="BE157" i="3"/>
  <c r="BD157" i="3"/>
  <c r="BC157" i="3"/>
  <c r="BA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c r="BB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L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c r="H152" i="3"/>
  <c r="BT151" i="3"/>
  <c r="BS151" i="3"/>
  <c r="BR151" i="3"/>
  <c r="BQ151" i="3"/>
  <c r="BP151" i="3"/>
  <c r="BO151" i="3"/>
  <c r="BL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A150" i="3"/>
  <c r="BC150" i="3"/>
  <c r="BB150" i="3"/>
  <c r="AX150" i="3"/>
  <c r="AW150" i="3"/>
  <c r="AV150" i="3"/>
  <c r="AC150" i="3"/>
  <c r="H150" i="3"/>
  <c r="G150" i="3"/>
  <c r="BT149" i="3"/>
  <c r="BS149" i="3"/>
  <c r="BR149" i="3"/>
  <c r="BQ149" i="3"/>
  <c r="BP149" i="3"/>
  <c r="BO149" i="3"/>
  <c r="BN149" i="3"/>
  <c r="BL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G146" i="3"/>
  <c r="H146" i="3"/>
  <c r="BT145" i="3"/>
  <c r="BS145" i="3"/>
  <c r="BR145" i="3"/>
  <c r="BQ145" i="3"/>
  <c r="BP145" i="3"/>
  <c r="BO145" i="3"/>
  <c r="BL145" i="3"/>
  <c r="BN145" i="3"/>
  <c r="BM145" i="3"/>
  <c r="BK145" i="3"/>
  <c r="BJ145" i="3"/>
  <c r="BI145" i="3"/>
  <c r="BH145" i="3"/>
  <c r="BG145" i="3"/>
  <c r="BF145" i="3"/>
  <c r="BE145" i="3"/>
  <c r="BD145" i="3"/>
  <c r="BC145" i="3"/>
  <c r="BA145" i="3"/>
  <c r="BB145" i="3"/>
  <c r="AX145" i="3"/>
  <c r="AW145" i="3"/>
  <c r="AV145" i="3"/>
  <c r="AC145" i="3"/>
  <c r="H145" i="3"/>
  <c r="BT144" i="3"/>
  <c r="BS144" i="3"/>
  <c r="BR144" i="3"/>
  <c r="BQ144" i="3"/>
  <c r="BP144" i="3"/>
  <c r="BO144" i="3"/>
  <c r="BN144" i="3"/>
  <c r="BM144" i="3"/>
  <c r="BK144" i="3"/>
  <c r="BJ144" i="3"/>
  <c r="BI144" i="3"/>
  <c r="BH144" i="3"/>
  <c r="BG144" i="3"/>
  <c r="BF144" i="3"/>
  <c r="BE144" i="3"/>
  <c r="BD144" i="3"/>
  <c r="BA144" i="3"/>
  <c r="BC144" i="3"/>
  <c r="BB144" i="3"/>
  <c r="AX144" i="3"/>
  <c r="AW144" i="3"/>
  <c r="AV144" i="3"/>
  <c r="AC144" i="3"/>
  <c r="H144" i="3"/>
  <c r="G144" i="3"/>
  <c r="BT143" i="3"/>
  <c r="BS143" i="3"/>
  <c r="BR143" i="3"/>
  <c r="BQ143" i="3"/>
  <c r="BP143" i="3"/>
  <c r="BO143" i="3"/>
  <c r="BN143" i="3"/>
  <c r="BL143" i="3"/>
  <c r="BM143" i="3"/>
  <c r="BK143" i="3"/>
  <c r="BJ143" i="3"/>
  <c r="BI143" i="3"/>
  <c r="BH143" i="3"/>
  <c r="BG143" i="3"/>
  <c r="BF143" i="3"/>
  <c r="BE143" i="3"/>
  <c r="BD143" i="3"/>
  <c r="BC143" i="3"/>
  <c r="BB143" i="3"/>
  <c r="AX143" i="3"/>
  <c r="AW143" i="3"/>
  <c r="AV143" i="3"/>
  <c r="AC143" i="3"/>
  <c r="G143" i="3"/>
  <c r="H143" i="3"/>
  <c r="BT142" i="3"/>
  <c r="BS142" i="3"/>
  <c r="BR142" i="3"/>
  <c r="BQ142" i="3"/>
  <c r="BP142" i="3"/>
  <c r="BO142" i="3"/>
  <c r="BL142" i="3"/>
  <c r="BN142" i="3"/>
  <c r="BM142" i="3"/>
  <c r="BK142" i="3"/>
  <c r="BJ142" i="3"/>
  <c r="BI142" i="3"/>
  <c r="BH142" i="3"/>
  <c r="BG142" i="3"/>
  <c r="BF142" i="3"/>
  <c r="BE142" i="3"/>
  <c r="BD142" i="3"/>
  <c r="BC142" i="3"/>
  <c r="BA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L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L131" i="3"/>
  <c r="BM131" i="3"/>
  <c r="BK131" i="3"/>
  <c r="BJ131" i="3"/>
  <c r="BI131" i="3"/>
  <c r="BH131" i="3"/>
  <c r="BG131" i="3"/>
  <c r="BF131" i="3"/>
  <c r="BE131" i="3"/>
  <c r="BD131" i="3"/>
  <c r="BC131" i="3"/>
  <c r="BB131" i="3"/>
  <c r="AX131" i="3"/>
  <c r="AW131" i="3"/>
  <c r="AV131" i="3"/>
  <c r="AC131" i="3"/>
  <c r="G131" i="3"/>
  <c r="H131" i="3"/>
  <c r="BT130" i="3"/>
  <c r="BS130" i="3"/>
  <c r="BR130" i="3"/>
  <c r="BQ130" i="3"/>
  <c r="BP130" i="3"/>
  <c r="BO130" i="3"/>
  <c r="BN130" i="3"/>
  <c r="BM130" i="3"/>
  <c r="BL130" i="3"/>
  <c r="BK130" i="3"/>
  <c r="BJ130" i="3"/>
  <c r="BI130" i="3"/>
  <c r="BH130" i="3"/>
  <c r="BG130" i="3"/>
  <c r="BF130" i="3"/>
  <c r="BE130" i="3"/>
  <c r="BD130" i="3"/>
  <c r="BC130" i="3"/>
  <c r="BA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G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G122" i="3"/>
  <c r="H122" i="3"/>
  <c r="BT121" i="3"/>
  <c r="BS121" i="3"/>
  <c r="BR121" i="3"/>
  <c r="BQ121" i="3"/>
  <c r="BP121" i="3"/>
  <c r="BO121" i="3"/>
  <c r="BN121" i="3"/>
  <c r="BM121" i="3"/>
  <c r="BL121" i="3"/>
  <c r="BK121" i="3"/>
  <c r="BJ121" i="3"/>
  <c r="BI121" i="3"/>
  <c r="BH121" i="3"/>
  <c r="BG121" i="3"/>
  <c r="BF121" i="3"/>
  <c r="BE121" i="3"/>
  <c r="BD121" i="3"/>
  <c r="BC121" i="3"/>
  <c r="BA121" i="3"/>
  <c r="AZ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L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c r="AZ278" i="3"/>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L274" i="3"/>
  <c r="AZ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c r="AZ272" i="3"/>
  <c r="BC272" i="3"/>
  <c r="BB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L267" i="3"/>
  <c r="BN267" i="3"/>
  <c r="BM267" i="3"/>
  <c r="BK267" i="3"/>
  <c r="BJ267" i="3"/>
  <c r="BI267" i="3"/>
  <c r="BH267" i="3"/>
  <c r="BG267" i="3"/>
  <c r="BF267" i="3"/>
  <c r="BE267" i="3"/>
  <c r="BD267" i="3"/>
  <c r="BC267" i="3"/>
  <c r="BA267" i="3"/>
  <c r="AZ267" i="3"/>
  <c r="BB267" i="3"/>
  <c r="AX267" i="3"/>
  <c r="AW267" i="3"/>
  <c r="AV267" i="3"/>
  <c r="AC267" i="3"/>
  <c r="H267" i="3"/>
  <c r="G267" i="3"/>
  <c r="BT266" i="3"/>
  <c r="BS266" i="3"/>
  <c r="BR266" i="3"/>
  <c r="BQ266" i="3"/>
  <c r="BP266" i="3"/>
  <c r="BO266" i="3"/>
  <c r="BN266" i="3"/>
  <c r="BL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L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L264" i="3"/>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G263" i="3"/>
  <c r="H263" i="3"/>
  <c r="BT262" i="3"/>
  <c r="BS262" i="3"/>
  <c r="BR262" i="3"/>
  <c r="BQ262" i="3"/>
  <c r="BP262" i="3"/>
  <c r="BO262" i="3"/>
  <c r="BL262" i="3"/>
  <c r="BN262" i="3"/>
  <c r="BM262" i="3"/>
  <c r="BK262" i="3"/>
  <c r="BJ262" i="3"/>
  <c r="BI262" i="3"/>
  <c r="BH262" i="3"/>
  <c r="BG262" i="3"/>
  <c r="BF262" i="3"/>
  <c r="BE262" i="3"/>
  <c r="BD262" i="3"/>
  <c r="BC262" i="3"/>
  <c r="BA262" i="3"/>
  <c r="BB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c r="BC257" i="3"/>
  <c r="BB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G253" i="3"/>
  <c r="H253" i="3"/>
  <c r="BT252" i="3"/>
  <c r="BS252" i="3"/>
  <c r="BR252" i="3"/>
  <c r="BQ252" i="3"/>
  <c r="BP252" i="3"/>
  <c r="BO252" i="3"/>
  <c r="BN252" i="3"/>
  <c r="BM252" i="3"/>
  <c r="BL252" i="3"/>
  <c r="BK252" i="3"/>
  <c r="BJ252" i="3"/>
  <c r="BI252" i="3"/>
  <c r="BH252" i="3"/>
  <c r="BG252" i="3"/>
  <c r="BF252" i="3"/>
  <c r="BE252" i="3"/>
  <c r="BD252" i="3"/>
  <c r="BC252" i="3"/>
  <c r="BA252" i="3"/>
  <c r="AZ252" i="3"/>
  <c r="BB252" i="3"/>
  <c r="AX252" i="3"/>
  <c r="AW252" i="3"/>
  <c r="AV252" i="3"/>
  <c r="AC252" i="3"/>
  <c r="H252" i="3"/>
  <c r="BT251" i="3"/>
  <c r="BS251" i="3"/>
  <c r="BR251" i="3"/>
  <c r="BQ251" i="3"/>
  <c r="BP251" i="3"/>
  <c r="BO251" i="3"/>
  <c r="BN251" i="3"/>
  <c r="BL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L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L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c r="BC248" i="3"/>
  <c r="BB248" i="3"/>
  <c r="AX248" i="3"/>
  <c r="AW248" i="3"/>
  <c r="AV248" i="3"/>
  <c r="AC248" i="3"/>
  <c r="H248" i="3"/>
  <c r="G248" i="3"/>
  <c r="BT247" i="3"/>
  <c r="BS247" i="3"/>
  <c r="BR247" i="3"/>
  <c r="BQ247" i="3"/>
  <c r="BP247" i="3"/>
  <c r="BO247" i="3"/>
  <c r="BN247" i="3"/>
  <c r="BL247" i="3"/>
  <c r="AZ247" i="3"/>
  <c r="BM247" i="3"/>
  <c r="BK247" i="3"/>
  <c r="BJ247" i="3"/>
  <c r="BI247" i="3"/>
  <c r="BH247" i="3"/>
  <c r="BG247" i="3"/>
  <c r="BF247" i="3"/>
  <c r="BE247" i="3"/>
  <c r="BD247" i="3"/>
  <c r="BC247" i="3"/>
  <c r="BB247" i="3"/>
  <c r="BA247" i="3"/>
  <c r="AX247" i="3"/>
  <c r="AW247" i="3"/>
  <c r="AV247" i="3"/>
  <c r="AC247" i="3"/>
  <c r="G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c r="BC245" i="3"/>
  <c r="BB245" i="3"/>
  <c r="AX245" i="3"/>
  <c r="AW245" i="3"/>
  <c r="AV245" i="3"/>
  <c r="AC245" i="3"/>
  <c r="H245" i="3"/>
  <c r="G245" i="3"/>
  <c r="BT244" i="3"/>
  <c r="BS244" i="3"/>
  <c r="BR244" i="3"/>
  <c r="BQ244" i="3"/>
  <c r="BP244" i="3"/>
  <c r="BO244" i="3"/>
  <c r="BN244" i="3"/>
  <c r="BL244" i="3"/>
  <c r="AZ244" i="3"/>
  <c r="BM244" i="3"/>
  <c r="BK244" i="3"/>
  <c r="BJ244" i="3"/>
  <c r="BI244" i="3"/>
  <c r="BH244" i="3"/>
  <c r="BG244" i="3"/>
  <c r="BF244" i="3"/>
  <c r="BE244" i="3"/>
  <c r="BD244" i="3"/>
  <c r="BC244" i="3"/>
  <c r="BB244" i="3"/>
  <c r="BA244" i="3"/>
  <c r="AX244" i="3"/>
  <c r="AW244" i="3"/>
  <c r="AV244" i="3"/>
  <c r="AC244" i="3"/>
  <c r="G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c r="AZ242" i="3"/>
  <c r="BC242" i="3"/>
  <c r="BB242" i="3"/>
  <c r="AX242" i="3"/>
  <c r="AW242" i="3"/>
  <c r="AV242" i="3"/>
  <c r="AC242" i="3"/>
  <c r="H242" i="3"/>
  <c r="BT241" i="3"/>
  <c r="BS241" i="3"/>
  <c r="BR241" i="3"/>
  <c r="BQ241" i="3"/>
  <c r="BP241" i="3"/>
  <c r="BO241" i="3"/>
  <c r="BN241" i="3"/>
  <c r="BL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G238" i="3"/>
  <c r="H238" i="3"/>
  <c r="BT237" i="3"/>
  <c r="BS237" i="3"/>
  <c r="BR237" i="3"/>
  <c r="BQ237" i="3"/>
  <c r="BP237" i="3"/>
  <c r="BO237" i="3"/>
  <c r="BL237" i="3"/>
  <c r="BN237" i="3"/>
  <c r="BM237" i="3"/>
  <c r="BK237" i="3"/>
  <c r="BJ237" i="3"/>
  <c r="BI237" i="3"/>
  <c r="BH237" i="3"/>
  <c r="BG237" i="3"/>
  <c r="BF237" i="3"/>
  <c r="BE237" i="3"/>
  <c r="BD237" i="3"/>
  <c r="BC237" i="3"/>
  <c r="BA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L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L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c r="BC233" i="3"/>
  <c r="BB233" i="3"/>
  <c r="AX233" i="3"/>
  <c r="AW233" i="3"/>
  <c r="AV233" i="3"/>
  <c r="AC233" i="3"/>
  <c r="H233" i="3"/>
  <c r="G233" i="3"/>
  <c r="BT232" i="3"/>
  <c r="BS232" i="3"/>
  <c r="BR232" i="3"/>
  <c r="BQ232" i="3"/>
  <c r="BP232" i="3"/>
  <c r="BO232" i="3"/>
  <c r="BN232" i="3"/>
  <c r="BL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L231" i="3"/>
  <c r="BM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L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c r="AZ228" i="3"/>
  <c r="BC228" i="3"/>
  <c r="BB228" i="3"/>
  <c r="AX228" i="3"/>
  <c r="AW228" i="3"/>
  <c r="AV228" i="3"/>
  <c r="AC228" i="3"/>
  <c r="G228" i="3"/>
  <c r="H228" i="3"/>
  <c r="BT227" i="3"/>
  <c r="BS227" i="3"/>
  <c r="BR227" i="3"/>
  <c r="BQ227" i="3"/>
  <c r="BP227" i="3"/>
  <c r="BO227" i="3"/>
  <c r="BL227" i="3"/>
  <c r="BN227" i="3"/>
  <c r="BM227" i="3"/>
  <c r="BK227" i="3"/>
  <c r="BJ227" i="3"/>
  <c r="BI227" i="3"/>
  <c r="BH227" i="3"/>
  <c r="BG227" i="3"/>
  <c r="BF227" i="3"/>
  <c r="BE227" i="3"/>
  <c r="BD227" i="3"/>
  <c r="BC227" i="3"/>
  <c r="BA227" i="3"/>
  <c r="BB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L225" i="3"/>
  <c r="BM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G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c r="BC222" i="3"/>
  <c r="BB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c r="AZ220" i="3"/>
  <c r="BC220" i="3"/>
  <c r="BB220" i="3"/>
  <c r="AX220" i="3"/>
  <c r="AW220" i="3"/>
  <c r="AV220" i="3"/>
  <c r="AC220" i="3"/>
  <c r="G220" i="3"/>
  <c r="H220" i="3"/>
  <c r="BT219" i="3"/>
  <c r="BS219" i="3"/>
  <c r="BR219" i="3"/>
  <c r="BQ219" i="3"/>
  <c r="BP219" i="3"/>
  <c r="BO219" i="3"/>
  <c r="BL219" i="3"/>
  <c r="BN219" i="3"/>
  <c r="BM219" i="3"/>
  <c r="BK219" i="3"/>
  <c r="BJ219" i="3"/>
  <c r="BI219" i="3"/>
  <c r="BH219" i="3"/>
  <c r="BG219" i="3"/>
  <c r="BF219" i="3"/>
  <c r="BE219" i="3"/>
  <c r="BD219" i="3"/>
  <c r="BC219" i="3"/>
  <c r="BA219" i="3"/>
  <c r="AZ219" i="3"/>
  <c r="BB219" i="3"/>
  <c r="AX219" i="3"/>
  <c r="AW219" i="3"/>
  <c r="AV219" i="3"/>
  <c r="AC219" i="3"/>
  <c r="H219" i="3"/>
  <c r="G219" i="3"/>
  <c r="BT218" i="3"/>
  <c r="BS218" i="3"/>
  <c r="BR218" i="3"/>
  <c r="BQ218" i="3"/>
  <c r="BP218" i="3"/>
  <c r="BO218" i="3"/>
  <c r="BN218" i="3"/>
  <c r="BL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c r="AZ217" i="3"/>
  <c r="BC217" i="3"/>
  <c r="BB217" i="3"/>
  <c r="AX217" i="3"/>
  <c r="AW217" i="3"/>
  <c r="AV217" i="3"/>
  <c r="AC217" i="3"/>
  <c r="G217" i="3"/>
  <c r="H217" i="3"/>
  <c r="BT216" i="3"/>
  <c r="BS216" i="3"/>
  <c r="BR216" i="3"/>
  <c r="BQ216" i="3"/>
  <c r="BP216" i="3"/>
  <c r="BO216" i="3"/>
  <c r="BL216" i="3"/>
  <c r="BN216" i="3"/>
  <c r="BM216" i="3"/>
  <c r="BK216" i="3"/>
  <c r="BJ216" i="3"/>
  <c r="BI216" i="3"/>
  <c r="BH216" i="3"/>
  <c r="BG216" i="3"/>
  <c r="BF216" i="3"/>
  <c r="BE216" i="3"/>
  <c r="BD216" i="3"/>
  <c r="BC216" i="3"/>
  <c r="BA216" i="3"/>
  <c r="BB216" i="3"/>
  <c r="AX216" i="3"/>
  <c r="AW216" i="3"/>
  <c r="AV216" i="3"/>
  <c r="AC216" i="3"/>
  <c r="H216" i="3"/>
  <c r="G216" i="3"/>
  <c r="BT215" i="3"/>
  <c r="BS215" i="3"/>
  <c r="BR215" i="3"/>
  <c r="BQ215" i="3"/>
  <c r="BP215" i="3"/>
  <c r="BO215" i="3"/>
  <c r="BN215" i="3"/>
  <c r="BL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c r="BC214" i="3"/>
  <c r="BB214" i="3"/>
  <c r="AX214" i="3"/>
  <c r="AW214" i="3"/>
  <c r="AV214" i="3"/>
  <c r="AC214" i="3"/>
  <c r="H214" i="3"/>
  <c r="G214" i="3"/>
  <c r="BT213" i="3"/>
  <c r="BS213" i="3"/>
  <c r="BR213" i="3"/>
  <c r="BQ213" i="3"/>
  <c r="BP213" i="3"/>
  <c r="BO213" i="3"/>
  <c r="BN213" i="3"/>
  <c r="BL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c r="AZ212" i="3"/>
  <c r="BC212" i="3"/>
  <c r="BB212" i="3"/>
  <c r="AX212" i="3"/>
  <c r="AW212" i="3"/>
  <c r="AV212" i="3"/>
  <c r="AC212" i="3"/>
  <c r="G212" i="3"/>
  <c r="H212" i="3"/>
  <c r="BT211" i="3"/>
  <c r="BS211" i="3"/>
  <c r="BR211" i="3"/>
  <c r="BQ211" i="3"/>
  <c r="BP211" i="3"/>
  <c r="BO211" i="3"/>
  <c r="BL211" i="3"/>
  <c r="BN211" i="3"/>
  <c r="BM211" i="3"/>
  <c r="BK211" i="3"/>
  <c r="BJ211" i="3"/>
  <c r="BI211" i="3"/>
  <c r="BH211" i="3"/>
  <c r="BG211" i="3"/>
  <c r="BF211" i="3"/>
  <c r="BE211" i="3"/>
  <c r="BD211" i="3"/>
  <c r="BC211" i="3"/>
  <c r="BA211" i="3"/>
  <c r="AZ211" i="3"/>
  <c r="BB211" i="3"/>
  <c r="AX211" i="3"/>
  <c r="AW211" i="3"/>
  <c r="AV211" i="3"/>
  <c r="AC211" i="3"/>
  <c r="H211" i="3"/>
  <c r="G211" i="3"/>
  <c r="BT210" i="3"/>
  <c r="BS210" i="3"/>
  <c r="BR210" i="3"/>
  <c r="BQ210" i="3"/>
  <c r="BP210" i="3"/>
  <c r="BO210" i="3"/>
  <c r="BN210" i="3"/>
  <c r="BL210" i="3"/>
  <c r="BM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G209" i="3"/>
  <c r="H209" i="3"/>
  <c r="BT208" i="3"/>
  <c r="BS208" i="3"/>
  <c r="BR208" i="3"/>
  <c r="BQ208" i="3"/>
  <c r="BP208" i="3"/>
  <c r="BO208" i="3"/>
  <c r="BL208" i="3"/>
  <c r="BN208" i="3"/>
  <c r="BM208" i="3"/>
  <c r="BK208" i="3"/>
  <c r="BJ208" i="3"/>
  <c r="BI208" i="3"/>
  <c r="BH208" i="3"/>
  <c r="BG208" i="3"/>
  <c r="BF208" i="3"/>
  <c r="BE208" i="3"/>
  <c r="BD208" i="3"/>
  <c r="BC208" i="3"/>
  <c r="BA208" i="3"/>
  <c r="BB208" i="3"/>
  <c r="AX208" i="3"/>
  <c r="AW208" i="3"/>
  <c r="AV208" i="3"/>
  <c r="AC208" i="3"/>
  <c r="H208" i="3"/>
  <c r="G208" i="3"/>
  <c r="BT397" i="3"/>
  <c r="BS397" i="3"/>
  <c r="BR397" i="3"/>
  <c r="BQ397" i="3"/>
  <c r="BP397" i="3"/>
  <c r="BO397" i="3"/>
  <c r="BN397" i="3"/>
  <c r="BL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G396" i="3"/>
  <c r="H396" i="3"/>
  <c r="BT395" i="3"/>
  <c r="BS395" i="3"/>
  <c r="BR395" i="3"/>
  <c r="BQ395" i="3"/>
  <c r="BP395" i="3"/>
  <c r="BO395" i="3"/>
  <c r="BL395" i="3"/>
  <c r="BN395" i="3"/>
  <c r="BM395" i="3"/>
  <c r="BK395" i="3"/>
  <c r="BJ395" i="3"/>
  <c r="BI395" i="3"/>
  <c r="BH395" i="3"/>
  <c r="BG395" i="3"/>
  <c r="BF395" i="3"/>
  <c r="BE395" i="3"/>
  <c r="BD395" i="3"/>
  <c r="BC395" i="3"/>
  <c r="BA395" i="3"/>
  <c r="AZ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c r="H387" i="3"/>
  <c r="BT386" i="3"/>
  <c r="BS386" i="3"/>
  <c r="BR386" i="3"/>
  <c r="BQ386" i="3"/>
  <c r="BP386" i="3"/>
  <c r="BO386" i="3"/>
  <c r="BL386" i="3"/>
  <c r="BN386" i="3"/>
  <c r="BM386" i="3"/>
  <c r="BK386" i="3"/>
  <c r="BJ386" i="3"/>
  <c r="BI386" i="3"/>
  <c r="BH386" i="3"/>
  <c r="BG386" i="3"/>
  <c r="BF386" i="3"/>
  <c r="BE386" i="3"/>
  <c r="BD386" i="3"/>
  <c r="BC386" i="3"/>
  <c r="BA386" i="3"/>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c r="AZ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L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L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L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A366" i="3"/>
  <c r="BB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L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c r="H351" i="3"/>
  <c r="BT350" i="3"/>
  <c r="BS350" i="3"/>
  <c r="BR350" i="3"/>
  <c r="BQ350" i="3"/>
  <c r="BP350" i="3"/>
  <c r="BO350" i="3"/>
  <c r="BL350" i="3"/>
  <c r="BN350" i="3"/>
  <c r="BM350" i="3"/>
  <c r="BK350" i="3"/>
  <c r="BJ350" i="3"/>
  <c r="BI350" i="3"/>
  <c r="BH350" i="3"/>
  <c r="BG350" i="3"/>
  <c r="BF350" i="3"/>
  <c r="BE350" i="3"/>
  <c r="BD350" i="3"/>
  <c r="BC350" i="3"/>
  <c r="BA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A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L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L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L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A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A303" i="3"/>
  <c r="BC303" i="3"/>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A491" i="3"/>
  <c r="BC491" i="3"/>
  <c r="BB491" i="3"/>
  <c r="AX491" i="3"/>
  <c r="AW491" i="3"/>
  <c r="AV491" i="3"/>
  <c r="AC491" i="3"/>
  <c r="H491" i="3"/>
  <c r="G491" i="3"/>
  <c r="BT490" i="3"/>
  <c r="BS490" i="3"/>
  <c r="BR490" i="3"/>
  <c r="BQ490" i="3"/>
  <c r="BP490" i="3"/>
  <c r="BO490" i="3"/>
  <c r="BN490" i="3"/>
  <c r="BL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A489" i="3"/>
  <c r="BC489" i="3"/>
  <c r="BB489" i="3"/>
  <c r="AZ489" i="3"/>
  <c r="AX489" i="3"/>
  <c r="AW489" i="3"/>
  <c r="AV489" i="3"/>
  <c r="AC489" i="3"/>
  <c r="G489" i="3"/>
  <c r="H489" i="3"/>
  <c r="BT488" i="3"/>
  <c r="BS488" i="3"/>
  <c r="BR488" i="3"/>
  <c r="BQ488" i="3"/>
  <c r="BP488" i="3"/>
  <c r="BO488" i="3"/>
  <c r="BL488" i="3"/>
  <c r="BN488" i="3"/>
  <c r="BM488" i="3"/>
  <c r="BK488" i="3"/>
  <c r="BJ488" i="3"/>
  <c r="BI488" i="3"/>
  <c r="BH488" i="3"/>
  <c r="BG488" i="3"/>
  <c r="BF488" i="3"/>
  <c r="BE488" i="3"/>
  <c r="BD488" i="3"/>
  <c r="BC488" i="3"/>
  <c r="BA488" i="3"/>
  <c r="AZ488" i="3"/>
  <c r="BB488" i="3"/>
  <c r="AX488" i="3"/>
  <c r="AW488" i="3"/>
  <c r="AV488" i="3"/>
  <c r="AC488" i="3"/>
  <c r="H488" i="3"/>
  <c r="G488" i="3"/>
  <c r="BT487" i="3"/>
  <c r="BS487" i="3"/>
  <c r="BR487" i="3"/>
  <c r="BQ487" i="3"/>
  <c r="BP487" i="3"/>
  <c r="BO487" i="3"/>
  <c r="BN487" i="3"/>
  <c r="BL487" i="3"/>
  <c r="BM487" i="3"/>
  <c r="BK487" i="3"/>
  <c r="BJ487" i="3"/>
  <c r="BI487" i="3"/>
  <c r="BH487" i="3"/>
  <c r="BG487" i="3"/>
  <c r="BF487" i="3"/>
  <c r="BE487" i="3"/>
  <c r="BD487" i="3"/>
  <c r="BC487" i="3"/>
  <c r="BA487" i="3"/>
  <c r="BB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A485" i="3"/>
  <c r="AZ485" i="3"/>
  <c r="BC485" i="3"/>
  <c r="BB485" i="3"/>
  <c r="AX485" i="3"/>
  <c r="AW485" i="3"/>
  <c r="AV485" i="3"/>
  <c r="AC485" i="3"/>
  <c r="G485" i="3"/>
  <c r="H485" i="3"/>
  <c r="BT484" i="3"/>
  <c r="BS484" i="3"/>
  <c r="BR484" i="3"/>
  <c r="BQ484" i="3"/>
  <c r="BP484" i="3"/>
  <c r="BO484" i="3"/>
  <c r="BL484" i="3"/>
  <c r="BN484" i="3"/>
  <c r="BM484" i="3"/>
  <c r="BK484" i="3"/>
  <c r="BJ484" i="3"/>
  <c r="BI484" i="3"/>
  <c r="BH484" i="3"/>
  <c r="BG484" i="3"/>
  <c r="BF484" i="3"/>
  <c r="BE484" i="3"/>
  <c r="BD484" i="3"/>
  <c r="BC484" i="3"/>
  <c r="BA484" i="3"/>
  <c r="BB484" i="3"/>
  <c r="AX484" i="3"/>
  <c r="AW484" i="3"/>
  <c r="AV484" i="3"/>
  <c r="AC484" i="3"/>
  <c r="H484" i="3"/>
  <c r="G484" i="3"/>
  <c r="BT483" i="3"/>
  <c r="BS483" i="3"/>
  <c r="BR483" i="3"/>
  <c r="BQ483" i="3"/>
  <c r="BP483" i="3"/>
  <c r="BO483" i="3"/>
  <c r="BN483" i="3"/>
  <c r="BL483" i="3"/>
  <c r="BM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G481" i="3"/>
  <c r="H481" i="3"/>
  <c r="BT480" i="3"/>
  <c r="BS480" i="3"/>
  <c r="BR480" i="3"/>
  <c r="BQ480" i="3"/>
  <c r="BP480" i="3"/>
  <c r="BO480" i="3"/>
  <c r="BL480" i="3"/>
  <c r="BN480" i="3"/>
  <c r="BM480" i="3"/>
  <c r="BK480" i="3"/>
  <c r="BJ480" i="3"/>
  <c r="BI480" i="3"/>
  <c r="BH480" i="3"/>
  <c r="BG480" i="3"/>
  <c r="BF480" i="3"/>
  <c r="BE480" i="3"/>
  <c r="BD480" i="3"/>
  <c r="BC480" i="3"/>
  <c r="BA480" i="3"/>
  <c r="AZ480" i="3"/>
  <c r="BB480" i="3"/>
  <c r="AX480" i="3"/>
  <c r="AW480" i="3"/>
  <c r="AV480" i="3"/>
  <c r="AC480" i="3"/>
  <c r="H480" i="3"/>
  <c r="G480" i="3"/>
  <c r="BT479" i="3"/>
  <c r="BS479" i="3"/>
  <c r="BR479" i="3"/>
  <c r="BQ479" i="3"/>
  <c r="BP479" i="3"/>
  <c r="BO479" i="3"/>
  <c r="BN479" i="3"/>
  <c r="BL479" i="3"/>
  <c r="BM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G477" i="3"/>
  <c r="H477" i="3"/>
  <c r="BT476" i="3"/>
  <c r="BS476" i="3"/>
  <c r="BR476" i="3"/>
  <c r="BQ476" i="3"/>
  <c r="BP476" i="3"/>
  <c r="BO476" i="3"/>
  <c r="BL476" i="3"/>
  <c r="BN476" i="3"/>
  <c r="BM476" i="3"/>
  <c r="BK476" i="3"/>
  <c r="BJ476" i="3"/>
  <c r="BI476" i="3"/>
  <c r="BH476" i="3"/>
  <c r="BG476" i="3"/>
  <c r="BF476" i="3"/>
  <c r="BE476" i="3"/>
  <c r="BD476" i="3"/>
  <c r="BC476" i="3"/>
  <c r="BA476" i="3"/>
  <c r="BB476" i="3"/>
  <c r="AX476" i="3"/>
  <c r="AW476" i="3"/>
  <c r="AV476" i="3"/>
  <c r="AC476" i="3"/>
  <c r="H476" i="3"/>
  <c r="G476" i="3"/>
  <c r="BT475" i="3"/>
  <c r="BS475" i="3"/>
  <c r="BR475" i="3"/>
  <c r="BQ475" i="3"/>
  <c r="BP475" i="3"/>
  <c r="BO475" i="3"/>
  <c r="BN475" i="3"/>
  <c r="BL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A473" i="3"/>
  <c r="BC473" i="3"/>
  <c r="BB473" i="3"/>
  <c r="AX473" i="3"/>
  <c r="AW473" i="3"/>
  <c r="AV473" i="3"/>
  <c r="AC473" i="3"/>
  <c r="H473" i="3"/>
  <c r="G473" i="3"/>
  <c r="BT472" i="3"/>
  <c r="BS472" i="3"/>
  <c r="BR472" i="3"/>
  <c r="BQ472" i="3"/>
  <c r="BP472" i="3"/>
  <c r="BO472" i="3"/>
  <c r="BN472" i="3"/>
  <c r="BL472" i="3"/>
  <c r="BM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A470" i="3"/>
  <c r="AZ470" i="3"/>
  <c r="BC470" i="3"/>
  <c r="BB470" i="3"/>
  <c r="AX470" i="3"/>
  <c r="AW470" i="3"/>
  <c r="AV470" i="3"/>
  <c r="AC470" i="3"/>
  <c r="G470" i="3"/>
  <c r="H470" i="3"/>
  <c r="BT469" i="3"/>
  <c r="BS469" i="3"/>
  <c r="BR469" i="3"/>
  <c r="BQ469" i="3"/>
  <c r="BP469" i="3"/>
  <c r="BO469" i="3"/>
  <c r="BL469" i="3"/>
  <c r="BN469" i="3"/>
  <c r="BM469" i="3"/>
  <c r="BK469" i="3"/>
  <c r="BJ469" i="3"/>
  <c r="BI469" i="3"/>
  <c r="BH469" i="3"/>
  <c r="BG469" i="3"/>
  <c r="BF469" i="3"/>
  <c r="BE469" i="3"/>
  <c r="BD469" i="3"/>
  <c r="BA469" i="3"/>
  <c r="AZ469" i="3"/>
  <c r="BC469" i="3"/>
  <c r="BB469" i="3"/>
  <c r="AX469" i="3"/>
  <c r="AW469" i="3"/>
  <c r="AV469" i="3"/>
  <c r="AC469" i="3"/>
  <c r="H469" i="3"/>
  <c r="G469" i="3"/>
  <c r="BT468" i="3"/>
  <c r="BS468" i="3"/>
  <c r="BR468" i="3"/>
  <c r="BQ468" i="3"/>
  <c r="BP468" i="3"/>
  <c r="BO468" i="3"/>
  <c r="BN468" i="3"/>
  <c r="BL468" i="3"/>
  <c r="BM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A466" i="3"/>
  <c r="AZ466" i="3"/>
  <c r="BC466" i="3"/>
  <c r="BB466" i="3"/>
  <c r="AX466" i="3"/>
  <c r="AW466" i="3"/>
  <c r="AV466" i="3"/>
  <c r="AC466" i="3"/>
  <c r="G466" i="3"/>
  <c r="H466" i="3"/>
  <c r="BT465" i="3"/>
  <c r="BS465" i="3"/>
  <c r="BR465" i="3"/>
  <c r="BQ465" i="3"/>
  <c r="BP465" i="3"/>
  <c r="BO465" i="3"/>
  <c r="BL465" i="3"/>
  <c r="BN465" i="3"/>
  <c r="BM465" i="3"/>
  <c r="BK465" i="3"/>
  <c r="BJ465" i="3"/>
  <c r="BI465" i="3"/>
  <c r="BH465" i="3"/>
  <c r="BG465" i="3"/>
  <c r="BF465" i="3"/>
  <c r="BE465" i="3"/>
  <c r="BD465" i="3"/>
  <c r="BC465" i="3"/>
  <c r="BA465" i="3"/>
  <c r="BB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A463" i="3"/>
  <c r="AZ463" i="3"/>
  <c r="BC463" i="3"/>
  <c r="BB463" i="3"/>
  <c r="AX463" i="3"/>
  <c r="AW463" i="3"/>
  <c r="AV463" i="3"/>
  <c r="AC463" i="3"/>
  <c r="G463" i="3"/>
  <c r="H463" i="3"/>
  <c r="BT462" i="3"/>
  <c r="BS462" i="3"/>
  <c r="BR462" i="3"/>
  <c r="BQ462" i="3"/>
  <c r="BP462" i="3"/>
  <c r="BO462" i="3"/>
  <c r="BL462" i="3"/>
  <c r="BN462" i="3"/>
  <c r="BM462" i="3"/>
  <c r="BK462" i="3"/>
  <c r="BJ462" i="3"/>
  <c r="BI462" i="3"/>
  <c r="BH462" i="3"/>
  <c r="BG462" i="3"/>
  <c r="BF462" i="3"/>
  <c r="BE462" i="3"/>
  <c r="BD462" i="3"/>
  <c r="BA462" i="3"/>
  <c r="AZ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G459" i="3"/>
  <c r="H459" i="3"/>
  <c r="BT458" i="3"/>
  <c r="BS458" i="3"/>
  <c r="BR458" i="3"/>
  <c r="BQ458" i="3"/>
  <c r="BP458" i="3"/>
  <c r="BO458" i="3"/>
  <c r="BL458" i="3"/>
  <c r="BN458" i="3"/>
  <c r="BM458" i="3"/>
  <c r="BK458" i="3"/>
  <c r="BJ458" i="3"/>
  <c r="BI458" i="3"/>
  <c r="BH458" i="3"/>
  <c r="BG458" i="3"/>
  <c r="BF458" i="3"/>
  <c r="BE458" i="3"/>
  <c r="BD458" i="3"/>
  <c r="BA458" i="3"/>
  <c r="BC458" i="3"/>
  <c r="BB458" i="3"/>
  <c r="AX458" i="3"/>
  <c r="AW458" i="3"/>
  <c r="AV458" i="3"/>
  <c r="AC458" i="3"/>
  <c r="H458" i="3"/>
  <c r="G458" i="3"/>
  <c r="BT457" i="3"/>
  <c r="BS457" i="3"/>
  <c r="BR457" i="3"/>
  <c r="BQ457" i="3"/>
  <c r="BP457" i="3"/>
  <c r="BO457" i="3"/>
  <c r="BN457" i="3"/>
  <c r="BL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G456" i="3"/>
  <c r="H456" i="3"/>
  <c r="BT455" i="3"/>
  <c r="BS455" i="3"/>
  <c r="BR455" i="3"/>
  <c r="BQ455" i="3"/>
  <c r="BP455" i="3"/>
  <c r="BO455" i="3"/>
  <c r="BL455" i="3"/>
  <c r="BN455" i="3"/>
  <c r="BM455" i="3"/>
  <c r="BK455" i="3"/>
  <c r="BJ455" i="3"/>
  <c r="BI455" i="3"/>
  <c r="BH455" i="3"/>
  <c r="BG455" i="3"/>
  <c r="BF455" i="3"/>
  <c r="BE455" i="3"/>
  <c r="BD455" i="3"/>
  <c r="BC455" i="3"/>
  <c r="BA455" i="3"/>
  <c r="AZ455" i="3"/>
  <c r="BB455" i="3"/>
  <c r="AX455" i="3"/>
  <c r="AW455" i="3"/>
  <c r="AV455" i="3"/>
  <c r="AC455" i="3"/>
  <c r="H455" i="3"/>
  <c r="G455" i="3"/>
  <c r="BT454" i="3"/>
  <c r="BS454" i="3"/>
  <c r="BR454" i="3"/>
  <c r="BQ454" i="3"/>
  <c r="BP454" i="3"/>
  <c r="BO454" i="3"/>
  <c r="BN454" i="3"/>
  <c r="BL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A452" i="3"/>
  <c r="AZ452" i="3"/>
  <c r="BC452" i="3"/>
  <c r="BB452" i="3"/>
  <c r="AX452" i="3"/>
  <c r="AW452" i="3"/>
  <c r="AV452" i="3"/>
  <c r="AC452" i="3"/>
  <c r="G452" i="3"/>
  <c r="H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BT450" i="3"/>
  <c r="BS450" i="3"/>
  <c r="BR450" i="3"/>
  <c r="BQ450" i="3"/>
  <c r="BP450" i="3"/>
  <c r="BO450" i="3"/>
  <c r="BN450" i="3"/>
  <c r="BL450" i="3"/>
  <c r="BM450" i="3"/>
  <c r="BK450" i="3"/>
  <c r="BJ450" i="3"/>
  <c r="BI450" i="3"/>
  <c r="BH450" i="3"/>
  <c r="BG450" i="3"/>
  <c r="BF450" i="3"/>
  <c r="BE450" i="3"/>
  <c r="BD450" i="3"/>
  <c r="BC450" i="3"/>
  <c r="BA450" i="3"/>
  <c r="AZ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A448" i="3"/>
  <c r="AZ448" i="3"/>
  <c r="BC448" i="3"/>
  <c r="BB448" i="3"/>
  <c r="AX448" i="3"/>
  <c r="AW448" i="3"/>
  <c r="AV448" i="3"/>
  <c r="AC448" i="3"/>
  <c r="G448" i="3"/>
  <c r="H448" i="3"/>
  <c r="BT447" i="3"/>
  <c r="BS447" i="3"/>
  <c r="BR447" i="3"/>
  <c r="BQ447" i="3"/>
  <c r="BP447" i="3"/>
  <c r="BO447" i="3"/>
  <c r="BL447" i="3"/>
  <c r="BN447" i="3"/>
  <c r="BM447" i="3"/>
  <c r="BK447" i="3"/>
  <c r="BJ447" i="3"/>
  <c r="BI447" i="3"/>
  <c r="BH447" i="3"/>
  <c r="BG447" i="3"/>
  <c r="BF447" i="3"/>
  <c r="BE447" i="3"/>
  <c r="BD447" i="3"/>
  <c r="BC447" i="3"/>
  <c r="BA447" i="3"/>
  <c r="AZ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A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G444" i="3"/>
  <c r="H444" i="3"/>
  <c r="BT443" i="3"/>
  <c r="BS443" i="3"/>
  <c r="BR443" i="3"/>
  <c r="BQ443" i="3"/>
  <c r="BP443" i="3"/>
  <c r="BO443" i="3"/>
  <c r="BL443" i="3"/>
  <c r="BN443" i="3"/>
  <c r="BM443" i="3"/>
  <c r="BK443" i="3"/>
  <c r="BJ443" i="3"/>
  <c r="BI443" i="3"/>
  <c r="BH443" i="3"/>
  <c r="BG443" i="3"/>
  <c r="BF443" i="3"/>
  <c r="BE443" i="3"/>
  <c r="BD443" i="3"/>
  <c r="BA443" i="3"/>
  <c r="BC443" i="3"/>
  <c r="BB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G441" i="3"/>
  <c r="H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L434" i="3"/>
  <c r="BM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c r="AZ431" i="3"/>
  <c r="BC431" i="3"/>
  <c r="BB431" i="3"/>
  <c r="AX431" i="3"/>
  <c r="AW431" i="3"/>
  <c r="AV431" i="3"/>
  <c r="AC431" i="3"/>
  <c r="G431" i="3"/>
  <c r="H431" i="3"/>
  <c r="BT430" i="3"/>
  <c r="BS430" i="3"/>
  <c r="BR430" i="3"/>
  <c r="BQ430" i="3"/>
  <c r="BP430" i="3"/>
  <c r="BO430" i="3"/>
  <c r="BL430" i="3"/>
  <c r="BN430" i="3"/>
  <c r="BM430" i="3"/>
  <c r="BK430" i="3"/>
  <c r="BJ430" i="3"/>
  <c r="BI430" i="3"/>
  <c r="BH430" i="3"/>
  <c r="BG430" i="3"/>
  <c r="BF430" i="3"/>
  <c r="BE430" i="3"/>
  <c r="BD430" i="3"/>
  <c r="BC430" i="3"/>
  <c r="BA430" i="3"/>
  <c r="AZ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G428" i="3"/>
  <c r="H428" i="3"/>
  <c r="BT427" i="3"/>
  <c r="BS427" i="3"/>
  <c r="BR427" i="3"/>
  <c r="BQ427" i="3"/>
  <c r="BP427" i="3"/>
  <c r="BO427" i="3"/>
  <c r="BN427" i="3"/>
  <c r="BM427" i="3"/>
  <c r="BL427" i="3"/>
  <c r="BK427" i="3"/>
  <c r="BJ427" i="3"/>
  <c r="BI427" i="3"/>
  <c r="BH427" i="3"/>
  <c r="BG427" i="3"/>
  <c r="BF427" i="3"/>
  <c r="BE427" i="3"/>
  <c r="BD427" i="3"/>
  <c r="BC427" i="3"/>
  <c r="BA427" i="3"/>
  <c r="AZ427" i="3"/>
  <c r="BB427" i="3"/>
  <c r="AX427" i="3"/>
  <c r="AW427" i="3"/>
  <c r="AV427" i="3"/>
  <c r="AC427" i="3"/>
  <c r="H427" i="3"/>
  <c r="BT426" i="3"/>
  <c r="BS426" i="3"/>
  <c r="BR426" i="3"/>
  <c r="BQ426" i="3"/>
  <c r="BP426" i="3"/>
  <c r="BO426" i="3"/>
  <c r="BN426" i="3"/>
  <c r="BL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L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L422" i="3"/>
  <c r="BM422" i="3"/>
  <c r="BK422" i="3"/>
  <c r="BJ422" i="3"/>
  <c r="BI422" i="3"/>
  <c r="BH422" i="3"/>
  <c r="BG422" i="3"/>
  <c r="BF422" i="3"/>
  <c r="BE422" i="3"/>
  <c r="BD422" i="3"/>
  <c r="BC422" i="3"/>
  <c r="BA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G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L411" i="3"/>
  <c r="BM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G409" i="3"/>
  <c r="H409" i="3"/>
  <c r="BT408" i="3"/>
  <c r="BS408" i="3"/>
  <c r="BR408" i="3"/>
  <c r="BQ408" i="3"/>
  <c r="BP408" i="3"/>
  <c r="BO408" i="3"/>
  <c r="BN408" i="3"/>
  <c r="BM408" i="3"/>
  <c r="BL408" i="3"/>
  <c r="BK408" i="3"/>
  <c r="BJ408" i="3"/>
  <c r="BI408" i="3"/>
  <c r="BH408" i="3"/>
  <c r="BG408" i="3"/>
  <c r="BF408" i="3"/>
  <c r="BE408" i="3"/>
  <c r="BD408" i="3"/>
  <c r="BC408" i="3"/>
  <c r="BA408" i="3"/>
  <c r="BB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G406" i="3"/>
  <c r="H406" i="3"/>
  <c r="BT405" i="3"/>
  <c r="BS405" i="3"/>
  <c r="BR405" i="3"/>
  <c r="BQ405" i="3"/>
  <c r="BP405" i="3"/>
  <c r="BO405" i="3"/>
  <c r="BN405" i="3"/>
  <c r="BM405" i="3"/>
  <c r="BL405" i="3"/>
  <c r="BK405" i="3"/>
  <c r="BJ405" i="3"/>
  <c r="BI405" i="3"/>
  <c r="BH405" i="3"/>
  <c r="BG405" i="3"/>
  <c r="BF405" i="3"/>
  <c r="BE405" i="3"/>
  <c r="BD405" i="3"/>
  <c r="BC405" i="3"/>
  <c r="BA405" i="3"/>
  <c r="AZ405" i="3"/>
  <c r="BB405" i="3"/>
  <c r="AX405" i="3"/>
  <c r="AW405" i="3"/>
  <c r="AV405" i="3"/>
  <c r="AC405" i="3"/>
  <c r="H405" i="3"/>
  <c r="G405" i="3"/>
  <c r="BT404" i="3"/>
  <c r="BS404" i="3"/>
  <c r="BR404" i="3"/>
  <c r="BQ404" i="3"/>
  <c r="BP404" i="3"/>
  <c r="BO404" i="3"/>
  <c r="BN404" i="3"/>
  <c r="BL404" i="3"/>
  <c r="BM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G402" i="3"/>
  <c r="H402" i="3"/>
  <c r="BT401" i="3"/>
  <c r="BS401" i="3"/>
  <c r="BR401" i="3"/>
  <c r="BQ401" i="3"/>
  <c r="BP401" i="3"/>
  <c r="BO401" i="3"/>
  <c r="BN401" i="3"/>
  <c r="BM401" i="3"/>
  <c r="BL401" i="3"/>
  <c r="BK401" i="3"/>
  <c r="BJ401" i="3"/>
  <c r="BI401" i="3"/>
  <c r="BH401" i="3"/>
  <c r="BG401" i="3"/>
  <c r="BF401" i="3"/>
  <c r="BE401" i="3"/>
  <c r="BD401" i="3"/>
  <c r="BC401" i="3"/>
  <c r="BA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G399" i="3"/>
  <c r="H399" i="3"/>
  <c r="BT398" i="3"/>
  <c r="BS398" i="3"/>
  <c r="BR398" i="3"/>
  <c r="BQ398" i="3"/>
  <c r="BP398" i="3"/>
  <c r="BO398" i="3"/>
  <c r="BN398" i="3"/>
  <c r="BM398" i="3"/>
  <c r="BL398" i="3"/>
  <c r="BK398" i="3"/>
  <c r="BJ398" i="3"/>
  <c r="BI398" i="3"/>
  <c r="BH398" i="3"/>
  <c r="BG398" i="3"/>
  <c r="BF398" i="3"/>
  <c r="BE398" i="3"/>
  <c r="BD398" i="3"/>
  <c r="BC398" i="3"/>
  <c r="BA398" i="3"/>
  <c r="BB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M5" i="3"/>
  <c r="A6" i="52"/>
  <c r="B57" i="72"/>
  <c r="K4" i="9"/>
  <c r="L22" i="4"/>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G7" i="1"/>
  <c r="C15" i="4"/>
  <c r="F6" i="1"/>
  <c r="G6" i="1"/>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C36" i="68"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5" i="3"/>
  <c r="G29" i="6"/>
  <c r="BN14" i="3"/>
  <c r="BN15" i="3"/>
  <c r="BN16" i="3"/>
  <c r="BL16" i="3"/>
  <c r="BN17" i="3"/>
  <c r="BP13" i="3"/>
  <c r="BP14" i="3"/>
  <c r="BP15" i="3"/>
  <c r="BP16" i="3"/>
  <c r="BP17" i="3"/>
  <c r="E19" i="6"/>
  <c r="E20" i="6"/>
  <c r="E21" i="6"/>
  <c r="K8" i="1"/>
  <c r="M8" i="1"/>
  <c r="F23" i="15"/>
  <c r="D24" i="15"/>
  <c r="E22" i="6"/>
  <c r="E23" i="6"/>
  <c r="K10" i="1"/>
  <c r="M10" i="1"/>
  <c r="O10" i="1"/>
  <c r="P10" i="1"/>
  <c r="E24" i="6"/>
  <c r="E25" i="6"/>
  <c r="E26" i="6"/>
  <c r="BB13" i="3"/>
  <c r="BC13" i="3"/>
  <c r="BD13" i="3"/>
  <c r="BE13" i="3"/>
  <c r="BF13" i="3"/>
  <c r="BG13" i="3"/>
  <c r="BH13" i="3"/>
  <c r="BI13" i="3"/>
  <c r="BJ13" i="3"/>
  <c r="BJ5"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A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L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L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A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A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A517" i="3"/>
  <c r="BD517" i="3"/>
  <c r="BE517" i="3"/>
  <c r="BF517" i="3"/>
  <c r="BG517" i="3"/>
  <c r="BH517" i="3"/>
  <c r="BI517" i="3"/>
  <c r="BJ517" i="3"/>
  <c r="BK517" i="3"/>
  <c r="BM517" i="3"/>
  <c r="BN517" i="3"/>
  <c r="BO517" i="3"/>
  <c r="BP517" i="3"/>
  <c r="BR517" i="3"/>
  <c r="BS517" i="3"/>
  <c r="BT517" i="3"/>
  <c r="H518" i="3"/>
  <c r="AC518" i="3"/>
  <c r="BB518" i="3"/>
  <c r="BC518" i="3"/>
  <c r="BD518" i="3"/>
  <c r="BA518" i="3"/>
  <c r="BE518" i="3"/>
  <c r="BF518" i="3"/>
  <c r="BG518" i="3"/>
  <c r="BH518" i="3"/>
  <c r="BI518" i="3"/>
  <c r="BJ518" i="3"/>
  <c r="BK518" i="3"/>
  <c r="BM518" i="3"/>
  <c r="BL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L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A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L550" i="3"/>
  <c r="BT550" i="3"/>
  <c r="H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c r="AC570" i="3"/>
  <c r="BB570" i="3"/>
  <c r="BA570" i="3"/>
  <c r="BC570" i="3"/>
  <c r="BD570" i="3"/>
  <c r="BE570" i="3"/>
  <c r="BF570" i="3"/>
  <c r="BG570" i="3"/>
  <c r="BH570" i="3"/>
  <c r="BI570" i="3"/>
  <c r="BJ570" i="3"/>
  <c r="BK570" i="3"/>
  <c r="BM570" i="3"/>
  <c r="BN570" i="3"/>
  <c r="BO570" i="3"/>
  <c r="BP570" i="3"/>
  <c r="BQ570" i="3"/>
  <c r="BR570" i="3"/>
  <c r="BS570" i="3"/>
  <c r="BT570" i="3"/>
  <c r="H571" i="3"/>
  <c r="AC571" i="3"/>
  <c r="BB571" i="3"/>
  <c r="BA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c r="AC574" i="3"/>
  <c r="BB574" i="3"/>
  <c r="BC574" i="3"/>
  <c r="BD574" i="3"/>
  <c r="BA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L576" i="3"/>
  <c r="BO576" i="3"/>
  <c r="BP576" i="3"/>
  <c r="BQ576" i="3"/>
  <c r="BR576" i="3"/>
  <c r="BS576" i="3"/>
  <c r="BT576" i="3"/>
  <c r="H577" i="3"/>
  <c r="AC577" i="3"/>
  <c r="G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A578" i="3"/>
  <c r="BF578" i="3"/>
  <c r="BG578" i="3"/>
  <c r="BH578" i="3"/>
  <c r="BI578" i="3"/>
  <c r="BJ578" i="3"/>
  <c r="BK578" i="3"/>
  <c r="BM578" i="3"/>
  <c r="BN578" i="3"/>
  <c r="BL578" i="3"/>
  <c r="BO578" i="3"/>
  <c r="BP578" i="3"/>
  <c r="BQ578" i="3"/>
  <c r="BR578" i="3"/>
  <c r="BS578" i="3"/>
  <c r="BT578" i="3"/>
  <c r="H579" i="3"/>
  <c r="AC579" i="3"/>
  <c r="BB579" i="3"/>
  <c r="BC579" i="3"/>
  <c r="BD579" i="3"/>
  <c r="BE579" i="3"/>
  <c r="BA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W30" i="36"/>
  <c r="H30" i="36"/>
  <c r="F30" i="36"/>
  <c r="AA30" i="36"/>
  <c r="C26" i="35"/>
  <c r="C79" i="35"/>
  <c r="J31" i="35"/>
  <c r="W31" i="35"/>
  <c r="H31" i="35"/>
  <c r="F31" i="35"/>
  <c r="AA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J40" i="40"/>
  <c r="B118"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Q38" i="40"/>
  <c r="Z38" i="40"/>
  <c r="J38" i="40"/>
  <c r="AC38" i="40"/>
  <c r="H38" i="40"/>
  <c r="AB38" i="40"/>
  <c r="Q37" i="40"/>
  <c r="Z37" i="40"/>
  <c r="Q36" i="40"/>
  <c r="Z36" i="40"/>
  <c r="Q35" i="40"/>
  <c r="Z35" i="40"/>
  <c r="Q34" i="40"/>
  <c r="Z34" i="40"/>
  <c r="J34" i="40"/>
  <c r="AC34" i="40"/>
  <c r="H34" i="40"/>
  <c r="F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F14"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E85" i="36"/>
  <c r="F85" i="36"/>
  <c r="H29" i="36"/>
  <c r="D81" i="36"/>
  <c r="E81" i="36"/>
  <c r="F81" i="36"/>
  <c r="G81" i="36"/>
  <c r="H81" i="36"/>
  <c r="I81" i="36"/>
  <c r="J81" i="36"/>
  <c r="K81" i="36"/>
  <c r="L81" i="36"/>
  <c r="M81" i="36"/>
  <c r="F79" i="36"/>
  <c r="E79" i="36"/>
  <c r="D79" i="36"/>
  <c r="C79" i="36"/>
  <c r="B93" i="36"/>
  <c r="H33" i="36"/>
  <c r="B91" i="36"/>
  <c r="F32" i="36"/>
  <c r="B95" i="36"/>
  <c r="F34"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H12" i="36"/>
  <c r="U12" i="36"/>
  <c r="B55" i="36"/>
  <c r="C51" i="36"/>
  <c r="H9" i="36"/>
  <c r="AB9" i="36"/>
  <c r="P37" i="36"/>
  <c r="P36" i="36"/>
  <c r="V35" i="36"/>
  <c r="T35" i="36"/>
  <c r="R35" i="36"/>
  <c r="P35" i="36"/>
  <c r="Q34" i="36"/>
  <c r="Z34" i="36"/>
  <c r="Q33" i="36"/>
  <c r="Z33" i="36"/>
  <c r="Q32" i="36"/>
  <c r="Z32" i="36"/>
  <c r="Q31" i="36"/>
  <c r="Z31" i="36"/>
  <c r="Q30" i="36"/>
  <c r="Z30" i="36"/>
  <c r="AC30" i="36"/>
  <c r="Q29" i="36"/>
  <c r="Z29" i="36"/>
  <c r="Q28" i="36"/>
  <c r="Z28" i="36"/>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F13" i="35"/>
  <c r="B59" i="35"/>
  <c r="H12" i="35"/>
  <c r="U12" i="35"/>
  <c r="B131" i="34"/>
  <c r="B129" i="34"/>
  <c r="F46" i="34"/>
  <c r="B127" i="34"/>
  <c r="H45" i="34"/>
  <c r="B99" i="34"/>
  <c r="B97" i="34"/>
  <c r="B95" i="34"/>
  <c r="J30" i="34"/>
  <c r="B93" i="34"/>
  <c r="H29" i="34"/>
  <c r="B75" i="34"/>
  <c r="B73" i="34"/>
  <c r="J13" i="34"/>
  <c r="B71" i="34"/>
  <c r="F12" i="34"/>
  <c r="S12" i="34"/>
  <c r="B130" i="33"/>
  <c r="F46" i="33"/>
  <c r="B128" i="33"/>
  <c r="B126" i="33"/>
  <c r="B98" i="33"/>
  <c r="H31" i="33"/>
  <c r="B96" i="33"/>
  <c r="J30" i="33"/>
  <c r="B94" i="33"/>
  <c r="B74" i="33"/>
  <c r="B72" i="33"/>
  <c r="J13"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Q35" i="35"/>
  <c r="Z35" i="35"/>
  <c r="Q34" i="35"/>
  <c r="Z34" i="35"/>
  <c r="H34" i="35"/>
  <c r="AB34" i="35"/>
  <c r="Q33" i="35"/>
  <c r="Z33" i="35"/>
  <c r="Q32" i="35"/>
  <c r="Z32" i="35"/>
  <c r="H32" i="35"/>
  <c r="AB32" i="35"/>
  <c r="F32" i="35"/>
  <c r="AA32" i="35"/>
  <c r="Q31" i="35"/>
  <c r="Z31" i="35"/>
  <c r="AB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s="1"/>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8" i="34"/>
  <c r="AC8" i="34"/>
  <c r="H8" i="34"/>
  <c r="U8" i="34"/>
  <c r="F8" i="34"/>
  <c r="D121" i="33"/>
  <c r="E121" i="33"/>
  <c r="F109" i="33"/>
  <c r="E109" i="33"/>
  <c r="D109" i="33"/>
  <c r="C109" i="33"/>
  <c r="D91" i="33"/>
  <c r="E91" i="33"/>
  <c r="B88" i="33"/>
  <c r="F26"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F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J9" i="33"/>
  <c r="AC9"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C21" i="20"/>
  <c r="B99" i="43"/>
  <c r="B76" i="43"/>
  <c r="C20" i="20"/>
  <c r="C18" i="20"/>
  <c r="B94" i="43"/>
  <c r="B73" i="43"/>
  <c r="C17" i="20"/>
  <c r="B61" i="43"/>
  <c r="C16" i="20"/>
  <c r="C17" i="39"/>
  <c r="C15" i="20"/>
  <c r="B72" i="43"/>
  <c r="E54" i="21"/>
  <c r="F54" i="21"/>
  <c r="I54" i="21"/>
  <c r="J54" i="21"/>
  <c r="G54" i="21"/>
  <c r="H54" i="21"/>
  <c r="D125" i="21"/>
  <c r="E125" i="21"/>
  <c r="F125" i="21"/>
  <c r="G125" i="21"/>
  <c r="D123" i="21"/>
  <c r="E123" i="21"/>
  <c r="F123" i="21"/>
  <c r="F42" i="21"/>
  <c r="AA42" i="21"/>
  <c r="D119" i="21"/>
  <c r="E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J46" i="21"/>
  <c r="B128" i="21"/>
  <c r="J45" i="21"/>
  <c r="W45" i="21"/>
  <c r="B126" i="21"/>
  <c r="J44" i="21"/>
  <c r="W44" i="21"/>
  <c r="B98" i="21"/>
  <c r="H31" i="21"/>
  <c r="B96" i="21"/>
  <c r="B94" i="21"/>
  <c r="J29" i="21"/>
  <c r="AC29" i="21"/>
  <c r="B92" i="21"/>
  <c r="B90" i="21"/>
  <c r="J27" i="21"/>
  <c r="W27" i="21"/>
  <c r="B74" i="21"/>
  <c r="F1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G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U31" i="36"/>
  <c r="J33" i="36"/>
  <c r="AC33" i="36"/>
  <c r="H22" i="35"/>
  <c r="AB22" i="35"/>
  <c r="AC27" i="35"/>
  <c r="W28" i="35"/>
  <c r="U31" i="35"/>
  <c r="W22" i="35"/>
  <c r="S31" i="35"/>
  <c r="U34" i="35"/>
  <c r="F36" i="34"/>
  <c r="AA36" i="34"/>
  <c r="J35" i="34"/>
  <c r="W35" i="34"/>
  <c r="H39" i="33"/>
  <c r="AB39" i="33"/>
  <c r="AA26" i="33"/>
  <c r="U33" i="33"/>
  <c r="U35" i="33"/>
  <c r="S40" i="33"/>
  <c r="W33" i="33"/>
  <c r="W39" i="33"/>
  <c r="H39" i="37"/>
  <c r="AB39" i="37"/>
  <c r="S27" i="35"/>
  <c r="F11" i="40"/>
  <c r="AA11" i="40"/>
  <c r="H11" i="40"/>
  <c r="AB11" i="40"/>
  <c r="W8" i="40"/>
  <c r="AA9" i="40"/>
  <c r="AC9" i="40"/>
  <c r="U9" i="40"/>
  <c r="U38" i="40"/>
  <c r="W31" i="40"/>
  <c r="S38" i="40"/>
  <c r="F42" i="39"/>
  <c r="AA42" i="39"/>
  <c r="F41" i="39"/>
  <c r="S41" i="39"/>
  <c r="H40" i="39"/>
  <c r="AB40" i="39"/>
  <c r="H39" i="39"/>
  <c r="U39" i="39"/>
  <c r="S38" i="39"/>
  <c r="H34" i="39"/>
  <c r="U34" i="39"/>
  <c r="E108" i="39"/>
  <c r="F108" i="39"/>
  <c r="G108" i="39"/>
  <c r="H108" i="39"/>
  <c r="I108" i="39"/>
  <c r="J108" i="39"/>
  <c r="K108" i="39"/>
  <c r="L108" i="39"/>
  <c r="M108" i="39"/>
  <c r="H31" i="39"/>
  <c r="AB31" i="39"/>
  <c r="F31" i="39"/>
  <c r="AA31" i="39"/>
  <c r="E100" i="39"/>
  <c r="H19" i="39"/>
  <c r="AB19" i="39"/>
  <c r="F19" i="39"/>
  <c r="AA19" i="39"/>
  <c r="H17" i="39"/>
  <c r="AB17" i="39"/>
  <c r="F17" i="39"/>
  <c r="AA17" i="39"/>
  <c r="J23" i="40"/>
  <c r="AC23" i="40"/>
  <c r="F21" i="40"/>
  <c r="AA21" i="40"/>
  <c r="J21" i="40"/>
  <c r="W21" i="40"/>
  <c r="H42" i="39"/>
  <c r="AB42" i="39"/>
  <c r="J34" i="39"/>
  <c r="AC34" i="39"/>
  <c r="J31" i="39"/>
  <c r="F100" i="39"/>
  <c r="H27" i="39"/>
  <c r="U27" i="39"/>
  <c r="J19" i="39"/>
  <c r="AC19" i="39"/>
  <c r="J17" i="39"/>
  <c r="J27" i="39"/>
  <c r="AC27" i="39"/>
  <c r="F27" i="39"/>
  <c r="F11" i="21"/>
  <c r="S11" i="21"/>
  <c r="S40" i="21"/>
  <c r="U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5"/>
  <c r="AB12" i="36"/>
  <c r="W32" i="40"/>
  <c r="S44" i="39"/>
  <c r="F37" i="39"/>
  <c r="AA37" i="39"/>
  <c r="J34" i="36"/>
  <c r="W34" i="36"/>
  <c r="U30" i="36"/>
  <c r="J30" i="35"/>
  <c r="W30" i="35"/>
  <c r="H30" i="35"/>
  <c r="AB30" i="35"/>
  <c r="F22" i="35"/>
  <c r="AA22" i="35"/>
  <c r="H10" i="35"/>
  <c r="U10" i="35"/>
  <c r="AC16" i="36"/>
  <c r="F33" i="36"/>
  <c r="AA33" i="36"/>
  <c r="H16" i="36"/>
  <c r="AB16" i="36"/>
  <c r="G85" i="36"/>
  <c r="H85" i="36"/>
  <c r="I85" i="36"/>
  <c r="J85" i="36"/>
  <c r="K85" i="36"/>
  <c r="L85" i="36"/>
  <c r="M85" i="36"/>
  <c r="J29" i="36"/>
  <c r="AC29" i="36"/>
  <c r="F12" i="36"/>
  <c r="AA12" i="36"/>
  <c r="F24" i="36"/>
  <c r="AA24" i="36"/>
  <c r="S34" i="36"/>
  <c r="F14" i="35"/>
  <c r="F23" i="35"/>
  <c r="AA23" i="35"/>
  <c r="J32" i="35"/>
  <c r="AC32" i="35"/>
  <c r="J16" i="35"/>
  <c r="AC16" i="35"/>
  <c r="H16" i="35"/>
  <c r="U16" i="35"/>
  <c r="F16" i="35"/>
  <c r="S16" i="35"/>
  <c r="H14" i="35"/>
  <c r="AB14" i="35"/>
  <c r="J29" i="35"/>
  <c r="H33" i="35"/>
  <c r="AB33" i="35"/>
  <c r="J20" i="35"/>
  <c r="F35" i="37"/>
  <c r="S35" i="37"/>
  <c r="E101" i="37"/>
  <c r="F101" i="37"/>
  <c r="G101" i="37"/>
  <c r="H101" i="37"/>
  <c r="I101" i="37"/>
  <c r="J101" i="37"/>
  <c r="K101" i="37"/>
  <c r="L101" i="37"/>
  <c r="M101" i="37"/>
  <c r="J34" i="37"/>
  <c r="W34" i="37"/>
  <c r="AA39" i="37"/>
  <c r="AB34" i="37"/>
  <c r="J33" i="37"/>
  <c r="AC33" i="37"/>
  <c r="U42" i="34"/>
  <c r="H40" i="34"/>
  <c r="U40" i="34"/>
  <c r="E114" i="34"/>
  <c r="F114" i="34"/>
  <c r="G114" i="34"/>
  <c r="H114" i="34"/>
  <c r="I114" i="34"/>
  <c r="J114" i="34"/>
  <c r="K114" i="34"/>
  <c r="L114" i="34"/>
  <c r="M114" i="34"/>
  <c r="H36" i="34"/>
  <c r="U36" i="34"/>
  <c r="F37" i="34"/>
  <c r="AA37" i="34"/>
  <c r="F27" i="34"/>
  <c r="AA27" i="34"/>
  <c r="F25" i="34"/>
  <c r="S25" i="34"/>
  <c r="H23" i="34"/>
  <c r="U23" i="34"/>
  <c r="J23" i="34"/>
  <c r="F19" i="34"/>
  <c r="AA19" i="34"/>
  <c r="H17" i="34"/>
  <c r="U17" i="34"/>
  <c r="F15" i="34"/>
  <c r="AA15" i="34"/>
  <c r="J15" i="34"/>
  <c r="AC15" i="34"/>
  <c r="H15" i="34"/>
  <c r="AB15" i="34"/>
  <c r="F41" i="33"/>
  <c r="AA41" i="33"/>
  <c r="S38" i="33"/>
  <c r="E113" i="33"/>
  <c r="F32" i="33"/>
  <c r="AA32" i="33"/>
  <c r="J19" i="33"/>
  <c r="AC19" i="33"/>
  <c r="J15" i="33"/>
  <c r="AC15" i="33"/>
  <c r="F11" i="33"/>
  <c r="AA11" i="33"/>
  <c r="S26" i="33"/>
  <c r="U40" i="33"/>
  <c r="F37" i="40"/>
  <c r="AA37" i="40"/>
  <c r="F36" i="40"/>
  <c r="AA36" i="40"/>
  <c r="H28" i="40"/>
  <c r="U28" i="40"/>
  <c r="F23" i="40"/>
  <c r="AA23" i="40"/>
  <c r="F17" i="40"/>
  <c r="AA17" i="40"/>
  <c r="J17" i="40"/>
  <c r="W17" i="40"/>
  <c r="F15" i="40"/>
  <c r="S15" i="40"/>
  <c r="H15" i="40"/>
  <c r="AB15" i="40"/>
  <c r="AC11" i="40"/>
  <c r="S12" i="36"/>
  <c r="AB30" i="36"/>
  <c r="U33" i="35"/>
  <c r="F29" i="35"/>
  <c r="S29" i="35"/>
  <c r="H29" i="35"/>
  <c r="AB29" i="35"/>
  <c r="H33" i="37"/>
  <c r="AB33" i="37"/>
  <c r="F33" i="37"/>
  <c r="AA33" i="37"/>
  <c r="U34" i="37"/>
  <c r="S34" i="37"/>
  <c r="AA34" i="37"/>
  <c r="J43" i="34"/>
  <c r="AC43" i="34"/>
  <c r="AB42" i="34"/>
  <c r="J40" i="34"/>
  <c r="AC40" i="34"/>
  <c r="H38" i="34"/>
  <c r="AB38" i="34"/>
  <c r="J36" i="34"/>
  <c r="W36" i="34"/>
  <c r="H37" i="34"/>
  <c r="U37" i="34"/>
  <c r="H25" i="34"/>
  <c r="AB25" i="34"/>
  <c r="J25" i="34"/>
  <c r="AC25" i="34"/>
  <c r="AB23" i="34"/>
  <c r="F23" i="34"/>
  <c r="AA23" i="34"/>
  <c r="J19" i="34"/>
  <c r="AC19" i="34"/>
  <c r="F17" i="34"/>
  <c r="AA17" i="34"/>
  <c r="J17" i="34"/>
  <c r="W17"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U23" i="40"/>
  <c r="G123" i="21"/>
  <c r="H123" i="21"/>
  <c r="I123" i="21"/>
  <c r="J123" i="21"/>
  <c r="K123" i="21"/>
  <c r="L123" i="21"/>
  <c r="M123" i="21"/>
  <c r="J42" i="21"/>
  <c r="AC42" i="21"/>
  <c r="H42" i="21"/>
  <c r="U42" i="21"/>
  <c r="J44" i="34"/>
  <c r="W44" i="34"/>
  <c r="F44" i="34"/>
  <c r="AA44" i="34"/>
  <c r="J10" i="35"/>
  <c r="AC10" i="35"/>
  <c r="BL587" i="3"/>
  <c r="J14" i="21"/>
  <c r="W14" i="21"/>
  <c r="S14" i="21"/>
  <c r="H14" i="21"/>
  <c r="U14" i="21"/>
  <c r="H28" i="21"/>
  <c r="AB28" i="21"/>
  <c r="F28" i="21"/>
  <c r="AA28" i="21"/>
  <c r="J28" i="21"/>
  <c r="W28" i="21"/>
  <c r="H30" i="21"/>
  <c r="U30" i="21"/>
  <c r="F30" i="21"/>
  <c r="S30" i="21"/>
  <c r="J30" i="21"/>
  <c r="AC30" i="21"/>
  <c r="AC44" i="21"/>
  <c r="H44" i="21"/>
  <c r="U44" i="21"/>
  <c r="H46" i="21"/>
  <c r="U46" i="21"/>
  <c r="W46" i="21"/>
  <c r="F46" i="21"/>
  <c r="AA46" i="21"/>
  <c r="F119" i="21"/>
  <c r="G119" i="21"/>
  <c r="H119" i="21"/>
  <c r="I119" i="21"/>
  <c r="J119" i="21"/>
  <c r="K119" i="21"/>
  <c r="L119" i="21"/>
  <c r="M119" i="21"/>
  <c r="H26" i="33"/>
  <c r="U26" i="33"/>
  <c r="H28" i="33"/>
  <c r="U28" i="33"/>
  <c r="F28" i="33"/>
  <c r="AA28" i="33"/>
  <c r="J28" i="33"/>
  <c r="W28" i="33"/>
  <c r="F33" i="35"/>
  <c r="AA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H13" i="33"/>
  <c r="U13" i="33"/>
  <c r="F13" i="33"/>
  <c r="S13" i="33"/>
  <c r="J29" i="33"/>
  <c r="AC29" i="33"/>
  <c r="H29" i="33"/>
  <c r="F29" i="33"/>
  <c r="S29" i="33"/>
  <c r="J31" i="33"/>
  <c r="W31" i="33"/>
  <c r="F31" i="33"/>
  <c r="H45" i="33"/>
  <c r="J45" i="33"/>
  <c r="W45" i="33"/>
  <c r="F45" i="33"/>
  <c r="AA45" i="33"/>
  <c r="J14" i="34"/>
  <c r="W14" i="34"/>
  <c r="F14" i="34"/>
  <c r="S14" i="34"/>
  <c r="H14" i="34"/>
  <c r="H30" i="34"/>
  <c r="F30" i="34"/>
  <c r="S30" i="34"/>
  <c r="W30" i="34"/>
  <c r="H32" i="34"/>
  <c r="F32" i="34"/>
  <c r="J32" i="34"/>
  <c r="W32" i="34"/>
  <c r="H46" i="34"/>
  <c r="J46" i="34"/>
  <c r="H11" i="35"/>
  <c r="AB11" i="35"/>
  <c r="J11" i="35"/>
  <c r="W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H36" i="37"/>
  <c r="AB36" i="37"/>
  <c r="F107" i="37"/>
  <c r="J37" i="37"/>
  <c r="AC37" i="37"/>
  <c r="H37" i="37"/>
  <c r="U37" i="37"/>
  <c r="H40" i="37"/>
  <c r="U40" i="37"/>
  <c r="J40" i="37"/>
  <c r="AC40" i="37"/>
  <c r="F40" i="37"/>
  <c r="AA40" i="37"/>
  <c r="AC12" i="40"/>
  <c r="W12" i="40"/>
  <c r="H14" i="33"/>
  <c r="U14" i="33"/>
  <c r="F14" i="33"/>
  <c r="J14" i="33"/>
  <c r="H30" i="33"/>
  <c r="AB30" i="33"/>
  <c r="F30" i="33"/>
  <c r="H44" i="33"/>
  <c r="J44" i="33"/>
  <c r="AC44" i="33"/>
  <c r="F44" i="33"/>
  <c r="S44" i="33"/>
  <c r="J46" i="33"/>
  <c r="AC46" i="33"/>
  <c r="AA46" i="33"/>
  <c r="H46" i="33"/>
  <c r="F13" i="34"/>
  <c r="AA13" i="34"/>
  <c r="J29" i="34"/>
  <c r="F29" i="34"/>
  <c r="S29" i="34"/>
  <c r="AB29" i="34"/>
  <c r="J31" i="34"/>
  <c r="H31" i="34"/>
  <c r="AB31" i="34"/>
  <c r="F31" i="34"/>
  <c r="S31" i="34"/>
  <c r="U45" i="34"/>
  <c r="J45" i="34"/>
  <c r="W45" i="34"/>
  <c r="H47" i="34"/>
  <c r="U47" i="34"/>
  <c r="F47" i="34"/>
  <c r="S47" i="34"/>
  <c r="J47" i="34"/>
  <c r="AC47" i="34"/>
  <c r="S13" i="35"/>
  <c r="J13" i="35"/>
  <c r="AC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F43" i="39"/>
  <c r="AA43" i="39"/>
  <c r="H43" i="39"/>
  <c r="J14" i="39"/>
  <c r="AC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J14" i="37"/>
  <c r="AC14" i="37"/>
  <c r="J27" i="37"/>
  <c r="AA44" i="33"/>
  <c r="AA13" i="35"/>
  <c r="U31" i="34"/>
  <c r="J36" i="37"/>
  <c r="AC36" i="37"/>
  <c r="G105" i="37"/>
  <c r="J10" i="36"/>
  <c r="AC10" i="36"/>
  <c r="AB26" i="33"/>
  <c r="AB30" i="21"/>
  <c r="AA14" i="37"/>
  <c r="AC13" i="36"/>
  <c r="W13" i="36"/>
  <c r="AC30" i="34"/>
  <c r="S45" i="33"/>
  <c r="AB31" i="33"/>
  <c r="U31" i="33"/>
  <c r="W29" i="33"/>
  <c r="AC28" i="21"/>
  <c r="BA586" i="3"/>
  <c r="BA585" i="3"/>
  <c r="AZ585" i="3"/>
  <c r="F17" i="21"/>
  <c r="AA17" i="21"/>
  <c r="H17" i="21"/>
  <c r="AB17" i="21"/>
  <c r="F15" i="21"/>
  <c r="S15" i="21"/>
  <c r="J41" i="39"/>
  <c r="W41" i="39"/>
  <c r="AC45" i="39"/>
  <c r="W36" i="39"/>
  <c r="W35" i="39"/>
  <c r="U36" i="39"/>
  <c r="S35" i="39"/>
  <c r="G544" i="3"/>
  <c r="G540" i="3"/>
  <c r="G536" i="3"/>
  <c r="G535" i="3"/>
  <c r="G532" i="3"/>
  <c r="G531" i="3"/>
  <c r="G528" i="3"/>
  <c r="G527" i="3"/>
  <c r="G523" i="3"/>
  <c r="G518" i="3"/>
  <c r="G514" i="3"/>
  <c r="G508" i="3"/>
  <c r="G504" i="3"/>
  <c r="G500" i="3"/>
  <c r="G584" i="3"/>
  <c r="G580" i="3"/>
  <c r="G576" i="3"/>
  <c r="G572" i="3"/>
  <c r="G568" i="3"/>
  <c r="G564" i="3"/>
  <c r="G560" i="3"/>
  <c r="G554" i="3"/>
  <c r="G550" i="3"/>
  <c r="BL584" i="3"/>
  <c r="BL580" i="3"/>
  <c r="BL572" i="3"/>
  <c r="BL568" i="3"/>
  <c r="BL564" i="3"/>
  <c r="BL560" i="3"/>
  <c r="BL554" i="3"/>
  <c r="BL546" i="3"/>
  <c r="BL542" i="3"/>
  <c r="BL538" i="3"/>
  <c r="BL534" i="3"/>
  <c r="BL530" i="3"/>
  <c r="BL526" i="3"/>
  <c r="BL516" i="3"/>
  <c r="BL512" i="3"/>
  <c r="BL506" i="3"/>
  <c r="BL498" i="3"/>
  <c r="BL494" i="3"/>
  <c r="BL582" i="3"/>
  <c r="BL574" i="3"/>
  <c r="BL570" i="3"/>
  <c r="AZ570" i="3"/>
  <c r="BL566" i="3"/>
  <c r="AZ566" i="3"/>
  <c r="BL562" i="3"/>
  <c r="BL556" i="3"/>
  <c r="BL552" i="3"/>
  <c r="BL544" i="3"/>
  <c r="BL540" i="3"/>
  <c r="BL536" i="3"/>
  <c r="G533" i="3"/>
  <c r="BL532" i="3"/>
  <c r="G529" i="3"/>
  <c r="BL528" i="3"/>
  <c r="AZ528" i="3"/>
  <c r="G525" i="3"/>
  <c r="BL524" i="3"/>
  <c r="AZ524" i="3"/>
  <c r="BL514" i="3"/>
  <c r="BL510" i="3"/>
  <c r="BL504" i="3"/>
  <c r="BL496" i="3"/>
  <c r="G493" i="3"/>
  <c r="BA584" i="3"/>
  <c r="AZ584" i="3"/>
  <c r="BA582" i="3"/>
  <c r="AZ582" i="3"/>
  <c r="BA580" i="3"/>
  <c r="AZ580" i="3"/>
  <c r="AZ578" i="3"/>
  <c r="BA576" i="3"/>
  <c r="AZ576" i="3"/>
  <c r="AZ574" i="3"/>
  <c r="BA572" i="3"/>
  <c r="AZ572" i="3"/>
  <c r="BA568" i="3"/>
  <c r="AZ568" i="3"/>
  <c r="BA566" i="3"/>
  <c r="BA564" i="3"/>
  <c r="AZ564" i="3"/>
  <c r="BA562" i="3"/>
  <c r="AZ562" i="3"/>
  <c r="BA560" i="3"/>
  <c r="AZ560" i="3"/>
  <c r="BA558" i="3"/>
  <c r="BA556" i="3"/>
  <c r="AZ556" i="3"/>
  <c r="BA554" i="3"/>
  <c r="AZ554" i="3"/>
  <c r="BA552" i="3"/>
  <c r="AZ552" i="3"/>
  <c r="BA548" i="3"/>
  <c r="BA546" i="3"/>
  <c r="BA544" i="3"/>
  <c r="AZ544" i="3"/>
  <c r="BA542" i="3"/>
  <c r="BA540" i="3"/>
  <c r="AZ540" i="3"/>
  <c r="BA538" i="3"/>
  <c r="AZ538" i="3"/>
  <c r="BA536" i="3"/>
  <c r="AZ536" i="3"/>
  <c r="BA534" i="3"/>
  <c r="AZ534" i="3"/>
  <c r="BA532" i="3"/>
  <c r="AZ532" i="3"/>
  <c r="BA530" i="3"/>
  <c r="AZ530" i="3"/>
  <c r="BA528" i="3"/>
  <c r="BA526" i="3"/>
  <c r="AZ526" i="3"/>
  <c r="BA522" i="3"/>
  <c r="BA520" i="3"/>
  <c r="AZ518" i="3"/>
  <c r="BA516" i="3"/>
  <c r="AZ516" i="3"/>
  <c r="BA512" i="3"/>
  <c r="AZ512" i="3"/>
  <c r="BA510" i="3"/>
  <c r="BA508" i="3"/>
  <c r="AZ508" i="3"/>
  <c r="BA506" i="3"/>
  <c r="BA504" i="3"/>
  <c r="AZ504" i="3"/>
  <c r="BA502" i="3"/>
  <c r="BA500" i="3"/>
  <c r="AZ500" i="3"/>
  <c r="BA498" i="3"/>
  <c r="BA496" i="3"/>
  <c r="AZ496" i="3"/>
  <c r="BA494" i="3"/>
  <c r="BA587" i="3"/>
  <c r="BA583" i="3"/>
  <c r="BA581" i="3"/>
  <c r="BA577" i="3"/>
  <c r="BA575" i="3"/>
  <c r="BA573" i="3"/>
  <c r="BA569" i="3"/>
  <c r="BA567" i="3"/>
  <c r="BA565" i="3"/>
  <c r="BA563" i="3"/>
  <c r="BA561" i="3"/>
  <c r="BA559" i="3"/>
  <c r="BA555" i="3"/>
  <c r="BA553" i="3"/>
  <c r="BA549" i="3"/>
  <c r="BA547" i="3"/>
  <c r="BA545" i="3"/>
  <c r="BA543" i="3"/>
  <c r="BA541" i="3"/>
  <c r="AZ541" i="3"/>
  <c r="BA539" i="3"/>
  <c r="BA537" i="3"/>
  <c r="BA535" i="3"/>
  <c r="BA533" i="3"/>
  <c r="BA531" i="3"/>
  <c r="BA529" i="3"/>
  <c r="BA527" i="3"/>
  <c r="BA525" i="3"/>
  <c r="AZ525" i="3"/>
  <c r="BA523" i="3"/>
  <c r="BA519" i="3"/>
  <c r="BA515" i="3"/>
  <c r="BA513" i="3"/>
  <c r="AZ513" i="3"/>
  <c r="BA511" i="3"/>
  <c r="BA505" i="3"/>
  <c r="BA503" i="3"/>
  <c r="BA501" i="3"/>
  <c r="BA497" i="3"/>
  <c r="BA495" i="3"/>
  <c r="BA493" i="3"/>
  <c r="AZ493" i="3"/>
  <c r="G583" i="3"/>
  <c r="G581" i="3"/>
  <c r="G579" i="3"/>
  <c r="G575" i="3"/>
  <c r="G573" i="3"/>
  <c r="G571" i="3"/>
  <c r="G569" i="3"/>
  <c r="G567" i="3"/>
  <c r="G565" i="3"/>
  <c r="G563" i="3"/>
  <c r="G561" i="3"/>
  <c r="BL558" i="3"/>
  <c r="BA557" i="3"/>
  <c r="AC557" i="3"/>
  <c r="G557" i="3"/>
  <c r="BQ557" i="3"/>
  <c r="BL557" i="3"/>
  <c r="AZ557" i="3"/>
  <c r="BQ583" i="3"/>
  <c r="BL583" i="3"/>
  <c r="AZ583" i="3"/>
  <c r="BQ581" i="3"/>
  <c r="BQ579" i="3"/>
  <c r="BL579" i="3"/>
  <c r="AZ579" i="3"/>
  <c r="BQ577" i="3"/>
  <c r="BL577" i="3"/>
  <c r="AZ577" i="3"/>
  <c r="BQ575" i="3"/>
  <c r="BQ573" i="3"/>
  <c r="BL573" i="3"/>
  <c r="BQ571" i="3"/>
  <c r="BL571" i="3"/>
  <c r="AZ571" i="3"/>
  <c r="BQ569" i="3"/>
  <c r="BL569" i="3"/>
  <c r="AZ569" i="3"/>
  <c r="BQ567" i="3"/>
  <c r="BL567" i="3"/>
  <c r="AZ567" i="3"/>
  <c r="BQ565" i="3"/>
  <c r="BL565" i="3"/>
  <c r="BQ563" i="3"/>
  <c r="BL563" i="3"/>
  <c r="AZ563" i="3"/>
  <c r="BQ561" i="3"/>
  <c r="BL561" i="3"/>
  <c r="AZ561" i="3"/>
  <c r="BQ559" i="3"/>
  <c r="BL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BQ523" i="3"/>
  <c r="BL523" i="3"/>
  <c r="AZ523" i="3"/>
  <c r="BA521" i="3"/>
  <c r="AC521" i="3"/>
  <c r="G521" i="3"/>
  <c r="BQ521" i="3"/>
  <c r="BL520" i="3"/>
  <c r="AZ520" i="3"/>
  <c r="G519" i="3"/>
  <c r="G517" i="3"/>
  <c r="G515" i="3"/>
  <c r="G513" i="3"/>
  <c r="G511" i="3"/>
  <c r="BQ519" i="3"/>
  <c r="BL519" i="3"/>
  <c r="AZ519" i="3"/>
  <c r="BQ517" i="3"/>
  <c r="BQ515" i="3"/>
  <c r="BL515" i="3"/>
  <c r="BQ513" i="3"/>
  <c r="BL513" i="3"/>
  <c r="BQ511" i="3"/>
  <c r="BL511" i="3"/>
  <c r="AZ511" i="3"/>
  <c r="BA509" i="3"/>
  <c r="AC509" i="3"/>
  <c r="BQ509" i="3"/>
  <c r="BL509" i="3"/>
  <c r="BL508" i="3"/>
  <c r="G507" i="3"/>
  <c r="G505" i="3"/>
  <c r="G503" i="3"/>
  <c r="G501" i="3"/>
  <c r="G499" i="3"/>
  <c r="G497" i="3"/>
  <c r="G495" i="3"/>
  <c r="BQ507" i="3"/>
  <c r="BL507" i="3"/>
  <c r="AZ507" i="3"/>
  <c r="BQ505" i="3"/>
  <c r="BQ503" i="3"/>
  <c r="BL503" i="3"/>
  <c r="BQ501" i="3"/>
  <c r="BL501" i="3"/>
  <c r="BQ499" i="3"/>
  <c r="BQ5" i="3"/>
  <c r="F28" i="6"/>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123" i="33"/>
  <c r="F42" i="33"/>
  <c r="S42" i="33"/>
  <c r="F14" i="36"/>
  <c r="AA14" i="36"/>
  <c r="F22" i="36"/>
  <c r="S22" i="36"/>
  <c r="F26" i="36"/>
  <c r="AA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AA41" i="34"/>
  <c r="H19" i="37"/>
  <c r="AB19" i="37"/>
  <c r="G123" i="33"/>
  <c r="H123" i="33"/>
  <c r="I123" i="33"/>
  <c r="J123" i="33"/>
  <c r="K123" i="33"/>
  <c r="L123" i="33"/>
  <c r="M123" i="33"/>
  <c r="H42" i="33"/>
  <c r="AB42" i="33"/>
  <c r="G125" i="33"/>
  <c r="J43" i="33"/>
  <c r="U43" i="33"/>
  <c r="S28" i="31"/>
  <c r="S27" i="31"/>
  <c r="S26" i="31"/>
  <c r="U35" i="35"/>
  <c r="AA12" i="35"/>
  <c r="W23" i="35"/>
  <c r="W14" i="37"/>
  <c r="AB28" i="37"/>
  <c r="U33" i="37"/>
  <c r="U39" i="37"/>
  <c r="W26" i="37"/>
  <c r="U26" i="37"/>
  <c r="W47" i="34"/>
  <c r="AC31" i="33"/>
  <c r="AC45" i="33"/>
  <c r="U19" i="21"/>
  <c r="U26" i="21"/>
  <c r="AC46" i="21"/>
  <c r="U12" i="21"/>
  <c r="AB38" i="21"/>
  <c r="F43" i="33"/>
  <c r="AA43" i="33"/>
  <c r="W16" i="35"/>
  <c r="W40" i="37"/>
  <c r="G107" i="37"/>
  <c r="H107" i="37"/>
  <c r="I107" i="37"/>
  <c r="J107" i="37"/>
  <c r="K107" i="37"/>
  <c r="L107" i="37"/>
  <c r="M107" i="37"/>
  <c r="H37" i="21"/>
  <c r="U37" i="21"/>
  <c r="S42" i="21"/>
  <c r="H19" i="34"/>
  <c r="U19" i="34"/>
  <c r="F36" i="35"/>
  <c r="S36" i="35"/>
  <c r="J9" i="37"/>
  <c r="W9" i="37"/>
  <c r="H9" i="37"/>
  <c r="U9" i="37"/>
  <c r="F9" i="37"/>
  <c r="S9" i="37"/>
  <c r="J12" i="37"/>
  <c r="H12" i="37"/>
  <c r="AB12" i="37"/>
  <c r="F12" i="37"/>
  <c r="S12" i="37"/>
  <c r="E71" i="37"/>
  <c r="F15" i="37"/>
  <c r="E94" i="37"/>
  <c r="F31" i="37"/>
  <c r="S31" i="37"/>
  <c r="F12" i="39"/>
  <c r="S12" i="39"/>
  <c r="J42" i="39"/>
  <c r="AC42" i="39"/>
  <c r="H21" i="40"/>
  <c r="U21" i="40"/>
  <c r="F94" i="37"/>
  <c r="G94" i="37"/>
  <c r="H94" i="37"/>
  <c r="I94" i="37"/>
  <c r="J94" i="37"/>
  <c r="K94" i="37"/>
  <c r="L94" i="37"/>
  <c r="M94" i="37"/>
  <c r="H31" i="37"/>
  <c r="U31" i="37"/>
  <c r="F71" i="37"/>
  <c r="G71" i="37"/>
  <c r="J15" i="37"/>
  <c r="W15" i="37"/>
  <c r="AT6" i="3"/>
  <c r="AA25" i="21"/>
  <c r="H19" i="40"/>
  <c r="U19" i="40"/>
  <c r="F88" i="40"/>
  <c r="G88" i="40"/>
  <c r="F19" i="40"/>
  <c r="S19" i="40"/>
  <c r="AC13" i="40"/>
  <c r="AB33" i="40"/>
  <c r="W23" i="39"/>
  <c r="AC43" i="39"/>
  <c r="W43" i="39"/>
  <c r="U45" i="39"/>
  <c r="AB45" i="39"/>
  <c r="AB44" i="39"/>
  <c r="U44" i="39"/>
  <c r="G100" i="39"/>
  <c r="H37" i="39"/>
  <c r="AB37" i="39"/>
  <c r="AC37" i="39"/>
  <c r="W37" i="39"/>
  <c r="H25" i="39"/>
  <c r="J25" i="39"/>
  <c r="W25" i="39"/>
  <c r="F25" i="39"/>
  <c r="AA25" i="39"/>
  <c r="F15" i="39"/>
  <c r="AA15" i="39"/>
  <c r="H15" i="39"/>
  <c r="U15" i="39"/>
  <c r="J15" i="39"/>
  <c r="W15" i="39"/>
  <c r="H41" i="39"/>
  <c r="AB41" i="39"/>
  <c r="W27" i="39"/>
  <c r="U40" i="39"/>
  <c r="S42" i="39"/>
  <c r="AA41" i="39"/>
  <c r="W9" i="39"/>
  <c r="W8" i="39"/>
  <c r="J19" i="40"/>
  <c r="AC19" i="40"/>
  <c r="J50" i="40"/>
  <c r="H103" i="9"/>
  <c r="D8" i="53"/>
  <c r="B16" i="53"/>
  <c r="B33" i="72"/>
  <c r="C7" i="37"/>
  <c r="C52" i="37"/>
  <c r="D52" i="37"/>
  <c r="C7" i="34"/>
  <c r="W35" i="40"/>
  <c r="J11" i="39"/>
  <c r="W11" i="39"/>
  <c r="F11" i="39"/>
  <c r="AA11" i="39"/>
  <c r="G4" i="4"/>
  <c r="I4" i="4"/>
  <c r="A2" i="9"/>
  <c r="F61" i="43"/>
  <c r="H64" i="43"/>
  <c r="AZ20" i="3"/>
  <c r="AZ28" i="3"/>
  <c r="AZ32" i="3"/>
  <c r="AZ497" i="3"/>
  <c r="BL549" i="3"/>
  <c r="AZ502" i="3"/>
  <c r="AZ514" i="3"/>
  <c r="AZ522" i="3"/>
  <c r="AZ546" i="3"/>
  <c r="G546" i="3"/>
  <c r="G524" i="3"/>
  <c r="G303" i="3"/>
  <c r="BL304" i="3"/>
  <c r="G305" i="3"/>
  <c r="BL306" i="3"/>
  <c r="BA308" i="3"/>
  <c r="AZ308" i="3"/>
  <c r="BA309" i="3"/>
  <c r="AZ309" i="3"/>
  <c r="BL309" i="3"/>
  <c r="G310" i="3"/>
  <c r="BA311" i="3"/>
  <c r="AZ311" i="3"/>
  <c r="G319" i="3"/>
  <c r="BL320" i="3"/>
  <c r="G321" i="3"/>
  <c r="BL322" i="3"/>
  <c r="BA324" i="3"/>
  <c r="AZ324" i="3"/>
  <c r="BA325" i="3"/>
  <c r="BL325" i="3"/>
  <c r="G326" i="3"/>
  <c r="BA327" i="3"/>
  <c r="G335" i="3"/>
  <c r="BL336" i="3"/>
  <c r="G337" i="3"/>
  <c r="BL338" i="3"/>
  <c r="BA340" i="3"/>
  <c r="AZ340" i="3"/>
  <c r="BA341" i="3"/>
  <c r="AZ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AZ380" i="3"/>
  <c r="G388" i="3"/>
  <c r="BL389" i="3"/>
  <c r="G390" i="3"/>
  <c r="BL391" i="3"/>
  <c r="BA393" i="3"/>
  <c r="AZ393" i="3"/>
  <c r="BA394" i="3"/>
  <c r="BL394" i="3"/>
  <c r="AZ394" i="3"/>
  <c r="G113" i="3"/>
  <c r="BA115" i="3"/>
  <c r="AZ115" i="3"/>
  <c r="BL116" i="3"/>
  <c r="AZ116" i="3"/>
  <c r="G117" i="3"/>
  <c r="BA119" i="3"/>
  <c r="AZ119" i="3"/>
  <c r="BL120" i="3"/>
  <c r="G121" i="3"/>
  <c r="BA123" i="3"/>
  <c r="AZ123" i="3"/>
  <c r="BL124" i="3"/>
  <c r="AZ124" i="3"/>
  <c r="G125" i="3"/>
  <c r="BA127" i="3"/>
  <c r="AZ127" i="3"/>
  <c r="BL128" i="3"/>
  <c r="AZ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AZ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AZ192" i="3"/>
  <c r="G193" i="3"/>
  <c r="BA195" i="3"/>
  <c r="AZ195" i="3"/>
  <c r="BL196" i="3"/>
  <c r="AZ196" i="3"/>
  <c r="G197" i="3"/>
  <c r="BA199" i="3"/>
  <c r="AZ199" i="3"/>
  <c r="BL200" i="3"/>
  <c r="G201" i="3"/>
  <c r="BA203" i="3"/>
  <c r="AZ203" i="3"/>
  <c r="BL204" i="3"/>
  <c r="AZ204" i="3"/>
  <c r="AZ43" i="3"/>
  <c r="AZ47" i="3"/>
  <c r="AZ51" i="3"/>
  <c r="AZ59" i="3"/>
  <c r="AZ67" i="3"/>
  <c r="AZ79" i="3"/>
  <c r="AZ136" i="3"/>
  <c r="AZ144" i="3"/>
  <c r="AZ160" i="3"/>
  <c r="AZ168" i="3"/>
  <c r="AZ176" i="3"/>
  <c r="AZ200" i="3"/>
  <c r="AZ97" i="3"/>
  <c r="AZ101" i="3"/>
  <c r="AZ105"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AZ342" i="3"/>
  <c r="BL342" i="3"/>
  <c r="BA344" i="3"/>
  <c r="BL344" i="3"/>
  <c r="AZ344" i="3"/>
  <c r="BA346" i="3"/>
  <c r="AZ346" i="3"/>
  <c r="BA347" i="3"/>
  <c r="AZ347" i="3"/>
  <c r="BL347" i="3"/>
  <c r="G350" i="3"/>
  <c r="BA351" i="3"/>
  <c r="AZ351" i="3"/>
  <c r="BL351" i="3"/>
  <c r="G352" i="3"/>
  <c r="G354" i="3"/>
  <c r="BA355" i="3"/>
  <c r="AZ355" i="3"/>
  <c r="BA356" i="3"/>
  <c r="BL356" i="3"/>
  <c r="AZ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AZ390" i="3"/>
  <c r="BL390" i="3"/>
  <c r="G391" i="3"/>
  <c r="G394" i="3"/>
  <c r="AZ138" i="3"/>
  <c r="AZ142" i="3"/>
  <c r="AZ146" i="3"/>
  <c r="AZ150" i="3"/>
  <c r="AZ154" i="3"/>
  <c r="AZ158" i="3"/>
  <c r="AZ162" i="3"/>
  <c r="AZ166" i="3"/>
  <c r="AZ170" i="3"/>
  <c r="AZ174" i="3"/>
  <c r="AZ178" i="3"/>
  <c r="AZ186" i="3"/>
  <c r="AZ194" i="3"/>
  <c r="AZ198" i="3"/>
  <c r="BA16" i="3"/>
  <c r="AZ16" i="3"/>
  <c r="BL303" i="3"/>
  <c r="AZ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BL335" i="3"/>
  <c r="G336" i="3"/>
  <c r="BA338" i="3"/>
  <c r="AZ338" i="3"/>
  <c r="BL339" i="3"/>
  <c r="AZ339" i="3"/>
  <c r="G340" i="3"/>
  <c r="BL343" i="3"/>
  <c r="G344" i="3"/>
  <c r="G348" i="3"/>
  <c r="G355" i="3"/>
  <c r="AZ209" i="3"/>
  <c r="AZ214" i="3"/>
  <c r="AZ218" i="3"/>
  <c r="AZ222" i="3"/>
  <c r="AZ319" i="3"/>
  <c r="AZ335" i="3"/>
  <c r="G342" i="3"/>
  <c r="BL345" i="3"/>
  <c r="AZ345" i="3"/>
  <c r="G346" i="3"/>
  <c r="AZ348" i="3"/>
  <c r="BL349" i="3"/>
  <c r="AZ349" i="3"/>
  <c r="BL352" i="3"/>
  <c r="AZ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33" i="3"/>
  <c r="AZ237" i="3"/>
  <c r="AZ241" i="3"/>
  <c r="AZ245" i="3"/>
  <c r="AZ257" i="3"/>
  <c r="AZ265" i="3"/>
  <c r="AZ269" i="3"/>
  <c r="AZ370" i="3"/>
  <c r="BA379" i="3"/>
  <c r="AZ379" i="3"/>
  <c r="BL380" i="3"/>
  <c r="G381" i="3"/>
  <c r="BA383" i="3"/>
  <c r="AZ383" i="3"/>
  <c r="BL384" i="3"/>
  <c r="G385" i="3"/>
  <c r="BA387" i="3"/>
  <c r="AZ387" i="3"/>
  <c r="BL388" i="3"/>
  <c r="G389" i="3"/>
  <c r="BA391" i="3"/>
  <c r="AZ391" i="3"/>
  <c r="BL392" i="3"/>
  <c r="G393" i="3"/>
  <c r="AZ263" i="3"/>
  <c r="AZ275" i="3"/>
  <c r="AZ291" i="3"/>
  <c r="AZ295" i="3"/>
  <c r="AZ299" i="3"/>
  <c r="BO5" i="3"/>
  <c r="BH5" i="3"/>
  <c r="BF5" i="3"/>
  <c r="BD5" i="3"/>
  <c r="AZ317" i="3"/>
  <c r="AZ325" i="3"/>
  <c r="AZ333" i="3"/>
  <c r="AC5" i="3"/>
  <c r="AZ549" i="3"/>
  <c r="G548" i="3"/>
  <c r="G538" i="3"/>
  <c r="G520" i="3"/>
  <c r="G502" i="3"/>
  <c r="BS5" i="3"/>
  <c r="BP5" i="3"/>
  <c r="AZ343" i="3"/>
  <c r="BK5" i="3"/>
  <c r="BI5" i="3"/>
  <c r="BE5" i="3"/>
  <c r="BC5" i="3"/>
  <c r="G17" i="3"/>
  <c r="BA17" i="3"/>
  <c r="BT5" i="3"/>
  <c r="AZ350" i="3"/>
  <c r="AZ360" i="3"/>
  <c r="AZ364" i="3"/>
  <c r="AZ368" i="3"/>
  <c r="BA15" i="3"/>
  <c r="AZ15" i="3"/>
  <c r="BB5" i="3"/>
  <c r="BR5" i="3"/>
  <c r="AZ384" i="3"/>
  <c r="AZ388" i="3"/>
  <c r="AZ392" i="3"/>
  <c r="AZ396" i="3"/>
  <c r="AZ509" i="3"/>
  <c r="G509" i="3"/>
  <c r="BL493" i="3"/>
  <c r="AZ491" i="3"/>
  <c r="AZ376" i="3"/>
  <c r="AZ382" i="3"/>
  <c r="U36" i="40"/>
  <c r="F83" i="43"/>
  <c r="H85" i="43"/>
  <c r="F50" i="43"/>
  <c r="H54" i="43"/>
  <c r="F72" i="43"/>
  <c r="H75" i="43"/>
  <c r="U17" i="39"/>
  <c r="U43" i="21"/>
  <c r="U35" i="21"/>
  <c r="AC35" i="21"/>
  <c r="G10" i="1"/>
  <c r="W37" i="37"/>
  <c r="U13" i="37"/>
  <c r="U12" i="40"/>
  <c r="AA12" i="40"/>
  <c r="J37" i="33"/>
  <c r="W37" i="33"/>
  <c r="F106" i="33"/>
  <c r="G106" i="33"/>
  <c r="H106" i="33"/>
  <c r="I106" i="33"/>
  <c r="J106" i="33"/>
  <c r="K106" i="33"/>
  <c r="L106" i="33"/>
  <c r="M106" i="33"/>
  <c r="J34" i="33"/>
  <c r="W34" i="33"/>
  <c r="F33" i="34"/>
  <c r="S33" i="34"/>
  <c r="H20" i="36"/>
  <c r="AB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S30" i="40"/>
  <c r="AC21" i="40"/>
  <c r="S31" i="39"/>
  <c r="S11" i="40"/>
  <c r="E98" i="40"/>
  <c r="F98" i="40"/>
  <c r="G98" i="40"/>
  <c r="H98" i="40"/>
  <c r="I98" i="40"/>
  <c r="J98" i="40"/>
  <c r="K98" i="40"/>
  <c r="L98" i="40"/>
  <c r="M98" i="40"/>
  <c r="F10" i="33"/>
  <c r="S10" i="33"/>
  <c r="F34" i="33"/>
  <c r="S34" i="33"/>
  <c r="H34" i="33"/>
  <c r="U34" i="33"/>
  <c r="F35" i="33"/>
  <c r="AA35" i="33"/>
  <c r="F39" i="34"/>
  <c r="S39" i="34"/>
  <c r="J39" i="34"/>
  <c r="AC39" i="34"/>
  <c r="W39" i="34"/>
  <c r="F40" i="34"/>
  <c r="S40" i="34"/>
  <c r="F43" i="34"/>
  <c r="AA43" i="34"/>
  <c r="H44" i="34"/>
  <c r="AB44" i="34"/>
  <c r="AC38" i="39"/>
  <c r="F39" i="39"/>
  <c r="S39" i="39"/>
  <c r="J39" i="39"/>
  <c r="AC39" i="39"/>
  <c r="E96" i="39"/>
  <c r="F96" i="39"/>
  <c r="G96" i="39"/>
  <c r="AZ353" i="3"/>
  <c r="AZ354" i="3"/>
  <c r="AZ386" i="3"/>
  <c r="C40" i="11"/>
  <c r="AZ215" i="3"/>
  <c r="AZ227" i="3"/>
  <c r="AZ232" i="3"/>
  <c r="AZ235" i="3"/>
  <c r="AZ240" i="3"/>
  <c r="AZ248" i="3"/>
  <c r="AZ251" i="3"/>
  <c r="AZ259" i="3"/>
  <c r="AZ280" i="3"/>
  <c r="AZ288" i="3"/>
  <c r="AZ296" i="3"/>
  <c r="AZ114" i="3"/>
  <c r="AZ117" i="3"/>
  <c r="AZ130" i="3"/>
  <c r="AZ133" i="3"/>
  <c r="AZ29" i="3"/>
  <c r="AZ33" i="3"/>
  <c r="AZ45" i="3"/>
  <c r="AZ50" i="3"/>
  <c r="AZ53" i="3"/>
  <c r="AZ61"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D93" i="9"/>
  <c r="K6" i="1"/>
  <c r="AP6" i="1"/>
  <c r="AC26" i="33"/>
  <c r="W26" i="33"/>
  <c r="W27" i="34"/>
  <c r="AC27" i="34"/>
  <c r="AB34" i="36"/>
  <c r="U34" i="36"/>
  <c r="AB33" i="36"/>
  <c r="U33" i="36"/>
  <c r="AC12" i="39"/>
  <c r="W12" i="39"/>
  <c r="AZ401" i="3"/>
  <c r="AZ412" i="3"/>
  <c r="AZ433" i="3"/>
  <c r="AZ465" i="3"/>
  <c r="AZ586" i="3"/>
  <c r="W12" i="33"/>
  <c r="AC12" i="33"/>
  <c r="AA32" i="36"/>
  <c r="S32" i="36"/>
  <c r="AZ551" i="3"/>
  <c r="AZ408" i="3"/>
  <c r="AZ437" i="3"/>
  <c r="AZ457" i="3"/>
  <c r="AZ473" i="3"/>
  <c r="AZ490" i="3"/>
  <c r="AA39" i="34"/>
  <c r="BL14" i="3"/>
  <c r="AZ266" i="3"/>
  <c r="U30" i="33"/>
  <c r="AA47" i="34"/>
  <c r="W28" i="37"/>
  <c r="S19" i="39"/>
  <c r="F12" i="33"/>
  <c r="H12" i="39"/>
  <c r="AB12" i="39"/>
  <c r="F39" i="40"/>
  <c r="S39" i="40"/>
  <c r="BA14" i="3"/>
  <c r="AZ14" i="3"/>
  <c r="AZ367" i="3"/>
  <c r="AZ213" i="3"/>
  <c r="AZ224" i="3"/>
  <c r="AZ250" i="3"/>
  <c r="AZ254" i="3"/>
  <c r="AZ286" i="3"/>
  <c r="AZ297" i="3"/>
  <c r="AZ149" i="3"/>
  <c r="AZ157" i="3"/>
  <c r="AZ165" i="3"/>
  <c r="AZ173" i="3"/>
  <c r="AZ181" i="3"/>
  <c r="AZ189" i="3"/>
  <c r="AZ26" i="3"/>
  <c r="AZ35" i="3"/>
  <c r="AZ41" i="3"/>
  <c r="B12" i="1"/>
  <c r="E12" i="1"/>
  <c r="B10" i="1"/>
  <c r="E10" i="1"/>
  <c r="AZ84" i="3"/>
  <c r="AZ88" i="3"/>
  <c r="K12" i="1"/>
  <c r="M12" i="1"/>
  <c r="S13" i="1"/>
  <c r="AR13" i="1"/>
  <c r="R13" i="1"/>
  <c r="J51" i="67"/>
  <c r="AC34" i="33"/>
  <c r="AA34" i="33"/>
  <c r="B41" i="1"/>
  <c r="F48" i="9"/>
  <c r="O52" i="9"/>
  <c r="AB37" i="40"/>
  <c r="S35" i="40"/>
  <c r="W38" i="40"/>
  <c r="AA32" i="40"/>
  <c r="S17" i="40"/>
  <c r="S23" i="40"/>
  <c r="AC17" i="40"/>
  <c r="AC15" i="40"/>
  <c r="AB27" i="40"/>
  <c r="AA19" i="40"/>
  <c r="S28" i="40"/>
  <c r="AB19" i="40"/>
  <c r="U37" i="39"/>
  <c r="S43" i="39"/>
  <c r="S37" i="39"/>
  <c r="U35" i="39"/>
  <c r="F32" i="39"/>
  <c r="S32" i="39"/>
  <c r="F106" i="39"/>
  <c r="G106" i="39"/>
  <c r="H106" i="39"/>
  <c r="I106" i="39"/>
  <c r="J106" i="39"/>
  <c r="K106" i="39"/>
  <c r="L106" i="39"/>
  <c r="M106" i="39"/>
  <c r="AB27" i="39"/>
  <c r="U31" i="39"/>
  <c r="J21" i="39"/>
  <c r="W21" i="39"/>
  <c r="F21" i="39"/>
  <c r="G94" i="39"/>
  <c r="H21" i="39"/>
  <c r="AB21" i="39"/>
  <c r="W19" i="39"/>
  <c r="U19" i="39"/>
  <c r="S17" i="39"/>
  <c r="S15" i="39"/>
  <c r="AA12" i="39"/>
  <c r="S9" i="39"/>
  <c r="U14" i="39"/>
  <c r="AC13" i="39"/>
  <c r="U12" i="39"/>
  <c r="U13" i="36"/>
  <c r="U26" i="36"/>
  <c r="S33" i="36"/>
  <c r="AA34" i="36"/>
  <c r="AC26" i="36"/>
  <c r="AA22" i="36"/>
  <c r="AB14" i="36"/>
  <c r="U22" i="36"/>
  <c r="S16" i="36"/>
  <c r="AA25" i="36"/>
  <c r="S24" i="36"/>
  <c r="U24" i="36"/>
  <c r="U16" i="36"/>
  <c r="S14" i="36"/>
  <c r="AA25" i="35"/>
  <c r="S23" i="35"/>
  <c r="W24" i="35"/>
  <c r="U29" i="35"/>
  <c r="U28" i="35"/>
  <c r="AB27" i="35"/>
  <c r="U36" i="35"/>
  <c r="U32" i="35"/>
  <c r="AC30" i="35"/>
  <c r="S32" i="35"/>
  <c r="AA36" i="35"/>
  <c r="S28" i="35"/>
  <c r="AB16" i="35"/>
  <c r="U22" i="35"/>
  <c r="S20" i="35"/>
  <c r="S22" i="35"/>
  <c r="U14" i="35"/>
  <c r="AA11" i="35"/>
  <c r="AC9" i="35"/>
  <c r="W9" i="35"/>
  <c r="AC12" i="35"/>
  <c r="W13" i="35"/>
  <c r="F9" i="35"/>
  <c r="S9" i="35"/>
  <c r="H9" i="35"/>
  <c r="U9" i="35"/>
  <c r="AB40" i="37"/>
  <c r="S25" i="37"/>
  <c r="S26" i="37"/>
  <c r="AC29" i="37"/>
  <c r="U29" i="37"/>
  <c r="S32" i="37"/>
  <c r="AB31" i="37"/>
  <c r="W30" i="37"/>
  <c r="S36" i="37"/>
  <c r="W38" i="37"/>
  <c r="AC35" i="37"/>
  <c r="W39" i="37"/>
  <c r="S30" i="37"/>
  <c r="S37" i="37"/>
  <c r="AC15" i="37"/>
  <c r="J17" i="37"/>
  <c r="W17" i="37"/>
  <c r="G73" i="37"/>
  <c r="F17" i="37"/>
  <c r="AA17" i="37"/>
  <c r="AB17" i="37"/>
  <c r="F75" i="37"/>
  <c r="F19" i="37"/>
  <c r="S19" i="37"/>
  <c r="F79" i="37"/>
  <c r="F23" i="37"/>
  <c r="S23" i="37"/>
  <c r="U23" i="37"/>
  <c r="U15" i="37"/>
  <c r="AC13" i="37"/>
  <c r="AA13" i="37"/>
  <c r="H10" i="37"/>
  <c r="AB10" i="37"/>
  <c r="F63" i="37"/>
  <c r="F11" i="37"/>
  <c r="S11" i="37"/>
  <c r="S27" i="34"/>
  <c r="W25" i="34"/>
  <c r="AB8" i="34"/>
  <c r="U43" i="34"/>
  <c r="W41" i="34"/>
  <c r="AC42" i="34"/>
  <c r="U39" i="34"/>
  <c r="S43" i="34"/>
  <c r="AA25" i="34"/>
  <c r="AA29" i="34"/>
  <c r="U27" i="34"/>
  <c r="H10" i="34"/>
  <c r="AB10" i="34"/>
  <c r="F11" i="34"/>
  <c r="S11" i="34"/>
  <c r="W42" i="33"/>
  <c r="S27" i="33"/>
  <c r="S32" i="33"/>
  <c r="AA29" i="33"/>
  <c r="W38" i="33"/>
  <c r="H41" i="33"/>
  <c r="AB41" i="33"/>
  <c r="F121" i="33"/>
  <c r="G121" i="33"/>
  <c r="H121" i="33"/>
  <c r="I121" i="33"/>
  <c r="J121" i="33"/>
  <c r="K121" i="33"/>
  <c r="L121" i="33"/>
  <c r="M121" i="33"/>
  <c r="U42" i="33"/>
  <c r="F36" i="33"/>
  <c r="AA36" i="33"/>
  <c r="G111" i="33"/>
  <c r="H111" i="33"/>
  <c r="I111" i="33"/>
  <c r="J111" i="33"/>
  <c r="K111" i="33"/>
  <c r="L111" i="33"/>
  <c r="M111" i="33"/>
  <c r="G108" i="33"/>
  <c r="H108" i="33"/>
  <c r="I108" i="33"/>
  <c r="J108" i="33"/>
  <c r="K108" i="33"/>
  <c r="L108" i="33"/>
  <c r="M108" i="33"/>
  <c r="J35" i="33"/>
  <c r="S37" i="33"/>
  <c r="AA37" i="33"/>
  <c r="S39" i="33"/>
  <c r="F101" i="33"/>
  <c r="G101" i="33"/>
  <c r="H101" i="33"/>
  <c r="I101" i="33"/>
  <c r="J101" i="33"/>
  <c r="K101" i="33"/>
  <c r="L101" i="33"/>
  <c r="M101" i="33"/>
  <c r="J32" i="33"/>
  <c r="AC32" i="33"/>
  <c r="S46" i="33"/>
  <c r="S43" i="33"/>
  <c r="F91" i="33"/>
  <c r="G91" i="33"/>
  <c r="H91" i="33"/>
  <c r="I91" i="33"/>
  <c r="J91" i="33"/>
  <c r="K91" i="33"/>
  <c r="L91" i="33"/>
  <c r="M91" i="33"/>
  <c r="H27" i="33"/>
  <c r="AB27" i="33"/>
  <c r="H25" i="33"/>
  <c r="F25" i="33"/>
  <c r="J23" i="33"/>
  <c r="AC23" i="33"/>
  <c r="F85" i="33"/>
  <c r="H23" i="33"/>
  <c r="AB23" i="33"/>
  <c r="F81" i="33"/>
  <c r="F19" i="33"/>
  <c r="S19" i="33"/>
  <c r="W19" i="33"/>
  <c r="J17" i="33"/>
  <c r="W17" i="33"/>
  <c r="F79" i="33"/>
  <c r="S15" i="33"/>
  <c r="W15"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F34" i="67"/>
  <c r="F62" i="67"/>
  <c r="M20" i="67"/>
  <c r="F34" i="15"/>
  <c r="F62" i="15"/>
  <c r="G13" i="3"/>
  <c r="BA13" i="3"/>
  <c r="BL17" i="3"/>
  <c r="AZ17" i="3"/>
  <c r="J56" i="9"/>
  <c r="J57" i="9"/>
  <c r="J59" i="9"/>
  <c r="J61" i="9"/>
  <c r="A24" i="51"/>
  <c r="B18" i="72"/>
  <c r="U29" i="34"/>
  <c r="E5" i="6"/>
  <c r="E32" i="6"/>
  <c r="G1" i="68"/>
  <c r="K1" i="12"/>
  <c r="E19" i="69"/>
  <c r="E19" i="68"/>
  <c r="E19" i="11"/>
  <c r="E1" i="73"/>
  <c r="C6" i="43"/>
  <c r="B19" i="53"/>
  <c r="B37" i="72"/>
  <c r="C7" i="33"/>
  <c r="C7" i="21"/>
  <c r="G23" i="43"/>
  <c r="A4" i="51"/>
  <c r="B6" i="72"/>
  <c r="H67" i="43"/>
  <c r="L20" i="6"/>
  <c r="B6" i="1"/>
  <c r="E6" i="1"/>
  <c r="K11" i="1"/>
  <c r="M11" i="1"/>
  <c r="O11" i="1"/>
  <c r="B9" i="1"/>
  <c r="E9" i="1"/>
  <c r="K7" i="1"/>
  <c r="M7" i="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U32" i="36"/>
  <c r="W29"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C45" i="34"/>
  <c r="AA31" i="34"/>
  <c r="AA30" i="34"/>
  <c r="AB45" i="34"/>
  <c r="AB47" i="34"/>
  <c r="U25" i="34"/>
  <c r="AB36" i="34"/>
  <c r="W33" i="34"/>
  <c r="AC14" i="34"/>
  <c r="AC32" i="34"/>
  <c r="AC29" i="34"/>
  <c r="W29" i="34"/>
  <c r="W46" i="34"/>
  <c r="AC46" i="34"/>
  <c r="S32" i="34"/>
  <c r="AA32" i="34"/>
  <c r="U30" i="34"/>
  <c r="AB30" i="34"/>
  <c r="S37" i="34"/>
  <c r="U38" i="34"/>
  <c r="S36" i="34"/>
  <c r="AA8" i="34"/>
  <c r="S8" i="34"/>
  <c r="S46" i="34"/>
  <c r="AA46" i="34"/>
  <c r="U32" i="34"/>
  <c r="AB32" i="34"/>
  <c r="U14" i="34"/>
  <c r="AB14" i="34"/>
  <c r="W23" i="34"/>
  <c r="AC23"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AB42" i="21"/>
  <c r="U28" i="21"/>
  <c r="S45" i="21"/>
  <c r="I101" i="21"/>
  <c r="J101" i="21"/>
  <c r="K101" i="21"/>
  <c r="L101" i="21"/>
  <c r="M101" i="21"/>
  <c r="F33" i="21"/>
  <c r="AA33" i="21"/>
  <c r="J33" i="21"/>
  <c r="AC33" i="21"/>
  <c r="H33" i="21"/>
  <c r="AB33" i="21"/>
  <c r="F37" i="21"/>
  <c r="AA37" i="21"/>
  <c r="AA26" i="21"/>
  <c r="AB14" i="21"/>
  <c r="AB46" i="21"/>
  <c r="U40" i="21"/>
  <c r="AB31" i="21"/>
  <c r="U31" i="21"/>
  <c r="U13" i="21"/>
  <c r="AB13" i="21"/>
  <c r="S35" i="21"/>
  <c r="J37" i="21"/>
  <c r="W37" i="21"/>
  <c r="H15" i="21"/>
  <c r="U15" i="21"/>
  <c r="J17" i="21"/>
  <c r="AC17" i="21"/>
  <c r="AC19" i="21"/>
  <c r="W39" i="21"/>
  <c r="AC14" i="21"/>
  <c r="W30" i="21"/>
  <c r="S46" i="21"/>
  <c r="H45" i="21"/>
  <c r="U45" i="21"/>
  <c r="F29" i="21"/>
  <c r="S29" i="21"/>
  <c r="F13" i="21"/>
  <c r="AA13" i="21"/>
  <c r="AC38" i="21"/>
  <c r="H32" i="21"/>
  <c r="H9" i="21"/>
  <c r="J9" i="21"/>
  <c r="AC9" i="21"/>
  <c r="J32" i="21"/>
  <c r="W32" i="21"/>
  <c r="F32" i="21"/>
  <c r="AA31" i="21"/>
  <c r="U17" i="21"/>
  <c r="W29" i="21"/>
  <c r="S19" i="21"/>
  <c r="S9" i="21"/>
  <c r="AA9" i="21"/>
  <c r="K141" i="21"/>
  <c r="K144" i="21"/>
  <c r="K143" i="21"/>
  <c r="U27" i="21"/>
  <c r="AB25" i="21"/>
  <c r="AB44" i="21"/>
  <c r="AA30" i="21"/>
  <c r="W13" i="21"/>
  <c r="W42" i="21"/>
  <c r="AC45" i="21"/>
  <c r="F10" i="21"/>
  <c r="AA10" i="21"/>
  <c r="K145" i="21"/>
  <c r="W25"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c r="B73" i="72"/>
  <c r="C4" i="4"/>
  <c r="AA39" i="40"/>
  <c r="S12" i="33"/>
  <c r="AA12" i="33"/>
  <c r="J32" i="39"/>
  <c r="H32" i="39"/>
  <c r="AB32" i="39"/>
  <c r="AA32" i="39"/>
  <c r="U21" i="39"/>
  <c r="AA21" i="39"/>
  <c r="S21" i="39"/>
  <c r="AC17" i="37"/>
  <c r="S17" i="37"/>
  <c r="J19" i="37"/>
  <c r="AC19" i="37"/>
  <c r="G75" i="37"/>
  <c r="AA19" i="37"/>
  <c r="AA23" i="37"/>
  <c r="J23" i="37"/>
  <c r="G79" i="37"/>
  <c r="J10" i="37"/>
  <c r="W10" i="37"/>
  <c r="G63" i="37"/>
  <c r="H63" i="37"/>
  <c r="I63" i="37"/>
  <c r="H11" i="37"/>
  <c r="AB11" i="37"/>
  <c r="H11" i="34"/>
  <c r="U11" i="34"/>
  <c r="J10" i="34"/>
  <c r="AC10" i="34"/>
  <c r="W35" i="33"/>
  <c r="AC35" i="33"/>
  <c r="J36" i="33"/>
  <c r="W36" i="33"/>
  <c r="H36" i="33"/>
  <c r="U36" i="33"/>
  <c r="W32" i="33"/>
  <c r="U27" i="33"/>
  <c r="J27" i="33"/>
  <c r="AC27" i="33"/>
  <c r="U25" i="33"/>
  <c r="AB25" i="33"/>
  <c r="S25" i="33"/>
  <c r="AA25" i="33"/>
  <c r="G87" i="33"/>
  <c r="H87" i="33"/>
  <c r="I87" i="33"/>
  <c r="J87" i="33"/>
  <c r="K87" i="33"/>
  <c r="L87" i="33"/>
  <c r="M87" i="33"/>
  <c r="J25" i="33"/>
  <c r="U23" i="33"/>
  <c r="F23" i="33"/>
  <c r="AA23" i="33"/>
  <c r="G85" i="33"/>
  <c r="W23" i="33"/>
  <c r="AA19" i="33"/>
  <c r="H19" i="33"/>
  <c r="G81" i="33"/>
  <c r="G79" i="33"/>
  <c r="H17" i="33"/>
  <c r="U17" i="33"/>
  <c r="F17" i="33"/>
  <c r="S17" i="33"/>
  <c r="AC17" i="33"/>
  <c r="S37" i="21"/>
  <c r="J23" i="21"/>
  <c r="AC23" i="21"/>
  <c r="F85" i="21"/>
  <c r="G85" i="21"/>
  <c r="H23" i="21"/>
  <c r="S13" i="21"/>
  <c r="D6" i="52"/>
  <c r="AP7" i="1"/>
  <c r="AB45" i="21"/>
  <c r="AB9" i="21"/>
  <c r="U9" i="21"/>
  <c r="AA32" i="21"/>
  <c r="S32" i="21"/>
  <c r="AB32" i="21"/>
  <c r="U32" i="21"/>
  <c r="U32" i="39"/>
  <c r="AC32" i="39"/>
  <c r="W32" i="39"/>
  <c r="W23" i="37"/>
  <c r="AC23" i="37"/>
  <c r="J63" i="37"/>
  <c r="K63" i="37"/>
  <c r="L63" i="37"/>
  <c r="M63" i="37"/>
  <c r="J11" i="37"/>
  <c r="AC11" i="37"/>
  <c r="J11" i="34"/>
  <c r="W11" i="34"/>
  <c r="AB36" i="33"/>
  <c r="W27" i="33"/>
  <c r="W25" i="33"/>
  <c r="AC25" i="33"/>
  <c r="AB19" i="33"/>
  <c r="U19" i="33"/>
  <c r="AA17" i="33"/>
  <c r="AB17" i="33"/>
  <c r="U23" i="21"/>
  <c r="AB23" i="21"/>
  <c r="W23" i="21"/>
  <c r="H109" i="9"/>
  <c r="M49" i="9"/>
  <c r="H112" i="9"/>
  <c r="D21" i="53"/>
  <c r="B39" i="72"/>
  <c r="H111" i="9"/>
  <c r="D126" i="9"/>
  <c r="AD3" i="71"/>
  <c r="J1" i="73"/>
  <c r="H69" i="43"/>
  <c r="H50" i="43"/>
  <c r="C22" i="71"/>
  <c r="D23" i="71"/>
  <c r="D24" i="71"/>
  <c r="U24" i="71"/>
  <c r="S24" i="71"/>
  <c r="T24" i="71"/>
  <c r="AB22" i="71"/>
  <c r="X20" i="71"/>
  <c r="X19" i="71"/>
  <c r="AA20" i="71"/>
  <c r="AA19" i="71"/>
  <c r="X23" i="71"/>
  <c r="Y19" i="71"/>
  <c r="Z19" i="71"/>
  <c r="AB20" i="71"/>
  <c r="AB19" i="71"/>
  <c r="S20" i="71"/>
  <c r="F21" i="71"/>
  <c r="F20" i="71"/>
  <c r="F19" i="71"/>
  <c r="F18" i="71"/>
  <c r="F17" i="71"/>
  <c r="Y20" i="71"/>
  <c r="Z20" i="71"/>
  <c r="X3" i="71"/>
  <c r="AA14" i="34"/>
  <c r="C18" i="9"/>
  <c r="D18" i="9"/>
  <c r="W43" i="34"/>
  <c r="AC36" i="34"/>
  <c r="AC35" i="34"/>
  <c r="S35" i="34"/>
  <c r="AC44" i="34"/>
  <c r="S44" i="34"/>
  <c r="W40" i="34"/>
  <c r="S23" i="34"/>
  <c r="S21" i="34"/>
  <c r="W19" i="34"/>
  <c r="S19" i="34"/>
  <c r="AB19" i="34"/>
  <c r="AC17" i="34"/>
  <c r="AB17" i="34"/>
  <c r="S17" i="34"/>
  <c r="W15" i="34"/>
  <c r="S15" i="34"/>
  <c r="U15" i="34"/>
  <c r="W13" i="34"/>
  <c r="AC13" i="34"/>
  <c r="H13" i="34"/>
  <c r="S13" i="34"/>
  <c r="C21" i="68"/>
  <c r="M18" i="67"/>
  <c r="F30" i="11"/>
  <c r="C48" i="11"/>
  <c r="M18" i="15"/>
  <c r="F32" i="15"/>
  <c r="F60" i="15"/>
  <c r="F52" i="9"/>
  <c r="F30" i="68"/>
  <c r="F48" i="68"/>
  <c r="F54" i="9"/>
  <c r="F30" i="69"/>
  <c r="F48" i="69"/>
  <c r="F31" i="12"/>
  <c r="D68" i="9"/>
  <c r="F28" i="15"/>
  <c r="C28" i="15"/>
  <c r="F32" i="67"/>
  <c r="F60" i="67"/>
  <c r="F28" i="67"/>
  <c r="C5" i="68"/>
  <c r="G22" i="11"/>
  <c r="G26" i="12"/>
  <c r="G22" i="68"/>
  <c r="G22" i="69"/>
  <c r="BL13" i="3"/>
  <c r="G28" i="6"/>
  <c r="A4" i="52"/>
  <c r="B41" i="72"/>
  <c r="A118" i="9"/>
  <c r="M47" i="9"/>
  <c r="C7" i="35"/>
  <c r="C48" i="35"/>
  <c r="D48" i="35"/>
  <c r="C42" i="1"/>
  <c r="C24" i="12"/>
  <c r="C7" i="40"/>
  <c r="C63" i="40"/>
  <c r="C7" i="39"/>
  <c r="C67" i="39"/>
  <c r="D22" i="71"/>
  <c r="C21" i="71"/>
  <c r="AA15" i="37"/>
  <c r="S15" i="37"/>
  <c r="W36" i="40"/>
  <c r="AC36" i="40"/>
  <c r="D19" i="53"/>
  <c r="B38" i="72"/>
  <c r="D16" i="53"/>
  <c r="B34" i="72"/>
  <c r="S23" i="33"/>
  <c r="W19" i="37"/>
  <c r="W9" i="21"/>
  <c r="AB15" i="21"/>
  <c r="U41" i="33"/>
  <c r="AA29" i="21"/>
  <c r="AC20" i="36"/>
  <c r="S20" i="36"/>
  <c r="AB35" i="34"/>
  <c r="U44" i="34"/>
  <c r="U32" i="37"/>
  <c r="AA27" i="40"/>
  <c r="F29" i="6"/>
  <c r="AZ327" i="3"/>
  <c r="S11" i="39"/>
  <c r="AB21" i="40"/>
  <c r="U11" i="33"/>
  <c r="AA13" i="33"/>
  <c r="AZ565" i="3"/>
  <c r="AZ498" i="3"/>
  <c r="AZ506" i="3"/>
  <c r="AZ542" i="3"/>
  <c r="S11" i="36"/>
  <c r="AA14" i="40"/>
  <c r="S14" i="40"/>
  <c r="U46" i="34"/>
  <c r="AB46" i="34"/>
  <c r="U29" i="33"/>
  <c r="AB29" i="33"/>
  <c r="AA23" i="21"/>
  <c r="S36" i="33"/>
  <c r="AB33" i="34"/>
  <c r="AA40" i="34"/>
  <c r="AB41" i="34"/>
  <c r="AA33" i="34"/>
  <c r="AC11" i="39"/>
  <c r="AZ334" i="3"/>
  <c r="W44" i="33"/>
  <c r="U14" i="40"/>
  <c r="AZ559" i="3"/>
  <c r="AZ587" i="3"/>
  <c r="AC27" i="37"/>
  <c r="W27" i="37"/>
  <c r="S14" i="33"/>
  <c r="AA14" i="33"/>
  <c r="S33" i="35"/>
  <c r="BL581" i="3"/>
  <c r="AZ581" i="3"/>
  <c r="BL575" i="3"/>
  <c r="AZ575" i="3"/>
  <c r="W17" i="21"/>
  <c r="AC15" i="21"/>
  <c r="U35" i="40"/>
  <c r="S35" i="33"/>
  <c r="AA30" i="40"/>
  <c r="AC43" i="33"/>
  <c r="W43" i="33"/>
  <c r="S26" i="36"/>
  <c r="AA42" i="33"/>
  <c r="AZ501" i="3"/>
  <c r="AZ494" i="3"/>
  <c r="AZ510" i="3"/>
  <c r="AZ558" i="3"/>
  <c r="AC31" i="34"/>
  <c r="W31" i="34"/>
  <c r="AB46" i="33"/>
  <c r="U46" i="33"/>
  <c r="W20" i="35"/>
  <c r="AC20" i="35"/>
  <c r="AB25" i="39"/>
  <c r="U25" i="39"/>
  <c r="W12" i="37"/>
  <c r="AC12" i="37"/>
  <c r="AZ503" i="3"/>
  <c r="AZ515" i="3"/>
  <c r="AZ573" i="3"/>
  <c r="S38" i="37"/>
  <c r="AA38" i="37"/>
  <c r="U45" i="33"/>
  <c r="AB45" i="33"/>
  <c r="AA14" i="35"/>
  <c r="S14" i="35"/>
  <c r="AC40" i="40"/>
  <c r="W40" i="40"/>
  <c r="BL521" i="3"/>
  <c r="AZ521" i="3"/>
  <c r="BL517" i="3"/>
  <c r="AZ517" i="3"/>
  <c r="BL505" i="3"/>
  <c r="AZ505" i="3"/>
  <c r="BL499" i="3"/>
  <c r="AZ499" i="3"/>
  <c r="BL495" i="3"/>
  <c r="AZ495" i="3"/>
  <c r="H12" i="33"/>
  <c r="AC9" i="34"/>
  <c r="W9" i="34"/>
  <c r="AC28" i="36"/>
  <c r="W28" i="36"/>
  <c r="AA34" i="39"/>
  <c r="S34" i="39"/>
  <c r="G526" i="3"/>
  <c r="W14" i="36"/>
  <c r="AB34" i="39"/>
  <c r="H5" i="3"/>
  <c r="W44" i="39"/>
  <c r="H13" i="35"/>
  <c r="F45" i="34"/>
  <c r="AC11" i="35"/>
  <c r="F44" i="21"/>
  <c r="W40" i="33"/>
  <c r="W8" i="34"/>
  <c r="B97" i="43"/>
  <c r="B75" i="43"/>
  <c r="H9" i="33"/>
  <c r="F9" i="34"/>
  <c r="AA9" i="34"/>
  <c r="H12" i="34"/>
  <c r="AC31" i="35"/>
  <c r="AA12" i="34"/>
  <c r="S34" i="21"/>
  <c r="U34" i="34"/>
  <c r="B101" i="43"/>
  <c r="B79" i="43"/>
  <c r="H9" i="34"/>
  <c r="J12" i="34"/>
  <c r="J12" i="36"/>
  <c r="H23" i="36"/>
  <c r="F23" i="36"/>
  <c r="J23" i="36"/>
  <c r="AA34" i="40"/>
  <c r="S34" i="40"/>
  <c r="J39" i="40"/>
  <c r="H39" i="40"/>
  <c r="BA550" i="3"/>
  <c r="AZ550" i="3"/>
  <c r="AB34" i="40"/>
  <c r="U34" i="40"/>
  <c r="H40" i="40"/>
  <c r="F40" i="40"/>
  <c r="AZ398" i="3"/>
  <c r="AZ424" i="3"/>
  <c r="AZ443" i="3"/>
  <c r="J36" i="35"/>
  <c r="G551" i="3"/>
  <c r="BL548" i="3"/>
  <c r="AZ548" i="3"/>
  <c r="AZ422" i="3"/>
  <c r="AZ458" i="3"/>
  <c r="J34" i="35"/>
  <c r="F34" i="35"/>
  <c r="AZ413" i="3"/>
  <c r="AZ403" i="3"/>
  <c r="AZ404" i="3"/>
  <c r="AZ423" i="3"/>
  <c r="G419" i="3"/>
  <c r="BL428" i="3"/>
  <c r="AZ428" i="3"/>
  <c r="BL432" i="3"/>
  <c r="BL435" i="3"/>
  <c r="G437" i="3"/>
  <c r="BA440" i="3"/>
  <c r="AZ440" i="3"/>
  <c r="BL442" i="3"/>
  <c r="BL445" i="3"/>
  <c r="AZ453" i="3"/>
  <c r="BL461" i="3"/>
  <c r="AZ461" i="3"/>
  <c r="AZ467" i="3"/>
  <c r="AZ475" i="3"/>
  <c r="AZ476" i="3"/>
  <c r="AZ478" i="3"/>
  <c r="AZ487" i="3"/>
  <c r="AZ332" i="3"/>
  <c r="BL417" i="3"/>
  <c r="AZ417" i="3"/>
  <c r="G427" i="3"/>
  <c r="AZ432" i="3"/>
  <c r="BL436" i="3"/>
  <c r="BL438" i="3"/>
  <c r="G440" i="3"/>
  <c r="BA442" i="3"/>
  <c r="AZ442" i="3"/>
  <c r="AZ445" i="3"/>
  <c r="G447" i="3"/>
  <c r="BL449" i="3"/>
  <c r="AZ449" i="3"/>
  <c r="AZ397" i="3"/>
  <c r="AZ208" i="3"/>
  <c r="AZ221" i="3"/>
  <c r="AZ230" i="3"/>
  <c r="AZ262" i="3"/>
  <c r="BL421" i="3"/>
  <c r="AZ421" i="3"/>
  <c r="BA426" i="3"/>
  <c r="AZ426" i="3"/>
  <c r="BA435" i="3"/>
  <c r="AZ435" i="3"/>
  <c r="BA436" i="3"/>
  <c r="AZ436" i="3"/>
  <c r="BL439" i="3"/>
  <c r="AZ439" i="3"/>
  <c r="BL441" i="3"/>
  <c r="AZ441" i="3"/>
  <c r="BL446" i="3"/>
  <c r="AZ446" i="3"/>
  <c r="G451" i="3"/>
  <c r="BA454" i="3"/>
  <c r="AZ454" i="3"/>
  <c r="AZ464" i="3"/>
  <c r="AZ471" i="3"/>
  <c r="AZ477" i="3"/>
  <c r="AZ483" i="3"/>
  <c r="AZ484" i="3"/>
  <c r="AZ486" i="3"/>
  <c r="AZ316" i="3"/>
  <c r="AZ246" i="3"/>
  <c r="AZ255" i="3"/>
  <c r="A15" i="62"/>
  <c r="B61" i="72"/>
  <c r="BA429" i="3"/>
  <c r="AZ429" i="3"/>
  <c r="AZ438" i="3"/>
  <c r="BL453" i="3"/>
  <c r="AZ216" i="3"/>
  <c r="AZ260" i="3"/>
  <c r="BL221" i="3"/>
  <c r="BA229" i="3"/>
  <c r="AZ229" i="3"/>
  <c r="BA234" i="3"/>
  <c r="AZ234" i="3"/>
  <c r="BL238" i="3"/>
  <c r="AZ238" i="3"/>
  <c r="G242" i="3"/>
  <c r="BA249" i="3"/>
  <c r="AZ249" i="3"/>
  <c r="BL253" i="3"/>
  <c r="AZ253" i="3"/>
  <c r="BL258" i="3"/>
  <c r="BA264" i="3"/>
  <c r="AZ264" i="3"/>
  <c r="BL273" i="3"/>
  <c r="AZ273" i="3"/>
  <c r="G274" i="3"/>
  <c r="BL279" i="3"/>
  <c r="AZ279" i="3"/>
  <c r="G280" i="3"/>
  <c r="BL281" i="3"/>
  <c r="AZ281" i="3"/>
  <c r="G282" i="3"/>
  <c r="BL283" i="3"/>
  <c r="AZ283" i="3"/>
  <c r="BA287" i="3"/>
  <c r="AZ287" i="3"/>
  <c r="BL292" i="3"/>
  <c r="G293" i="3"/>
  <c r="G301" i="3"/>
  <c r="G114" i="3"/>
  <c r="BA118" i="3"/>
  <c r="G252" i="3"/>
  <c r="AZ258" i="3"/>
  <c r="AZ134" i="3"/>
  <c r="AZ137" i="3"/>
  <c r="AZ22" i="3"/>
  <c r="AZ226" i="3"/>
  <c r="AZ236" i="3"/>
  <c r="AZ270" i="3"/>
  <c r="AZ292" i="3"/>
  <c r="AZ294" i="3"/>
  <c r="BA300" i="3"/>
  <c r="AZ300" i="3"/>
  <c r="BA301" i="3"/>
  <c r="AZ301" i="3"/>
  <c r="AZ302" i="3"/>
  <c r="BA113" i="3"/>
  <c r="AZ113" i="3"/>
  <c r="BL118" i="3"/>
  <c r="G119" i="3"/>
  <c r="BA120" i="3"/>
  <c r="AZ120" i="3"/>
  <c r="AZ145" i="3"/>
  <c r="AZ207" i="3"/>
  <c r="BL223" i="3"/>
  <c r="AZ223" i="3"/>
  <c r="BA239" i="3"/>
  <c r="AZ239" i="3"/>
  <c r="BL243" i="3"/>
  <c r="AZ243" i="3"/>
  <c r="BL246" i="3"/>
  <c r="BA256" i="3"/>
  <c r="AZ256" i="3"/>
  <c r="BA261" i="3"/>
  <c r="AZ261" i="3"/>
  <c r="BL268" i="3"/>
  <c r="AZ268" i="3"/>
  <c r="BA271" i="3"/>
  <c r="AZ271" i="3"/>
  <c r="AZ276" i="3"/>
  <c r="BA277" i="3"/>
  <c r="AZ277" i="3"/>
  <c r="BL284" i="3"/>
  <c r="AZ284" i="3"/>
  <c r="AZ289" i="3"/>
  <c r="BA290" i="3"/>
  <c r="AZ290" i="3"/>
  <c r="BA298" i="3"/>
  <c r="AZ298" i="3"/>
  <c r="AZ126" i="3"/>
  <c r="AZ129" i="3"/>
  <c r="AZ141" i="3"/>
  <c r="BL182" i="3"/>
  <c r="AZ182" i="3"/>
  <c r="BL66" i="3"/>
  <c r="AZ68" i="3"/>
  <c r="AZ44" i="3"/>
  <c r="AZ60" i="3"/>
  <c r="AZ62" i="3"/>
  <c r="AZ92" i="3"/>
  <c r="AZ108" i="3"/>
  <c r="BL197" i="3"/>
  <c r="AZ197" i="3"/>
  <c r="AZ38" i="3"/>
  <c r="AZ56" i="3"/>
  <c r="AZ90" i="3"/>
  <c r="BA184" i="3"/>
  <c r="AZ184" i="3"/>
  <c r="BA190" i="3"/>
  <c r="AZ190" i="3"/>
  <c r="G194" i="3"/>
  <c r="BL202" i="3"/>
  <c r="AZ202" i="3"/>
  <c r="BL206" i="3"/>
  <c r="AZ206" i="3"/>
  <c r="BA19" i="3"/>
  <c r="AZ19" i="3"/>
  <c r="BL21" i="3"/>
  <c r="AZ21" i="3"/>
  <c r="BA24" i="3"/>
  <c r="AZ24" i="3"/>
  <c r="BL27" i="3"/>
  <c r="AZ27" i="3"/>
  <c r="G30" i="3"/>
  <c r="G5" i="3"/>
  <c r="B3" i="3"/>
  <c r="BL31" i="3"/>
  <c r="AZ31" i="3"/>
  <c r="BA34" i="3"/>
  <c r="AZ34" i="3"/>
  <c r="AZ36" i="3"/>
  <c r="BA37" i="3"/>
  <c r="AZ37" i="3"/>
  <c r="BA39" i="3"/>
  <c r="AZ39" i="3"/>
  <c r="BA42" i="3"/>
  <c r="AZ42" i="3"/>
  <c r="G45" i="3"/>
  <c r="BL46" i="3"/>
  <c r="AZ46" i="3"/>
  <c r="BL49" i="3"/>
  <c r="AZ49" i="3"/>
  <c r="BA52" i="3"/>
  <c r="AZ52" i="3"/>
  <c r="AZ54" i="3"/>
  <c r="BA55" i="3"/>
  <c r="AZ55" i="3"/>
  <c r="AZ57" i="3"/>
  <c r="BA58" i="3"/>
  <c r="AZ58" i="3"/>
  <c r="G61" i="3"/>
  <c r="BL62" i="3"/>
  <c r="BL71" i="3"/>
  <c r="AZ73" i="3"/>
  <c r="AZ87" i="3"/>
  <c r="BA63" i="3"/>
  <c r="AZ63" i="3"/>
  <c r="BA81" i="3"/>
  <c r="AZ81" i="3"/>
  <c r="BA85" i="3"/>
  <c r="AZ85" i="3"/>
  <c r="BL89" i="3"/>
  <c r="AZ89" i="3"/>
  <c r="BA107" i="3"/>
  <c r="AZ107" i="3"/>
  <c r="BA112" i="3"/>
  <c r="AZ112" i="3"/>
  <c r="D44" i="71"/>
  <c r="T44" i="71"/>
  <c r="G67" i="3"/>
  <c r="G72" i="3"/>
  <c r="BA76" i="3"/>
  <c r="AZ76" i="3"/>
  <c r="BL80" i="3"/>
  <c r="AZ80" i="3"/>
  <c r="G84" i="3"/>
  <c r="BL87" i="3"/>
  <c r="BA93" i="3"/>
  <c r="AZ93" i="3"/>
  <c r="BA96" i="3"/>
  <c r="AZ96" i="3"/>
  <c r="BA99" i="3"/>
  <c r="AZ99" i="3"/>
  <c r="BL104" i="3"/>
  <c r="AZ104" i="3"/>
  <c r="BL111" i="3"/>
  <c r="AZ111" i="3"/>
  <c r="AC21" i="34"/>
  <c r="T40" i="71"/>
  <c r="D40" i="71"/>
  <c r="C35" i="71"/>
  <c r="D34" i="71"/>
  <c r="BA66" i="3"/>
  <c r="AZ66" i="3"/>
  <c r="BA71" i="3"/>
  <c r="AZ71" i="3"/>
  <c r="BL75" i="3"/>
  <c r="AZ75" i="3"/>
  <c r="BL78" i="3"/>
  <c r="AZ78" i="3"/>
  <c r="BA83" i="3"/>
  <c r="AZ83" i="3"/>
  <c r="G91" i="3"/>
  <c r="BL95" i="3"/>
  <c r="BL98" i="3"/>
  <c r="AZ98" i="3"/>
  <c r="BL109" i="3"/>
  <c r="AZ109" i="3"/>
  <c r="U21" i="34"/>
  <c r="AB18" i="35"/>
  <c r="U18" i="35"/>
  <c r="C52" i="71"/>
  <c r="D51" i="71"/>
  <c r="C55" i="71"/>
  <c r="D54" i="71"/>
  <c r="C60" i="71"/>
  <c r="D59" i="71"/>
  <c r="AZ95" i="3"/>
  <c r="U25" i="40"/>
  <c r="T64" i="71"/>
  <c r="D87" i="71"/>
  <c r="AA28" i="71"/>
  <c r="AA3" i="71"/>
  <c r="C27" i="71"/>
  <c r="T68" i="71"/>
  <c r="X27" i="71"/>
  <c r="Y26" i="71"/>
  <c r="Z26" i="71"/>
  <c r="Y33" i="71"/>
  <c r="Z33" i="71"/>
  <c r="Y29" i="71"/>
  <c r="Z29" i="71"/>
  <c r="B32" i="71"/>
  <c r="S32" i="71"/>
  <c r="AB29" i="71"/>
  <c r="AB30" i="71"/>
  <c r="Y31" i="71"/>
  <c r="Z31" i="71"/>
  <c r="Y35" i="71"/>
  <c r="Z35" i="71"/>
  <c r="AB36" i="71"/>
  <c r="F38" i="71"/>
  <c r="F39" i="71"/>
  <c r="F40" i="71"/>
  <c r="V40" i="71"/>
  <c r="E51" i="71"/>
  <c r="E52" i="71"/>
  <c r="U52" i="71"/>
  <c r="V68" i="71"/>
  <c r="F67" i="71"/>
  <c r="X24" i="71"/>
  <c r="AA24" i="71"/>
  <c r="X22" i="71"/>
  <c r="X21" i="71"/>
  <c r="AA21" i="71"/>
  <c r="Y11" i="71"/>
  <c r="Z11" i="71"/>
  <c r="AB14" i="71"/>
  <c r="S21" i="21"/>
  <c r="U18" i="36"/>
  <c r="AA25" i="40"/>
  <c r="AA27" i="71"/>
  <c r="AB27" i="71"/>
  <c r="T28" i="71"/>
  <c r="C67" i="71"/>
  <c r="Y28" i="71"/>
  <c r="Z28" i="71"/>
  <c r="AA34" i="71"/>
  <c r="C30" i="71"/>
  <c r="E31" i="71"/>
  <c r="E32" i="71"/>
  <c r="U32" i="71"/>
  <c r="AB24" i="71"/>
  <c r="Y24" i="71"/>
  <c r="Z24" i="71"/>
  <c r="Y21" i="71"/>
  <c r="Z21" i="71"/>
  <c r="Y22" i="71"/>
  <c r="Z22" i="71"/>
  <c r="Y25" i="71"/>
  <c r="Z25" i="71"/>
  <c r="AB23" i="71"/>
  <c r="AA23" i="71"/>
  <c r="AA18" i="71"/>
  <c r="X18" i="71"/>
  <c r="AA15" i="71"/>
  <c r="AA11" i="71"/>
  <c r="AA13" i="71"/>
  <c r="AA14" i="71"/>
  <c r="AA17" i="71"/>
  <c r="AA12" i="71"/>
  <c r="B28" i="71"/>
  <c r="X26" i="71"/>
  <c r="Y10" i="71"/>
  <c r="Z10" i="71"/>
  <c r="Y9" i="71"/>
  <c r="Z9" i="71"/>
  <c r="Y39" i="71"/>
  <c r="Z39" i="71"/>
  <c r="E23" i="71"/>
  <c r="E22" i="71"/>
  <c r="E21" i="71"/>
  <c r="E20" i="71"/>
  <c r="V24" i="71"/>
  <c r="Y18" i="71"/>
  <c r="Z18" i="71"/>
  <c r="Y13" i="71"/>
  <c r="Z13" i="71"/>
  <c r="X28" i="71"/>
  <c r="F30" i="71"/>
  <c r="F31" i="71"/>
  <c r="F32" i="71"/>
  <c r="V32" i="71"/>
  <c r="E34" i="71"/>
  <c r="E35" i="71"/>
  <c r="E36" i="71"/>
  <c r="U36" i="71"/>
  <c r="AA33" i="71"/>
  <c r="X33" i="71"/>
  <c r="X34" i="71"/>
  <c r="AB35" i="71"/>
  <c r="Y38" i="71"/>
  <c r="Z38" i="71"/>
  <c r="AA10" i="71"/>
  <c r="AA39" i="71"/>
  <c r="AA9" i="71"/>
  <c r="Y23" i="71"/>
  <c r="Z23" i="71"/>
  <c r="AB21" i="71"/>
  <c r="Y17" i="71"/>
  <c r="Z17" i="71"/>
  <c r="AB18" i="71"/>
  <c r="X11" i="71"/>
  <c r="X17" i="71"/>
  <c r="X10" i="71"/>
  <c r="AB9" i="71"/>
  <c r="N56" i="9"/>
  <c r="AB15" i="71"/>
  <c r="AB17" i="71"/>
  <c r="AB12" i="71"/>
  <c r="Y12" i="71"/>
  <c r="Z12" i="71"/>
  <c r="X15" i="71"/>
  <c r="AB11" i="71"/>
  <c r="Y14" i="71"/>
  <c r="Z14" i="71"/>
  <c r="X13" i="71"/>
  <c r="X9" i="71"/>
  <c r="AB10" i="71"/>
  <c r="X12" i="71"/>
  <c r="X14" i="7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F53" i="9"/>
  <c r="C5" i="11"/>
  <c r="C4" i="12"/>
  <c r="C31" i="12"/>
  <c r="E14" i="6"/>
  <c r="E63" i="39"/>
  <c r="I4" i="6"/>
  <c r="G3" i="43"/>
  <c r="G26" i="43"/>
  <c r="E29" i="6"/>
  <c r="K15" i="1"/>
  <c r="F30" i="6"/>
  <c r="G30" i="6"/>
  <c r="G31" i="6"/>
  <c r="E28" i="6"/>
  <c r="L19" i="6"/>
  <c r="L27" i="6"/>
  <c r="M6" i="1"/>
  <c r="O6" i="1"/>
  <c r="T13" i="1"/>
  <c r="C58" i="21"/>
  <c r="C58" i="33"/>
  <c r="C59" i="34"/>
  <c r="D59" i="34"/>
  <c r="E59" i="34"/>
  <c r="F59" i="34"/>
  <c r="G59" i="34"/>
  <c r="H59" i="34"/>
  <c r="I59" i="34"/>
  <c r="J59" i="34"/>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Q16" i="1"/>
  <c r="E8" i="6"/>
  <c r="F27" i="6"/>
  <c r="E12" i="6"/>
  <c r="E57" i="40"/>
  <c r="E15" i="6"/>
  <c r="E64" i="39"/>
  <c r="E11" i="6"/>
  <c r="E60" i="39"/>
  <c r="E10" i="6"/>
  <c r="E13" i="6"/>
  <c r="H16" i="1"/>
  <c r="P11" i="1"/>
  <c r="E59" i="40"/>
  <c r="K14" i="1"/>
  <c r="D9" i="11"/>
  <c r="C9" i="11"/>
  <c r="D19" i="12"/>
  <c r="C19" i="12" s="1"/>
  <c r="AZ13" i="3"/>
  <c r="O9" i="1"/>
  <c r="P9" i="1"/>
  <c r="O12" i="1"/>
  <c r="P12" i="1"/>
  <c r="O8" i="1"/>
  <c r="P8" i="1"/>
  <c r="H73" i="43"/>
  <c r="H90" i="43"/>
  <c r="C23" i="43"/>
  <c r="O23" i="43"/>
  <c r="I18" i="43"/>
  <c r="E17" i="43"/>
  <c r="C17" i="43"/>
  <c r="C24" i="43"/>
  <c r="F26" i="43"/>
  <c r="J26" i="43"/>
  <c r="A1" i="79"/>
  <c r="H55" i="43"/>
  <c r="H86" i="43"/>
  <c r="H87" i="43"/>
  <c r="N370" i="46"/>
  <c r="N94" i="46"/>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H7" i="36"/>
  <c r="E52" i="37"/>
  <c r="F52" i="37"/>
  <c r="G52" i="37"/>
  <c r="H52" i="37"/>
  <c r="I52" i="37"/>
  <c r="J52" i="37"/>
  <c r="K52" i="37"/>
  <c r="L52" i="37"/>
  <c r="M52" i="37"/>
  <c r="N52" i="37"/>
  <c r="O52" i="37"/>
  <c r="J7" i="36"/>
  <c r="F7" i="36"/>
  <c r="D58" i="21"/>
  <c r="E48" i="35"/>
  <c r="D63" i="40"/>
  <c r="C65" i="40"/>
  <c r="D58" i="33"/>
  <c r="E58" i="33"/>
  <c r="F58" i="33"/>
  <c r="G58" i="33"/>
  <c r="H58" i="33"/>
  <c r="I58" i="33"/>
  <c r="J58" i="33"/>
  <c r="K58" i="33"/>
  <c r="L58" i="33"/>
  <c r="M58" i="33"/>
  <c r="N58" i="33"/>
  <c r="O58" i="33"/>
  <c r="K4" i="4"/>
  <c r="B46" i="48"/>
  <c r="B4" i="72"/>
  <c r="B4" i="62"/>
  <c r="B71" i="72"/>
  <c r="D9" i="53"/>
  <c r="B25" i="72"/>
  <c r="B24" i="72"/>
  <c r="K120" i="9"/>
  <c r="A18" i="62"/>
  <c r="B64" i="72"/>
  <c r="Y16" i="71"/>
  <c r="Z16" i="71"/>
  <c r="Y15" i="71"/>
  <c r="Z15" i="71"/>
  <c r="AA16" i="71"/>
  <c r="AB3" i="71"/>
  <c r="B16" i="71"/>
  <c r="X16" i="71"/>
  <c r="AB16" i="71"/>
  <c r="Y3" i="71"/>
  <c r="Z3" i="71"/>
  <c r="F16" i="71"/>
  <c r="F15" i="71"/>
  <c r="F14" i="71"/>
  <c r="F13" i="71"/>
  <c r="F12" i="71"/>
  <c r="F11" i="71"/>
  <c r="F10" i="71"/>
  <c r="F9" i="71"/>
  <c r="F8" i="71"/>
  <c r="F7" i="71"/>
  <c r="F6" i="71"/>
  <c r="F5" i="71"/>
  <c r="AF3" i="71"/>
  <c r="P26" i="43"/>
  <c r="D9" i="69"/>
  <c r="C9" i="69" s="1"/>
  <c r="F27" i="69"/>
  <c r="F45" i="69" s="1"/>
  <c r="C36" i="69"/>
  <c r="D9" i="68"/>
  <c r="C9" i="68" s="1"/>
  <c r="AB13" i="34"/>
  <c r="U13" i="34"/>
  <c r="S9" i="34"/>
  <c r="C48" i="69"/>
  <c r="C30" i="69"/>
  <c r="P6" i="1"/>
  <c r="C13" i="12"/>
  <c r="E26" i="43"/>
  <c r="H26" i="43"/>
  <c r="K16" i="1"/>
  <c r="C28" i="67"/>
  <c r="C32" i="67"/>
  <c r="K1" i="73"/>
  <c r="E510" i="3"/>
  <c r="E329" i="3"/>
  <c r="E16" i="3"/>
  <c r="E188" i="3"/>
  <c r="E223" i="3"/>
  <c r="E116" i="3"/>
  <c r="E105" i="3"/>
  <c r="E393" i="3"/>
  <c r="E493" i="3"/>
  <c r="E564" i="3"/>
  <c r="E543" i="3"/>
  <c r="E486" i="3"/>
  <c r="E507" i="3"/>
  <c r="E422" i="3"/>
  <c r="E490" i="3"/>
  <c r="E376" i="3"/>
  <c r="AH6" i="3"/>
  <c r="J6" i="3"/>
  <c r="E498" i="3"/>
  <c r="E483" i="3"/>
  <c r="E401" i="3"/>
  <c r="E463" i="3"/>
  <c r="E40" i="3"/>
  <c r="E25" i="3"/>
  <c r="E108" i="3"/>
  <c r="E178" i="3"/>
  <c r="E202" i="3"/>
  <c r="E226" i="3"/>
  <c r="E276" i="3"/>
  <c r="E346" i="3"/>
  <c r="E333" i="3"/>
  <c r="E372" i="3"/>
  <c r="L6" i="3"/>
  <c r="E60" i="3"/>
  <c r="E43" i="3"/>
  <c r="E540" i="3"/>
  <c r="E473" i="3"/>
  <c r="E15" i="3"/>
  <c r="E455" i="3"/>
  <c r="E79" i="3"/>
  <c r="E38" i="3"/>
  <c r="E100" i="3"/>
  <c r="E170" i="3"/>
  <c r="E137" i="3"/>
  <c r="E234" i="3"/>
  <c r="E219" i="3"/>
  <c r="E299" i="3"/>
  <c r="E339" i="3"/>
  <c r="E325" i="3"/>
  <c r="E392" i="3"/>
  <c r="AQ6" i="3"/>
  <c r="E52" i="3"/>
  <c r="E36" i="3"/>
  <c r="E112" i="3"/>
  <c r="E123" i="3"/>
  <c r="E147" i="3"/>
  <c r="E289" i="3"/>
  <c r="E340" i="3"/>
  <c r="E364" i="3"/>
  <c r="E50" i="3"/>
  <c r="E20" i="3"/>
  <c r="E62" i="3"/>
  <c r="E176" i="3"/>
  <c r="E218" i="3"/>
  <c r="E265" i="3"/>
  <c r="E365" i="3"/>
  <c r="E524" i="3"/>
  <c r="E101" i="3"/>
  <c r="E205" i="3"/>
  <c r="E296" i="3"/>
  <c r="E140" i="3"/>
  <c r="E197" i="3"/>
  <c r="E173" i="3"/>
  <c r="E369" i="3"/>
  <c r="E525" i="3"/>
  <c r="E534" i="3"/>
  <c r="T6" i="3"/>
  <c r="E405" i="3"/>
  <c r="E456" i="3"/>
  <c r="E469" i="3"/>
  <c r="E512" i="3"/>
  <c r="E408"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244" i="3"/>
  <c r="E149" i="3"/>
  <c r="E167" i="3"/>
  <c r="E141" i="3"/>
  <c r="E312" i="3"/>
  <c r="AD6" i="3"/>
  <c r="E542" i="3"/>
  <c r="E552" i="3"/>
  <c r="E421" i="3"/>
  <c r="E464" i="3"/>
  <c r="E487" i="3"/>
  <c r="E398" i="3"/>
  <c r="E416" i="3"/>
  <c r="E459" i="3"/>
  <c r="E374" i="3"/>
  <c r="E566" i="3"/>
  <c r="E500" i="3"/>
  <c r="E582" i="3"/>
  <c r="E413" i="3"/>
  <c r="E460"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64" i="3"/>
  <c r="E46" i="3"/>
  <c r="E103" i="3"/>
  <c r="E160" i="3"/>
  <c r="E142" i="3"/>
  <c r="E200" i="3"/>
  <c r="E267" i="3"/>
  <c r="E249" i="3"/>
  <c r="E300" i="3"/>
  <c r="E310" i="3"/>
  <c r="E492" i="3"/>
  <c r="E23" i="3"/>
  <c r="E33" i="3"/>
  <c r="E144" i="3"/>
  <c r="E184" i="3"/>
  <c r="E233" i="3"/>
  <c r="E381" i="3"/>
  <c r="E68" i="3"/>
  <c r="E63" i="3"/>
  <c r="E81" i="3"/>
  <c r="E118" i="3"/>
  <c r="E264" i="3"/>
  <c r="E283" i="3"/>
  <c r="E309" i="3"/>
  <c r="E513" i="3"/>
  <c r="E21" i="3"/>
  <c r="E39" i="3"/>
  <c r="E187" i="3"/>
  <c r="E259" i="3"/>
  <c r="E504" i="3"/>
  <c r="E462" i="3"/>
  <c r="E98" i="3"/>
  <c r="E163" i="3"/>
  <c r="E307" i="3"/>
  <c r="E66" i="3"/>
  <c r="E127" i="3"/>
  <c r="Y6" i="3"/>
  <c r="E179" i="3"/>
  <c r="E82" i="3"/>
  <c r="E131" i="3"/>
  <c r="E375" i="3"/>
  <c r="E47" i="3"/>
  <c r="E266" i="3"/>
  <c r="E87" i="3"/>
  <c r="E154" i="3"/>
  <c r="E90" i="3"/>
  <c r="E155" i="3"/>
  <c r="E348" i="3"/>
  <c r="E58" i="3"/>
  <c r="E521" i="3"/>
  <c r="E65" i="3"/>
  <c r="E248" i="3"/>
  <c r="E386" i="3"/>
  <c r="E24" i="3"/>
  <c r="E250" i="3"/>
  <c r="E51" i="3"/>
  <c r="E222" i="3"/>
  <c r="E436" i="3"/>
  <c r="E297" i="3"/>
  <c r="E488" i="3"/>
  <c r="E195" i="3"/>
  <c r="E584" i="3"/>
  <c r="E341" i="3"/>
  <c r="E373" i="3"/>
  <c r="E520" i="3"/>
  <c r="E57" i="3"/>
  <c r="E240" i="3"/>
  <c r="E378" i="3"/>
  <c r="E110" i="3"/>
  <c r="E446" i="3"/>
  <c r="E138" i="3"/>
  <c r="E209" i="3"/>
  <c r="E354" i="3"/>
  <c r="E48" i="3"/>
  <c r="E284" i="3"/>
  <c r="E19" i="3"/>
  <c r="E32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371"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55"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D30" i="71"/>
  <c r="C31" i="71"/>
  <c r="C26" i="71"/>
  <c r="D26" i="71"/>
  <c r="D27" i="71"/>
  <c r="C56" i="71"/>
  <c r="D55" i="71"/>
  <c r="C36" i="71"/>
  <c r="D35" i="71"/>
  <c r="E119" i="3"/>
  <c r="E419" i="3"/>
  <c r="AB23" i="36"/>
  <c r="U23" i="36"/>
  <c r="AB9" i="33"/>
  <c r="U9" i="33"/>
  <c r="U13" i="35"/>
  <c r="AB13" i="35"/>
  <c r="U12" i="33"/>
  <c r="AB12" i="33"/>
  <c r="BL5" i="3"/>
  <c r="F66" i="71"/>
  <c r="Q67" i="71"/>
  <c r="E194" i="3"/>
  <c r="AZ118" i="3"/>
  <c r="AZ5" i="3"/>
  <c r="E451" i="3"/>
  <c r="AC36" i="35"/>
  <c r="W36" i="35"/>
  <c r="AA40" i="40"/>
  <c r="S40" i="40"/>
  <c r="AC12" i="36"/>
  <c r="W12" i="36"/>
  <c r="S44" i="21"/>
  <c r="AA44" i="21"/>
  <c r="D21" i="71"/>
  <c r="C20" i="71"/>
  <c r="J7" i="37"/>
  <c r="AC7" i="37"/>
  <c r="V42" i="37"/>
  <c r="I42" i="37"/>
  <c r="E19" i="71"/>
  <c r="E18" i="71"/>
  <c r="E17" i="71"/>
  <c r="E16" i="71"/>
  <c r="V20" i="71"/>
  <c r="T60" i="71"/>
  <c r="D60" i="71"/>
  <c r="T52" i="71"/>
  <c r="D52" i="71"/>
  <c r="E84" i="3"/>
  <c r="E67" i="3"/>
  <c r="E242" i="3"/>
  <c r="S34" i="35"/>
  <c r="AA34" i="35"/>
  <c r="AB40" i="40"/>
  <c r="U40" i="40"/>
  <c r="U39" i="40"/>
  <c r="AB39" i="40"/>
  <c r="AC23" i="36"/>
  <c r="W23" i="36"/>
  <c r="W12" i="34"/>
  <c r="AC12" i="34"/>
  <c r="U12" i="34"/>
  <c r="AB12" i="34"/>
  <c r="BA5" i="3"/>
  <c r="E27" i="6"/>
  <c r="K26" i="6"/>
  <c r="M26" i="6"/>
  <c r="I26" i="6"/>
  <c r="S26" i="6"/>
  <c r="B15" i="71"/>
  <c r="B14" i="71"/>
  <c r="B13" i="71"/>
  <c r="B12" i="71"/>
  <c r="S16" i="71"/>
  <c r="B27" i="71"/>
  <c r="B26" i="71"/>
  <c r="S28" i="71"/>
  <c r="D67" i="71"/>
  <c r="C66" i="71"/>
  <c r="O67" i="71"/>
  <c r="E440" i="3"/>
  <c r="E427" i="3"/>
  <c r="AC34" i="35"/>
  <c r="W34" i="35"/>
  <c r="W39" i="40"/>
  <c r="AC39" i="40"/>
  <c r="AA23" i="36"/>
  <c r="S23" i="36"/>
  <c r="U9" i="34"/>
  <c r="AB9" i="34"/>
  <c r="S45" i="34"/>
  <c r="AA45" i="34"/>
  <c r="E61" i="43"/>
  <c r="B59" i="43"/>
  <c r="C28" i="43"/>
  <c r="B116" i="43"/>
  <c r="Z7" i="43"/>
  <c r="E30" i="6"/>
  <c r="E56" i="39"/>
  <c r="H7" i="34"/>
  <c r="AB7" i="34"/>
  <c r="E67" i="39"/>
  <c r="F67" i="39"/>
  <c r="J7" i="34"/>
  <c r="W7" i="34"/>
  <c r="F7" i="34"/>
  <c r="S7" i="34"/>
  <c r="AA26" i="35"/>
  <c r="S26" i="35"/>
  <c r="AC26" i="35"/>
  <c r="W26" i="35"/>
  <c r="AB26" i="35"/>
  <c r="U26" i="35"/>
  <c r="E61" i="39"/>
  <c r="E56" i="40"/>
  <c r="E72" i="43"/>
  <c r="B70" i="43"/>
  <c r="F27" i="11"/>
  <c r="C29" i="11"/>
  <c r="D27" i="11"/>
  <c r="F28" i="12"/>
  <c r="C29" i="12" s="1"/>
  <c r="D28" i="12" s="1"/>
  <c r="E60" i="40"/>
  <c r="F31" i="6"/>
  <c r="E51" i="40"/>
  <c r="E16" i="6"/>
  <c r="AC6" i="3"/>
  <c r="H6" i="3"/>
  <c r="E58" i="40"/>
  <c r="E62" i="39"/>
  <c r="M14" i="1"/>
  <c r="D5" i="43"/>
  <c r="J10" i="40"/>
  <c r="AC10" i="40"/>
  <c r="H10" i="39"/>
  <c r="U10" i="39"/>
  <c r="F10" i="40"/>
  <c r="S10" i="40"/>
  <c r="J10" i="39"/>
  <c r="W10" i="39"/>
  <c r="H10" i="40"/>
  <c r="AB10" i="40"/>
  <c r="D26" i="43"/>
  <c r="C25" i="43"/>
  <c r="C7" i="43"/>
  <c r="C5" i="43"/>
  <c r="D10" i="52"/>
  <c r="D125" i="9"/>
  <c r="D11" i="52"/>
  <c r="B7" i="74"/>
  <c r="C7" i="74"/>
  <c r="E69" i="39"/>
  <c r="H7" i="37"/>
  <c r="AB7" i="37"/>
  <c r="T42" i="37"/>
  <c r="G42" i="37"/>
  <c r="S10" i="39"/>
  <c r="AA10" i="39"/>
  <c r="H7" i="33"/>
  <c r="J7" i="33"/>
  <c r="D65" i="40"/>
  <c r="E63" i="40"/>
  <c r="F48" i="35"/>
  <c r="S7" i="36"/>
  <c r="AA7" i="36"/>
  <c r="R36" i="36"/>
  <c r="W7" i="37"/>
  <c r="AB7" i="36"/>
  <c r="T36" i="36"/>
  <c r="G36" i="36"/>
  <c r="U7" i="36"/>
  <c r="F7" i="33"/>
  <c r="E58" i="21"/>
  <c r="AC7" i="36"/>
  <c r="V36" i="36"/>
  <c r="I36" i="36"/>
  <c r="W7" i="36"/>
  <c r="F7" i="37"/>
  <c r="P28" i="43"/>
  <c r="B66" i="40"/>
  <c r="P25" i="43"/>
  <c r="P29" i="43"/>
  <c r="P27" i="43"/>
  <c r="B70" i="39"/>
  <c r="C32" i="15"/>
  <c r="AE11" i="1"/>
  <c r="AE9" i="1"/>
  <c r="F27" i="68"/>
  <c r="F45" i="68" s="1"/>
  <c r="AE7" i="1"/>
  <c r="AE8" i="1"/>
  <c r="AE12" i="1"/>
  <c r="AE10" i="1"/>
  <c r="E65" i="39"/>
  <c r="AY6" i="3"/>
  <c r="E3" i="6"/>
  <c r="B11" i="71"/>
  <c r="B10" i="71"/>
  <c r="B9" i="71"/>
  <c r="B8" i="71"/>
  <c r="B7" i="71"/>
  <c r="B6" i="71"/>
  <c r="B5" i="71"/>
  <c r="S12" i="71"/>
  <c r="D36" i="71"/>
  <c r="T36" i="71"/>
  <c r="C19" i="71"/>
  <c r="T20" i="71"/>
  <c r="D20" i="71"/>
  <c r="U20" i="71"/>
  <c r="C32" i="71"/>
  <c r="D31" i="71"/>
  <c r="E15" i="71"/>
  <c r="E14" i="71"/>
  <c r="E13" i="71"/>
  <c r="E12" i="71"/>
  <c r="V16" i="71"/>
  <c r="D56" i="71"/>
  <c r="T56" i="71"/>
  <c r="O65" i="71"/>
  <c r="O66" i="71"/>
  <c r="D66" i="71"/>
  <c r="Q66" i="71"/>
  <c r="Q65" i="71"/>
  <c r="AC7" i="34"/>
  <c r="U7" i="34"/>
  <c r="AA7"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C47" i="11"/>
  <c r="D45" i="11"/>
  <c r="E6" i="3"/>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D17" i="12" s="1"/>
  <c r="C17" i="12" s="1"/>
  <c r="M18" i="9"/>
  <c r="B118" i="9"/>
  <c r="B1" i="74"/>
  <c r="D3" i="34"/>
  <c r="D19" i="11"/>
  <c r="C19" i="11"/>
  <c r="L18" i="9"/>
  <c r="C17" i="4"/>
  <c r="B4" i="52"/>
  <c r="B43" i="72"/>
  <c r="D3" i="33"/>
  <c r="D3" i="37"/>
  <c r="C39" i="43"/>
  <c r="C42" i="43"/>
  <c r="E42" i="43"/>
  <c r="C38" i="43"/>
  <c r="AB10" i="39"/>
  <c r="AA10" i="40"/>
  <c r="U10" i="40"/>
  <c r="W10" i="40"/>
  <c r="AC10" i="39"/>
  <c r="U7" i="37"/>
  <c r="G67" i="39"/>
  <c r="F69" i="39"/>
  <c r="F58" i="21"/>
  <c r="R37" i="36"/>
  <c r="E36" i="36"/>
  <c r="F63" i="40"/>
  <c r="E65" i="40"/>
  <c r="W7" i="33"/>
  <c r="AC7" i="33"/>
  <c r="V48" i="33"/>
  <c r="I48" i="33"/>
  <c r="AA7" i="37"/>
  <c r="R42" i="37"/>
  <c r="S7" i="37"/>
  <c r="I40" i="36"/>
  <c r="J40" i="36"/>
  <c r="S7" i="33"/>
  <c r="AA7" i="33"/>
  <c r="R48" i="33"/>
  <c r="G40" i="36"/>
  <c r="H40" i="36"/>
  <c r="G41" i="36"/>
  <c r="H41" i="36"/>
  <c r="G46" i="37"/>
  <c r="H46" i="37"/>
  <c r="G47" i="37"/>
  <c r="H47" i="37"/>
  <c r="I46" i="37"/>
  <c r="J46" i="37"/>
  <c r="G48" i="35"/>
  <c r="U7" i="33"/>
  <c r="AB7" i="33"/>
  <c r="T48" i="33"/>
  <c r="G48" i="33"/>
  <c r="D116" i="43"/>
  <c r="C18" i="71"/>
  <c r="D19" i="71"/>
  <c r="T32" i="71"/>
  <c r="D32" i="71"/>
  <c r="E11" i="71"/>
  <c r="E10" i="71"/>
  <c r="E9" i="71"/>
  <c r="E8" i="71"/>
  <c r="E7" i="71"/>
  <c r="E6" i="71"/>
  <c r="E5" i="71"/>
  <c r="V12" i="71"/>
  <c r="M21" i="6"/>
  <c r="I21" i="6"/>
  <c r="S21" i="6"/>
  <c r="E6" i="70"/>
  <c r="C34" i="43"/>
  <c r="E34" i="43"/>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0" i="11"/>
  <c r="C10" i="11"/>
  <c r="D20" i="12"/>
  <c r="C20" i="12" s="1"/>
  <c r="D25" i="6"/>
  <c r="D15" i="6"/>
  <c r="D22" i="6"/>
  <c r="D21" i="6"/>
  <c r="D24" i="6"/>
  <c r="D20" i="6"/>
  <c r="M19" i="9"/>
  <c r="C118" i="9"/>
  <c r="B2" i="74"/>
  <c r="D26" i="6"/>
  <c r="D8" i="6"/>
  <c r="D14" i="6"/>
  <c r="D6" i="6"/>
  <c r="D9" i="6"/>
  <c r="D10" i="6"/>
  <c r="L19" i="9"/>
  <c r="D29" i="6"/>
  <c r="H25" i="6"/>
  <c r="H22" i="6"/>
  <c r="H21" i="6"/>
  <c r="H24" i="6"/>
  <c r="D19" i="6"/>
  <c r="C18" i="4"/>
  <c r="D23" i="6"/>
  <c r="D5" i="6"/>
  <c r="D12" i="6"/>
  <c r="D11" i="6"/>
  <c r="D13" i="6"/>
  <c r="D28" i="6"/>
  <c r="D30" i="6"/>
  <c r="E61" i="40"/>
  <c r="H26" i="6"/>
  <c r="P14" i="1"/>
  <c r="P16" i="1"/>
  <c r="C11" i="12"/>
  <c r="C15" i="12" s="1"/>
  <c r="N16" i="1"/>
  <c r="L16" i="1"/>
  <c r="G42" i="43"/>
  <c r="I42" i="43"/>
  <c r="H67" i="39"/>
  <c r="G69" i="39"/>
  <c r="E41" i="43"/>
  <c r="G41" i="43"/>
  <c r="I41" i="43"/>
  <c r="E37" i="43"/>
  <c r="G37" i="43"/>
  <c r="I37" i="43"/>
  <c r="G38" i="43"/>
  <c r="I38" i="43"/>
  <c r="E38" i="43"/>
  <c r="E40" i="43"/>
  <c r="G40" i="43"/>
  <c r="I40" i="43"/>
  <c r="E39" i="43"/>
  <c r="G39" i="43"/>
  <c r="I39" i="43"/>
  <c r="R49" i="33"/>
  <c r="E48" i="33"/>
  <c r="I53" i="33"/>
  <c r="J53" i="33"/>
  <c r="I52" i="33"/>
  <c r="J52" i="33"/>
  <c r="E40" i="36"/>
  <c r="F40" i="36"/>
  <c r="E41" i="36"/>
  <c r="F41" i="36"/>
  <c r="G52" i="33"/>
  <c r="H52" i="33"/>
  <c r="G53" i="33"/>
  <c r="H53" i="33"/>
  <c r="H48" i="35"/>
  <c r="I41" i="36"/>
  <c r="J41" i="36"/>
  <c r="R43" i="37"/>
  <c r="E42" i="37"/>
  <c r="G63" i="40"/>
  <c r="F65" i="40"/>
  <c r="C37" i="36"/>
  <c r="C36" i="36"/>
  <c r="G58" i="21"/>
  <c r="C60" i="15"/>
  <c r="C60" i="67"/>
  <c r="D10" i="69"/>
  <c r="C10" i="69" s="1"/>
  <c r="C34" i="69"/>
  <c r="C38" i="69" s="1"/>
  <c r="D10" i="68"/>
  <c r="C10" i="68" s="1"/>
  <c r="C17" i="71"/>
  <c r="D18" i="71"/>
  <c r="H23" i="6"/>
  <c r="C30" i="43"/>
  <c r="C31" i="43"/>
  <c r="H20" i="6"/>
  <c r="R20" i="6"/>
  <c r="R7" i="1"/>
  <c r="E12" i="70"/>
  <c r="F34" i="11"/>
  <c r="F11" i="12"/>
  <c r="C23" i="12" s="1"/>
  <c r="S16" i="1"/>
  <c r="E9" i="70"/>
  <c r="E2" i="70"/>
  <c r="AR9" i="1"/>
  <c r="AQ9" i="1"/>
  <c r="T9" i="1"/>
  <c r="AQ11" i="1"/>
  <c r="AR11" i="1"/>
  <c r="T11" i="1"/>
  <c r="AR12" i="1"/>
  <c r="T12" i="1"/>
  <c r="AQ12" i="1"/>
  <c r="AQ10" i="1"/>
  <c r="T10" i="1"/>
  <c r="AR10" i="1"/>
  <c r="AR7" i="1"/>
  <c r="AQ7" i="1"/>
  <c r="T7" i="1"/>
  <c r="M27" i="6"/>
  <c r="I19" i="6"/>
  <c r="D16" i="6"/>
  <c r="R26" i="6"/>
  <c r="R24" i="6"/>
  <c r="R11" i="1"/>
  <c r="R22" i="6"/>
  <c r="R9" i="1"/>
  <c r="R23" i="6"/>
  <c r="R10" i="1"/>
  <c r="D27" i="6"/>
  <c r="D31" i="6"/>
  <c r="D8" i="74"/>
  <c r="D7" i="74"/>
  <c r="R21" i="6"/>
  <c r="R8" i="1"/>
  <c r="F50" i="69"/>
  <c r="F50" i="11"/>
  <c r="F50" i="68"/>
  <c r="C4" i="52"/>
  <c r="B45" i="72"/>
  <c r="A10" i="51"/>
  <c r="B9" i="72"/>
  <c r="A7" i="51"/>
  <c r="B7" i="72"/>
  <c r="R25" i="6"/>
  <c r="R12" i="1"/>
  <c r="B2" i="43"/>
  <c r="B3" i="43"/>
  <c r="H69" i="39"/>
  <c r="I67" i="39"/>
  <c r="G65" i="40"/>
  <c r="H63" i="40"/>
  <c r="C43" i="37"/>
  <c r="C42" i="37"/>
  <c r="I48" i="35"/>
  <c r="C48" i="33"/>
  <c r="C49" i="33"/>
  <c r="H58" i="21"/>
  <c r="E47" i="37"/>
  <c r="F47" i="37"/>
  <c r="E46" i="37"/>
  <c r="F46" i="37"/>
  <c r="I47" i="37"/>
  <c r="J47" i="37"/>
  <c r="E53" i="33"/>
  <c r="F53" i="33"/>
  <c r="E52" i="33"/>
  <c r="F52" i="33"/>
  <c r="C33" i="15"/>
  <c r="C33" i="67"/>
  <c r="C16" i="71"/>
  <c r="D17" i="71"/>
  <c r="T16" i="1"/>
  <c r="C36" i="11"/>
  <c r="C37" i="11"/>
  <c r="C34" i="11"/>
  <c r="H19" i="6"/>
  <c r="S19" i="6"/>
  <c r="S27" i="6"/>
  <c r="I27" i="6"/>
  <c r="I5" i="6"/>
  <c r="I6" i="6"/>
  <c r="I69" i="39"/>
  <c r="J67" i="39"/>
  <c r="I63" i="40"/>
  <c r="H65" i="40"/>
  <c r="I58" i="21"/>
  <c r="J58" i="21"/>
  <c r="K58" i="21"/>
  <c r="L58" i="21"/>
  <c r="M58" i="21"/>
  <c r="N58" i="21"/>
  <c r="O58" i="21"/>
  <c r="H7" i="21"/>
  <c r="J48" i="35"/>
  <c r="C15" i="71"/>
  <c r="T16" i="71"/>
  <c r="D16" i="71"/>
  <c r="U16" i="71"/>
  <c r="F7" i="21"/>
  <c r="S7" i="21"/>
  <c r="J7" i="21"/>
  <c r="AC7" i="21"/>
  <c r="V48" i="21"/>
  <c r="I48" i="21"/>
  <c r="C38" i="11"/>
  <c r="C35" i="11"/>
  <c r="H27" i="6"/>
  <c r="R19" i="6"/>
  <c r="J69" i="39"/>
  <c r="K67" i="39"/>
  <c r="U7" i="21"/>
  <c r="AB7" i="21"/>
  <c r="T48" i="21"/>
  <c r="G48" i="21"/>
  <c r="J63" i="40"/>
  <c r="I65" i="40"/>
  <c r="K48" i="35"/>
  <c r="L48" i="35"/>
  <c r="M48" i="35"/>
  <c r="N48" i="35"/>
  <c r="O48" i="35"/>
  <c r="H7" i="35"/>
  <c r="W7" i="21"/>
  <c r="AA7" i="21"/>
  <c r="R48" i="21"/>
  <c r="R49" i="21"/>
  <c r="C14" i="71"/>
  <c r="D15" i="71"/>
  <c r="J7" i="35"/>
  <c r="AC7" i="35"/>
  <c r="V38" i="35"/>
  <c r="I38" i="35"/>
  <c r="C33" i="11"/>
  <c r="C39" i="11"/>
  <c r="C61" i="67"/>
  <c r="R27" i="6"/>
  <c r="R6" i="1"/>
  <c r="L67" i="39"/>
  <c r="K69" i="39"/>
  <c r="W7" i="35"/>
  <c r="J65" i="40"/>
  <c r="K63" i="40"/>
  <c r="I52" i="21"/>
  <c r="J52" i="21"/>
  <c r="U7" i="35"/>
  <c r="AB7" i="35"/>
  <c r="T38" i="35"/>
  <c r="G38" i="35"/>
  <c r="E48" i="21"/>
  <c r="G52" i="21"/>
  <c r="H52" i="21"/>
  <c r="G53" i="21"/>
  <c r="H53" i="21"/>
  <c r="F7" i="35"/>
  <c r="D14" i="71"/>
  <c r="C13" i="71"/>
  <c r="C46" i="11"/>
  <c r="C45" i="11"/>
  <c r="C34" i="67"/>
  <c r="C62" i="67"/>
  <c r="C62" i="15"/>
  <c r="C34" i="15"/>
  <c r="L69" i="39"/>
  <c r="M67" i="39"/>
  <c r="S7" i="35"/>
  <c r="AA7" i="35"/>
  <c r="R38" i="35"/>
  <c r="C49" i="21"/>
  <c r="C48" i="21"/>
  <c r="E52" i="21"/>
  <c r="F52" i="21"/>
  <c r="E53" i="21"/>
  <c r="F53" i="21"/>
  <c r="G42" i="35"/>
  <c r="H42" i="35"/>
  <c r="G43" i="35"/>
  <c r="H43" i="35"/>
  <c r="I53" i="21"/>
  <c r="J53" i="21"/>
  <c r="K65" i="40"/>
  <c r="L63" i="40"/>
  <c r="I42" i="35"/>
  <c r="J42" i="35"/>
  <c r="C12" i="71"/>
  <c r="D13" i="71"/>
  <c r="C61" i="15"/>
  <c r="M69" i="39"/>
  <c r="N67" i="39"/>
  <c r="R39" i="35"/>
  <c r="E38" i="35"/>
  <c r="M63" i="40"/>
  <c r="L65" i="40"/>
  <c r="C11" i="71"/>
  <c r="T12" i="71"/>
  <c r="D12" i="71"/>
  <c r="U12" i="71"/>
  <c r="B2" i="21"/>
  <c r="B3" i="21"/>
  <c r="O67" i="39"/>
  <c r="O69" i="39"/>
  <c r="N69" i="39"/>
  <c r="F7" i="39"/>
  <c r="C39" i="35"/>
  <c r="C38" i="35"/>
  <c r="N63" i="40"/>
  <c r="M65" i="40"/>
  <c r="E43" i="35"/>
  <c r="F43" i="35"/>
  <c r="E42" i="35"/>
  <c r="F42" i="35"/>
  <c r="I43" i="35"/>
  <c r="J43" i="35"/>
  <c r="C10" i="71"/>
  <c r="D11" i="71"/>
  <c r="B2" i="33"/>
  <c r="B3" i="33"/>
  <c r="H7" i="39"/>
  <c r="J7" i="39"/>
  <c r="S7" i="39"/>
  <c r="AA7" i="39"/>
  <c r="R47" i="39"/>
  <c r="O63" i="40"/>
  <c r="O65" i="40"/>
  <c r="N65" i="40"/>
  <c r="D10" i="71"/>
  <c r="C9" i="71"/>
  <c r="B2" i="36"/>
  <c r="B3" i="36"/>
  <c r="B2" i="35"/>
  <c r="B3" i="35"/>
  <c r="B2" i="37"/>
  <c r="B3" i="37"/>
  <c r="W7" i="39"/>
  <c r="AC7" i="39"/>
  <c r="V47" i="39"/>
  <c r="I47" i="39"/>
  <c r="E47" i="39"/>
  <c r="R48" i="39"/>
  <c r="U7" i="39"/>
  <c r="AB7" i="39"/>
  <c r="T47" i="39"/>
  <c r="G47" i="39"/>
  <c r="J7" i="40"/>
  <c r="F7" i="40"/>
  <c r="H7" i="40"/>
  <c r="C8" i="71"/>
  <c r="D9" i="71"/>
  <c r="G51" i="39"/>
  <c r="H51" i="39"/>
  <c r="G52" i="39"/>
  <c r="H52" i="39"/>
  <c r="I51" i="39"/>
  <c r="J51" i="39"/>
  <c r="I52" i="39"/>
  <c r="J52" i="39"/>
  <c r="C48" i="39"/>
  <c r="C47" i="39"/>
  <c r="E52" i="39"/>
  <c r="F52" i="39"/>
  <c r="E51" i="39"/>
  <c r="F51" i="39"/>
  <c r="U7" i="40"/>
  <c r="AB7" i="40"/>
  <c r="T42" i="40"/>
  <c r="G42" i="40"/>
  <c r="AA7" i="40"/>
  <c r="R42" i="40"/>
  <c r="S7" i="40"/>
  <c r="AC7" i="40"/>
  <c r="V42" i="40"/>
  <c r="I42" i="40"/>
  <c r="W7" i="40"/>
  <c r="D8" i="71"/>
  <c r="C7" i="71"/>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D7" i="71"/>
  <c r="C6" i="71"/>
  <c r="C42" i="40"/>
  <c r="C43" i="40"/>
  <c r="E47" i="40"/>
  <c r="F47" i="40"/>
  <c r="E46" i="40"/>
  <c r="F46" i="40"/>
  <c r="I47" i="40"/>
  <c r="J47" i="40"/>
  <c r="D6" i="71"/>
  <c r="C5" i="71"/>
  <c r="D5" i="71"/>
  <c r="M24" i="43"/>
  <c r="B58" i="40"/>
  <c r="F58" i="40"/>
  <c r="B54" i="40"/>
  <c r="F54" i="40"/>
  <c r="B53" i="40"/>
  <c r="F53" i="40"/>
  <c r="B59" i="40"/>
  <c r="F59" i="40"/>
  <c r="B52" i="40"/>
  <c r="F52" i="40"/>
  <c r="B56" i="40"/>
  <c r="F56" i="40"/>
  <c r="B60" i="40"/>
  <c r="F60" i="40"/>
  <c r="B57" i="40"/>
  <c r="F57" i="40"/>
  <c r="B51" i="40"/>
  <c r="F51" i="40"/>
  <c r="F61" i="40"/>
  <c r="B2" i="40"/>
  <c r="B3" i="40"/>
  <c r="B6" i="74"/>
  <c r="D6" i="74"/>
  <c r="C29" i="69"/>
  <c r="D27" i="69" s="1"/>
  <c r="F16" i="15"/>
  <c r="M6" i="15"/>
  <c r="F42" i="67"/>
  <c r="F38" i="67"/>
  <c r="F36" i="67"/>
  <c r="F37" i="15"/>
  <c r="F20" i="31"/>
  <c r="M27" i="15"/>
  <c r="D3" i="73"/>
  <c r="E2" i="69"/>
  <c r="F8" i="15"/>
  <c r="AO10" i="1"/>
  <c r="F9" i="67"/>
  <c r="F4" i="73"/>
  <c r="F6" i="73"/>
  <c r="M8" i="67"/>
  <c r="F41" i="15"/>
  <c r="M21" i="15"/>
  <c r="M28" i="15"/>
  <c r="F26" i="15"/>
  <c r="E2" i="68"/>
  <c r="E6" i="76"/>
  <c r="B11" i="76"/>
  <c r="AO7" i="1"/>
  <c r="M6" i="67"/>
  <c r="J15" i="67"/>
  <c r="M23" i="15"/>
  <c r="M23" i="67"/>
  <c r="C76" i="15"/>
  <c r="B13" i="76"/>
  <c r="M26" i="15"/>
  <c r="D2" i="37"/>
  <c r="F16" i="67"/>
  <c r="M8" i="15"/>
  <c r="F43" i="67"/>
  <c r="M24" i="67"/>
  <c r="M29" i="67"/>
  <c r="M21" i="67"/>
  <c r="M9" i="15"/>
  <c r="F38" i="15"/>
  <c r="F7" i="67"/>
  <c r="E12" i="76"/>
  <c r="L48" i="67"/>
  <c r="L48" i="15"/>
  <c r="D2" i="21"/>
  <c r="D35" i="9"/>
  <c r="F40" i="15"/>
  <c r="L47" i="67"/>
  <c r="D7" i="73"/>
  <c r="M28" i="67"/>
  <c r="AO9" i="1"/>
  <c r="F13" i="15"/>
  <c r="E9" i="76"/>
  <c r="F26" i="67"/>
  <c r="D4" i="73"/>
  <c r="E7" i="76"/>
  <c r="F8" i="67"/>
  <c r="B8" i="76"/>
  <c r="F35" i="15"/>
  <c r="B9" i="76"/>
  <c r="AO13" i="1"/>
  <c r="M29" i="15"/>
  <c r="B10" i="76"/>
  <c r="F9" i="15"/>
  <c r="F7" i="15"/>
  <c r="D34" i="9"/>
  <c r="F35" i="67"/>
  <c r="J15" i="15"/>
  <c r="E13" i="76"/>
  <c r="D2" i="35"/>
  <c r="E8" i="76"/>
  <c r="AO12" i="1"/>
  <c r="E11" i="76"/>
  <c r="AO11" i="1"/>
  <c r="F5" i="73"/>
  <c r="L47" i="15"/>
  <c r="D2" i="33"/>
  <c r="F3" i="73"/>
  <c r="M22" i="67"/>
  <c r="B6" i="76"/>
  <c r="D5" i="73"/>
  <c r="G1" i="73" s="1"/>
  <c r="AO8" i="1"/>
  <c r="D2" i="36"/>
  <c r="F13" i="67"/>
  <c r="C76" i="67"/>
  <c r="E10" i="76"/>
  <c r="B12" i="76"/>
  <c r="F37" i="67"/>
  <c r="F41" i="67"/>
  <c r="M24" i="15"/>
  <c r="M26" i="67"/>
  <c r="F43" i="15"/>
  <c r="F42" i="15"/>
  <c r="F36" i="15"/>
  <c r="M27" i="67"/>
  <c r="C14" i="15"/>
  <c r="F40" i="67"/>
  <c r="D6" i="73"/>
  <c r="F6" i="15"/>
  <c r="F7" i="73"/>
  <c r="M22" i="15"/>
  <c r="B7" i="76"/>
  <c r="M9" i="67"/>
  <c r="C34" i="68" l="1"/>
  <c r="C35" i="68" s="1"/>
  <c r="C47" i="69"/>
  <c r="D45" i="69" s="1"/>
  <c r="I92" i="83"/>
  <c r="J92" i="83" s="1"/>
  <c r="K92" i="83" s="1"/>
  <c r="L92" i="83" s="1"/>
  <c r="F28" i="83"/>
  <c r="F92" i="34"/>
  <c r="G92" i="34" s="1"/>
  <c r="H92" i="34" s="1"/>
  <c r="I92" i="34" s="1"/>
  <c r="J92" i="34" s="1"/>
  <c r="K92" i="34" s="1"/>
  <c r="L92" i="34" s="1"/>
  <c r="J28" i="34"/>
  <c r="F8" i="49"/>
  <c r="H8" i="49" s="1"/>
  <c r="B4" i="49"/>
  <c r="D4" i="49" s="1"/>
  <c r="D19" i="69"/>
  <c r="C19" i="69" s="1"/>
  <c r="C35" i="69"/>
  <c r="C18" i="12"/>
  <c r="D19" i="68"/>
  <c r="R16" i="1"/>
  <c r="C8" i="69"/>
  <c r="C5" i="69" s="1"/>
  <c r="L59" i="15"/>
  <c r="L58" i="15"/>
  <c r="N59" i="15"/>
  <c r="M59" i="15"/>
  <c r="B9" i="70"/>
  <c r="B7" i="70"/>
  <c r="B11" i="70"/>
  <c r="E2" i="76"/>
  <c r="F31" i="15"/>
  <c r="C6" i="15"/>
  <c r="M59" i="67"/>
  <c r="N59" i="67"/>
  <c r="L59" i="67"/>
  <c r="L58" i="67"/>
  <c r="B12" i="70"/>
  <c r="F68" i="15"/>
  <c r="C27" i="15"/>
  <c r="F68" i="67"/>
  <c r="C15" i="15"/>
  <c r="C18" i="15"/>
  <c r="M3" i="35"/>
  <c r="J20" i="15"/>
  <c r="I54" i="15"/>
  <c r="J53" i="15"/>
  <c r="J57" i="15"/>
  <c r="J55" i="15" s="1"/>
  <c r="J58" i="15" s="1"/>
  <c r="Q50" i="15" s="1"/>
  <c r="F69" i="15"/>
  <c r="F64" i="15"/>
  <c r="J53" i="67"/>
  <c r="L60" i="67"/>
  <c r="L56" i="67"/>
  <c r="L57" i="67"/>
  <c r="J57" i="67"/>
  <c r="J55" i="67" s="1"/>
  <c r="J58" i="67" s="1"/>
  <c r="Q50" i="67" s="1"/>
  <c r="I54" i="67"/>
  <c r="F63" i="67"/>
  <c r="F71" i="15"/>
  <c r="M7" i="67"/>
  <c r="M17" i="67" s="1"/>
  <c r="F50" i="67"/>
  <c r="I1" i="73"/>
  <c r="B39" i="1" s="1"/>
  <c r="M7" i="15"/>
  <c r="J6" i="15" s="1"/>
  <c r="F50" i="15"/>
  <c r="F66" i="15"/>
  <c r="B10" i="70"/>
  <c r="F69" i="67"/>
  <c r="J20" i="67"/>
  <c r="F51" i="15"/>
  <c r="F65" i="67"/>
  <c r="B40" i="1"/>
  <c r="B13" i="70"/>
  <c r="F71" i="67"/>
  <c r="Q71" i="67"/>
  <c r="B20" i="31"/>
  <c r="B21" i="31" s="1"/>
  <c r="F63" i="15"/>
  <c r="F65" i="15"/>
  <c r="F64" i="67"/>
  <c r="B8" i="70"/>
  <c r="F51" i="67"/>
  <c r="F66" i="67"/>
  <c r="B2" i="76"/>
  <c r="Q71" i="15"/>
  <c r="C27" i="67"/>
  <c r="B7" i="49"/>
  <c r="D7" i="49" s="1"/>
  <c r="F4" i="49"/>
  <c r="H4" i="49" s="1"/>
  <c r="F10" i="49"/>
  <c r="H10" i="49" s="1"/>
  <c r="B13" i="49"/>
  <c r="D13" i="49" s="1"/>
  <c r="B14" i="49"/>
  <c r="D14" i="49" s="1"/>
  <c r="F13" i="49"/>
  <c r="H13" i="49" s="1"/>
  <c r="B11" i="49"/>
  <c r="D11" i="49" s="1"/>
  <c r="B12" i="49"/>
  <c r="D12" i="49" s="1"/>
  <c r="F12" i="49"/>
  <c r="H12" i="49" s="1"/>
  <c r="B9" i="49"/>
  <c r="D9" i="49" s="1"/>
  <c r="F5" i="49"/>
  <c r="H5" i="49" s="1"/>
  <c r="F11" i="49"/>
  <c r="H11" i="49" s="1"/>
  <c r="B5" i="49"/>
  <c r="D5" i="49" s="1"/>
  <c r="F6" i="49"/>
  <c r="H6" i="49" s="1"/>
  <c r="D37" i="69"/>
  <c r="C37" i="69" s="1"/>
  <c r="F14" i="49"/>
  <c r="H14" i="49" s="1"/>
  <c r="F15" i="49"/>
  <c r="H15" i="49" s="1"/>
  <c r="B10" i="49"/>
  <c r="D10" i="49" s="1"/>
  <c r="F9" i="49"/>
  <c r="H9" i="49" s="1"/>
  <c r="B6" i="49"/>
  <c r="D6" i="49" s="1"/>
  <c r="B8" i="49"/>
  <c r="D8" i="49" s="1"/>
  <c r="C14" i="12"/>
  <c r="D37" i="68"/>
  <c r="C37" i="68" s="1"/>
  <c r="C19" i="68"/>
  <c r="C47" i="68"/>
  <c r="D45" i="68" s="1"/>
  <c r="C29" i="68"/>
  <c r="D27" i="68" s="1"/>
  <c r="C12" i="12"/>
  <c r="C17" i="67"/>
  <c r="C16" i="15"/>
  <c r="C16" i="67"/>
  <c r="C14" i="67"/>
  <c r="C17" i="15"/>
  <c r="C38" i="68" l="1"/>
  <c r="C33" i="68" s="1"/>
  <c r="C39" i="68" s="1"/>
  <c r="S28" i="83"/>
  <c r="AA28" i="83"/>
  <c r="R49" i="83" s="1"/>
  <c r="H28" i="83"/>
  <c r="J28" i="83"/>
  <c r="M92" i="83"/>
  <c r="W28" i="34"/>
  <c r="AC28" i="34"/>
  <c r="V49" i="34" s="1"/>
  <c r="I49" i="34" s="1"/>
  <c r="H28" i="34"/>
  <c r="F28" i="34"/>
  <c r="M92" i="34"/>
  <c r="C20" i="69"/>
  <c r="C28" i="69" s="1"/>
  <c r="C27" i="69" s="1"/>
  <c r="C16" i="12"/>
  <c r="C21" i="12" s="1"/>
  <c r="C22" i="12" s="1"/>
  <c r="B3" i="76"/>
  <c r="C33" i="69"/>
  <c r="C39" i="69" s="1"/>
  <c r="M17" i="15"/>
  <c r="J17" i="15" s="1"/>
  <c r="C49" i="67"/>
  <c r="F59" i="15"/>
  <c r="C19" i="15"/>
  <c r="C18" i="67"/>
  <c r="C15" i="67"/>
  <c r="C20" i="68"/>
  <c r="C28" i="68" s="1"/>
  <c r="C27" i="68" s="1"/>
  <c r="Q66" i="67"/>
  <c r="Q57" i="67"/>
  <c r="Q73" i="67"/>
  <c r="Q60" i="67"/>
  <c r="C31" i="15"/>
  <c r="Q73" i="15"/>
  <c r="Q60" i="15"/>
  <c r="C49" i="15"/>
  <c r="Q61" i="67"/>
  <c r="Q74" i="67"/>
  <c r="Q74" i="15"/>
  <c r="Q61" i="15"/>
  <c r="M11" i="15"/>
  <c r="J10" i="15" s="1"/>
  <c r="J5" i="15" s="1"/>
  <c r="M11" i="67"/>
  <c r="J10" i="67" s="1"/>
  <c r="F11" i="15"/>
  <c r="F11" i="67"/>
  <c r="C53" i="67" s="1"/>
  <c r="Q52" i="15"/>
  <c r="F1" i="15"/>
  <c r="L56" i="15"/>
  <c r="J6" i="67"/>
  <c r="J18" i="15"/>
  <c r="J19" i="15"/>
  <c r="F24" i="67"/>
  <c r="C24" i="67" s="1"/>
  <c r="F22" i="68"/>
  <c r="F22" i="11"/>
  <c r="L36" i="43"/>
  <c r="F22" i="69"/>
  <c r="C42" i="69" s="1"/>
  <c r="F25" i="12"/>
  <c r="C26" i="12" s="1"/>
  <c r="D25" i="12" s="1"/>
  <c r="F24" i="15"/>
  <c r="C24" i="15" s="1"/>
  <c r="F59" i="67"/>
  <c r="F1" i="67"/>
  <c r="Q52" i="67"/>
  <c r="AB28" i="83" l="1"/>
  <c r="T49" i="83" s="1"/>
  <c r="G49" i="83" s="1"/>
  <c r="U28" i="83"/>
  <c r="E49" i="83"/>
  <c r="AC28" i="83"/>
  <c r="V49" i="83" s="1"/>
  <c r="I49" i="83" s="1"/>
  <c r="W28" i="83"/>
  <c r="AA28" i="34"/>
  <c r="R49" i="34" s="1"/>
  <c r="S28" i="34"/>
  <c r="U28" i="34"/>
  <c r="AB28" i="34"/>
  <c r="T49" i="34" s="1"/>
  <c r="G49" i="34" s="1"/>
  <c r="I53" i="34"/>
  <c r="J53" i="34" s="1"/>
  <c r="C19" i="67"/>
  <c r="C20" i="67" s="1"/>
  <c r="C48" i="67"/>
  <c r="C66" i="67" s="1"/>
  <c r="C59" i="67"/>
  <c r="J26" i="15"/>
  <c r="J29" i="15" s="1"/>
  <c r="J24" i="15"/>
  <c r="C43" i="11"/>
  <c r="C26" i="11"/>
  <c r="D22" i="11" s="1"/>
  <c r="C42" i="11"/>
  <c r="C24" i="11"/>
  <c r="C44" i="11"/>
  <c r="D41" i="11" s="1"/>
  <c r="C23" i="11"/>
  <c r="C25" i="11"/>
  <c r="C59" i="15"/>
  <c r="C43" i="68"/>
  <c r="F41" i="68"/>
  <c r="C23" i="68"/>
  <c r="C26" i="68"/>
  <c r="D22" i="68" s="1"/>
  <c r="C44" i="68"/>
  <c r="D41" i="68" s="1"/>
  <c r="J19" i="67"/>
  <c r="J17" i="67"/>
  <c r="J5" i="67"/>
  <c r="J18" i="67"/>
  <c r="C43" i="69"/>
  <c r="C41" i="69" s="1"/>
  <c r="C46" i="68"/>
  <c r="C45" i="68" s="1"/>
  <c r="C27" i="12"/>
  <c r="C25" i="12" s="1"/>
  <c r="C24" i="68"/>
  <c r="C44" i="69"/>
  <c r="D41" i="69" s="1"/>
  <c r="C26" i="69"/>
  <c r="D22" i="69" s="1"/>
  <c r="F41" i="69"/>
  <c r="C24" i="69"/>
  <c r="C23" i="69"/>
  <c r="C53" i="15"/>
  <c r="C48" i="15" s="1"/>
  <c r="C10" i="15"/>
  <c r="C5" i="15" s="1"/>
  <c r="C30" i="12"/>
  <c r="C28" i="12" s="1"/>
  <c r="L37" i="43"/>
  <c r="N36" i="43"/>
  <c r="P36" i="43"/>
  <c r="Q36" i="43"/>
  <c r="M36" i="43"/>
  <c r="O36" i="43"/>
  <c r="C46" i="69"/>
  <c r="C45" i="69" s="1"/>
  <c r="C25" i="69"/>
  <c r="C42" i="68"/>
  <c r="C25" i="68"/>
  <c r="C20" i="15"/>
  <c r="C23" i="15" s="1"/>
  <c r="C41" i="68" l="1"/>
  <c r="C49" i="68" s="1"/>
  <c r="C51" i="68" s="1"/>
  <c r="R50" i="83"/>
  <c r="E53" i="83"/>
  <c r="F53" i="83" s="1"/>
  <c r="E54" i="83"/>
  <c r="F54" i="83" s="1"/>
  <c r="C49" i="83"/>
  <c r="U6" i="1" s="1"/>
  <c r="C50" i="83"/>
  <c r="I53" i="83"/>
  <c r="J53" i="83" s="1"/>
  <c r="I54" i="83"/>
  <c r="J54" i="83" s="1"/>
  <c r="G54" i="83"/>
  <c r="H54" i="83" s="1"/>
  <c r="G53" i="83"/>
  <c r="H53" i="83" s="1"/>
  <c r="G54" i="34"/>
  <c r="H54" i="34" s="1"/>
  <c r="G53" i="34"/>
  <c r="H53" i="34" s="1"/>
  <c r="R50" i="34"/>
  <c r="E49" i="34"/>
  <c r="C32" i="12"/>
  <c r="B2" i="12" s="1"/>
  <c r="B3" i="12" s="1"/>
  <c r="C49" i="69"/>
  <c r="C51" i="69" s="1"/>
  <c r="C23" i="67"/>
  <c r="C26" i="67"/>
  <c r="C66" i="15"/>
  <c r="C26" i="15"/>
  <c r="C29" i="15" s="1"/>
  <c r="N37" i="43"/>
  <c r="M37" i="43"/>
  <c r="O37" i="43"/>
  <c r="Q37" i="43"/>
  <c r="P37" i="43"/>
  <c r="C38" i="15"/>
  <c r="J26" i="67"/>
  <c r="J29" i="67" s="1"/>
  <c r="J24" i="67"/>
  <c r="C22" i="68"/>
  <c r="C31" i="68" s="1"/>
  <c r="C52" i="68" s="1"/>
  <c r="B2" i="68" s="1"/>
  <c r="B3" i="68" s="1"/>
  <c r="C41" i="11"/>
  <c r="C49" i="11" s="1"/>
  <c r="C51" i="11" s="1"/>
  <c r="C22" i="69"/>
  <c r="C31" i="69" s="1"/>
  <c r="C22" i="11"/>
  <c r="C31" i="11" s="1"/>
  <c r="F6" i="67"/>
  <c r="C52" i="69" l="1"/>
  <c r="B2" i="69" s="1"/>
  <c r="B3" i="69" s="1"/>
  <c r="C6" i="67"/>
  <c r="F31" i="67"/>
  <c r="B3" i="83"/>
  <c r="B2" i="83"/>
  <c r="E53" i="34"/>
  <c r="F53" i="34" s="1"/>
  <c r="E54" i="34"/>
  <c r="F54" i="34" s="1"/>
  <c r="I54" i="34"/>
  <c r="J54" i="34" s="1"/>
  <c r="C50" i="34"/>
  <c r="C49" i="34"/>
  <c r="C29" i="67"/>
  <c r="C57" i="67" s="1"/>
  <c r="C64" i="67" s="1"/>
  <c r="C13" i="15"/>
  <c r="C57" i="15"/>
  <c r="C64" i="15" s="1"/>
  <c r="C36" i="15"/>
  <c r="Q49" i="15"/>
  <c r="J14" i="15"/>
  <c r="J59" i="15"/>
  <c r="J60" i="15" s="1"/>
  <c r="C52" i="11"/>
  <c r="B2" i="11" s="1"/>
  <c r="B3" i="11" s="1"/>
  <c r="C57" i="69"/>
  <c r="C56" i="69" s="1"/>
  <c r="C57" i="68"/>
  <c r="C56" i="68" s="1"/>
  <c r="C36" i="67" l="1"/>
  <c r="J14" i="67"/>
  <c r="J22" i="67" s="1"/>
  <c r="C13" i="67"/>
  <c r="Q49" i="67"/>
  <c r="J59" i="67"/>
  <c r="J60" i="67" s="1"/>
  <c r="Q48" i="67" s="1"/>
  <c r="C31" i="67"/>
  <c r="C10" i="67"/>
  <c r="C5" i="67" s="1"/>
  <c r="C38" i="67" s="1"/>
  <c r="B2" i="34"/>
  <c r="B3" i="34"/>
  <c r="Q48" i="15"/>
  <c r="L46" i="15"/>
  <c r="J22" i="15"/>
  <c r="J13" i="15"/>
  <c r="J23" i="15" s="1"/>
  <c r="Q70" i="15"/>
  <c r="C37" i="15"/>
  <c r="C30" i="15" s="1"/>
  <c r="C39" i="15" s="1"/>
  <c r="C56" i="15"/>
  <c r="C65" i="15" s="1"/>
  <c r="C58" i="15" s="1"/>
  <c r="C67" i="15" s="1"/>
  <c r="C68" i="15" s="1"/>
  <c r="C75" i="15"/>
  <c r="C56" i="11"/>
  <c r="C57" i="11" s="1"/>
  <c r="C19" i="9"/>
  <c r="C20" i="9"/>
  <c r="J13" i="67" l="1"/>
  <c r="J23" i="67" s="1"/>
  <c r="J16" i="67" s="1"/>
  <c r="J25" i="67" s="1"/>
  <c r="C37" i="67"/>
  <c r="C30" i="67" s="1"/>
  <c r="C39" i="67" s="1"/>
  <c r="Q70" i="67"/>
  <c r="C75" i="67"/>
  <c r="C56" i="67"/>
  <c r="C65" i="67" s="1"/>
  <c r="C58" i="67" s="1"/>
  <c r="C67" i="67" s="1"/>
  <c r="C68" i="67" s="1"/>
  <c r="C71" i="67" s="1"/>
  <c r="L46" i="67"/>
  <c r="C103" i="9"/>
  <c r="C21" i="9"/>
  <c r="C102" i="9"/>
  <c r="C71" i="15"/>
  <c r="J16" i="15"/>
  <c r="J25" i="15" s="1"/>
  <c r="Q69" i="15"/>
  <c r="Q68" i="15" s="1"/>
  <c r="C40" i="15"/>
  <c r="C80" i="15"/>
  <c r="C79" i="15" s="1"/>
  <c r="L51" i="67"/>
  <c r="L51" i="15"/>
  <c r="Q67" i="67" l="1"/>
  <c r="C40" i="67"/>
  <c r="Q69" i="67"/>
  <c r="Q68" i="67" s="1"/>
  <c r="C80" i="67"/>
  <c r="C79" i="67" s="1"/>
  <c r="Q67" i="15"/>
  <c r="L57" i="15"/>
  <c r="L60" i="15" s="1"/>
  <c r="Q56" i="15"/>
  <c r="Q65" i="15"/>
  <c r="Q47" i="15"/>
  <c r="Q53" i="15" s="1"/>
  <c r="C43" i="15"/>
  <c r="B2" i="15"/>
  <c r="B3" i="15" s="1"/>
  <c r="C83" i="15"/>
  <c r="C82" i="15" s="1"/>
  <c r="C46" i="15"/>
  <c r="C45" i="67" l="1"/>
  <c r="Q65" i="67"/>
  <c r="Q75" i="67" s="1"/>
  <c r="Q56" i="67"/>
  <c r="Q62" i="67" s="1"/>
  <c r="Q47" i="67"/>
  <c r="Q53" i="67" s="1"/>
  <c r="C43" i="67"/>
  <c r="C83" i="67"/>
  <c r="C82" i="67" s="1"/>
  <c r="D2" i="67"/>
  <c r="Q66" i="15"/>
  <c r="Q75" i="15" s="1"/>
  <c r="Q57" i="15"/>
  <c r="Q62" i="15" s="1"/>
  <c r="D2" i="34"/>
  <c r="D2" i="83"/>
  <c r="B2" i="67" l="1"/>
  <c r="B3" i="67"/>
  <c r="C46" i="67"/>
  <c r="D19" i="9"/>
  <c r="D20" i="9"/>
  <c r="AO6" i="1"/>
  <c r="D103" i="9" l="1"/>
  <c r="E22" i="9"/>
  <c r="G20" i="9"/>
  <c r="D22" i="9"/>
  <c r="D21" i="9"/>
  <c r="D102" i="9"/>
  <c r="G19" i="9"/>
  <c r="B6" i="70"/>
  <c r="B2" i="70" s="1"/>
  <c r="B3" i="70" s="1"/>
  <c r="G21" i="9" l="1"/>
  <c r="D14" i="74"/>
  <c r="G22" i="9"/>
  <c r="C32" i="9"/>
  <c r="C35" i="9" l="1"/>
  <c r="C34" i="9" s="1"/>
  <c r="F14" i="74"/>
  <c r="B5" i="74"/>
  <c r="D5" i="74" s="1"/>
  <c r="E14" i="74"/>
  <c r="C105" i="9"/>
  <c r="I4" i="52"/>
  <c r="N61" i="9"/>
  <c r="N60" i="9"/>
  <c r="D9" i="52"/>
  <c r="B30" i="72"/>
  <c r="H4" i="52"/>
  <c r="C104" i="9"/>
  <c r="D8" i="52"/>
  <c r="D122" i="9"/>
  <c r="D123" i="9"/>
  <c r="N59" i="9"/>
  <c r="N58" i="9"/>
  <c r="P57" i="9"/>
  <c r="B48" i="72"/>
  <c r="D52" i="9"/>
  <c r="D53" i="9"/>
  <c r="C78" i="9"/>
  <c r="C73" i="9"/>
  <c r="B51" i="72"/>
  <c r="B22" i="72"/>
  <c r="M55" i="9"/>
  <c r="B31" i="72"/>
  <c r="C5" i="74"/>
  <c r="M48" i="9"/>
  <c r="M54" i="9"/>
  <c r="B20" i="72"/>
  <c r="D5" i="53"/>
  <c r="D6" i="53"/>
  <c r="E4" i="52"/>
  <c r="D56" i="9"/>
  <c r="E97" i="9"/>
  <c r="F4" i="52"/>
  <c r="D54" i="9"/>
  <c r="E81" i="9"/>
  <c r="E80" i="9"/>
  <c r="C68" i="9"/>
  <c r="D59" i="9"/>
  <c r="C80" i="9"/>
  <c r="C72" i="9"/>
  <c r="C79" i="9"/>
  <c r="C81" i="9"/>
  <c r="H102" i="9"/>
  <c r="D7" i="53"/>
  <c r="B21" i="72"/>
  <c r="G4" i="52"/>
  <c r="B52" i="72"/>
  <c r="C96" i="9"/>
  <c r="E96" i="9"/>
  <c r="C64" i="9"/>
  <c r="C63" i="9"/>
  <c r="C67" i="9"/>
  <c r="C93" i="9"/>
  <c r="C86" i="9"/>
  <c r="C6" i="74"/>
  <c r="H108" i="9"/>
  <c r="D15" i="53"/>
  <c r="D119" i="9"/>
  <c r="D5" i="52"/>
  <c r="B49" i="72"/>
  <c r="E118" i="9"/>
  <c r="D118" i="9"/>
  <c r="D4" i="52"/>
  <c r="B47" i="72"/>
  <c r="H119" i="9"/>
  <c r="H5" i="52"/>
  <c r="H107" i="9"/>
  <c r="D13" i="53"/>
  <c r="D14" i="53"/>
  <c r="B32" i="72"/>
  <c r="G118" i="9"/>
  <c r="F118" i="9"/>
  <c r="F119" i="9"/>
  <c r="F5" i="52"/>
  <c r="B53" i="72"/>
  <c r="C85" i="9"/>
  <c r="C95" i="9"/>
  <c r="C97" i="9"/>
  <c r="D58" i="9"/>
  <c r="I118" i="9"/>
  <c r="H118" i="9"/>
  <c r="H101" i="9"/>
  <c r="D45" i="9"/>
  <c r="D55" i="9"/>
  <c r="M53" i="9"/>
  <c r="N57"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<sst xmlns="http://schemas.openxmlformats.org/spreadsheetml/2006/main" count="8208" uniqueCount="3460">
  <si>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</si>
  <si>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</si>
  <si>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</si>
  <si>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</si>
  <si>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</si>
  <si>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</si>
  <si>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</si>
  <si>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</si>
  <si>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</si>
  <si>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</si>
  <si>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</si>
  <si>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</si>
  <si>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</si>
  <si>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</si>
  <si>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</si>
  <si>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</si>
  <si>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</si>
  <si>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</si>
  <si>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</si>
  <si>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</si>
  <si>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</si>
  <si>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</si>
  <si>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</si>
  <si>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</si>
  <si>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</si>
  <si>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</si>
  <si>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</si>
  <si>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</si>
  <si>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</si>
  <si>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</si>
  <si>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</si>
  <si>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</si>
  <si>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</si>
  <si>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</si>
  <si>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</si>
  <si>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</si>
  <si>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</si>
  <si>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</si>
  <si>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</si>
  <si>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</si>
  <si>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</si>
  <si>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</si>
  <si>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</si>
  <si>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</si>
  <si>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</si>
  <si>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</si>
  <si>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</si>
  <si>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</si>
  <si>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</si>
  <si>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</si>
  <si>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</si>
  <si>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</si>
  <si>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</si>
  <si>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</si>
  <si>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</si>
  <si>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</si>
  <si>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</si>
  <si>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</si>
  <si>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</si>
  <si>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</si>
  <si>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</si>
  <si>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</si>
  <si>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</si>
  <si>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</si>
  <si>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</si>
  <si>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</si>
  <si>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</si>
  <si>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</si>
  <si>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</si>
  <si>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</si>
  <si>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</si>
  <si>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</si>
  <si>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</si>
  <si>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</si>
  <si>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</si>
  <si>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</si>
  <si>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</si>
  <si>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</si>
  <si>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</si>
  <si>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</si>
  <si>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</si>
  <si>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</si>
  <si>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</si>
  <si>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</si>
  <si>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</si>
  <si>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</si>
  <si>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</si>
  <si>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</si>
  <si>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</si>
  <si>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</si>
  <si>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</si>
  <si>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</si>
  <si>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</si>
  <si>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</si>
  <si>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</si>
  <si>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</si>
  <si>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</si>
  <si>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</si>
  <si>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</si>
  <si>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</si>
  <si>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</si>
  <si>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</si>
  <si>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</si>
  <si>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</si>
  <si>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</si>
  <si>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</si>
  <si>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</si>
  <si>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</si>
  <si>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</si>
  <si>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</si>
  <si>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</si>
  <si>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</si>
  <si>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</si>
  <si>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</si>
  <si>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</si>
  <si>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</si>
  <si>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</si>
  <si>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</si>
  <si>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</si>
  <si>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</si>
  <si>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</si>
  <si>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</si>
  <si>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</si>
  <si>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</si>
  <si>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</si>
  <si>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</si>
  <si>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</si>
  <si>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</si>
  <si>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</si>
  <si>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</si>
  <si>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</si>
  <si>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</si>
  <si>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</si>
  <si>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</si>
  <si>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</si>
  <si>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</si>
  <si>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</si>
  <si>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</si>
  <si>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</si>
  <si>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</si>
  <si>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</si>
  <si>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</si>
  <si>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</si>
  <si>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</si>
  <si>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</si>
  <si>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</si>
  <si>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</si>
  <si>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</si>
  <si>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</si>
  <si>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</si>
  <si>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</si>
  <si>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</si>
  <si>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</si>
  <si>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</si>
  <si>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</si>
  <si>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</si>
  <si>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</si>
  <si>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</si>
  <si>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</si>
  <si>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</si>
  <si>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</si>
  <si>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</si>
  <si>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</si>
  <si>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</si>
  <si>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</si>
  <si>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</si>
  <si>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</si>
  <si>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</si>
  <si>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</si>
  <si>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</si>
  <si>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</si>
  <si>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</si>
  <si>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</si>
  <si>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</si>
  <si>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</si>
  <si>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</si>
  <si>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</si>
  <si>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</si>
  <si>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</si>
  <si>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</si>
  <si>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</si>
  <si>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</si>
  <si>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</si>
  <si>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</si>
  <si>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</si>
  <si>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</si>
  <si>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</si>
  <si>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</si>
  <si>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</si>
  <si>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</si>
  <si>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</si>
  <si>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</si>
  <si>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</si>
  <si>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</si>
  <si>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</si>
  <si>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</si>
  <si>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</si>
  <si>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</si>
  <si>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</si>
  <si>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</si>
  <si>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</si>
  <si>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</si>
  <si>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</si>
  <si>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</si>
  <si>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</si>
  <si>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</si>
  <si>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</si>
  <si>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</si>
  <si>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</si>
  <si>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</si>
  <si>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</si>
  <si>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</si>
  <si>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</si>
  <si>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</si>
  <si>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</si>
  <si>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</si>
  <si>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</si>
  <si>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</si>
  <si>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</si>
  <si>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</si>
  <si>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</si>
  <si>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</si>
  <si>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</si>
  <si>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</si>
  <si>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</si>
  <si>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</si>
  <si>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</si>
  <si>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</si>
  <si>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</si>
  <si>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</si>
  <si>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</si>
  <si>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</si>
  <si>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</si>
  <si>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</si>
  <si>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</si>
  <si>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</si>
  <si>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</si>
  <si>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</si>
  <si>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</si>
  <si>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</si>
  <si>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</si>
  <si>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</si>
  <si>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</si>
  <si>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</si>
  <si>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</si>
  <si>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</si>
  <si>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</si>
  <si>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</si>
  <si>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</si>
  <si>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</si>
  <si>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</si>
  <si>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</si>
  <si>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</si>
  <si>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</si>
  <si>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</si>
  <si>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</si>
  <si>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</si>
  <si>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</si>
  <si>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</si>
  <si>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</si>
  <si>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</si>
  <si>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</si>
  <si>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</si>
  <si>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</si>
  <si>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</si>
  <si>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</si>
  <si>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</si>
  <si>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</si>
  <si>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</si>
  <si>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</si>
  <si>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</si>
  <si>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</si>
  <si>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</si>
  <si>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</si>
  <si>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</si>
  <si>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</si>
  <si>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</si>
  <si>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</si>
  <si>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</si>
  <si>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</si>
  <si>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</si>
  <si>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</si>
  <si>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</si>
  <si>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</si>
  <si>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</si>
  <si>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</si>
  <si>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</si>
  <si>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</si>
  <si>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</si>
  <si>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</si>
  <si>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</si>
  <si>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</si>
  <si>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</si>
  <si>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</si>
  <si>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</si>
  <si>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</si>
  <si>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</si>
  <si>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</si>
  <si>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</si>
  <si>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</si>
  <si>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</si>
  <si>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</si>
  <si>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</si>
  <si>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</si>
  <si>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</si>
  <si>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</si>
  <si>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</si>
  <si>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</si>
  <si>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</si>
  <si>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</si>
  <si>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</si>
  <si>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</si>
  <si>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</si>
  <si>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</si>
  <si>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</si>
  <si>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</si>
  <si>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</si>
  <si>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</si>
  <si>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</si>
  <si>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</si>
  <si>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</si>
  <si>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</si>
  <si>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</si>
  <si>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</si>
  <si>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</si>
  <si>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</si>
  <si>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</si>
  <si>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</si>
  <si>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</si>
  <si>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</si>
  <si>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</si>
  <si>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</si>
  <si>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</si>
  <si>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</si>
  <si>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</si>
  <si>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</si>
  <si>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</si>
  <si>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</si>
  <si>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</si>
  <si>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</si>
  <si>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</si>
  <si>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</si>
  <si>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</si>
  <si>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</si>
  <si>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</si>
  <si>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</si>
  <si>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</si>
  <si>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</si>
  <si>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</si>
  <si>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</si>
  <si>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</si>
  <si>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</si>
  <si>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</si>
  <si>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</si>
  <si>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</si>
  <si>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</si>
  <si>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</si>
  <si>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</si>
  <si>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</si>
  <si>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</si>
  <si>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</si>
  <si>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</si>
  <si>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</si>
  <si>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</si>
  <si>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</si>
  <si>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</si>
  <si>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</si>
  <si>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</si>
  <si>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</si>
  <si>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</si>
  <si>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</si>
  <si>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</si>
  <si>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</si>
  <si>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</si>
  <si>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</si>
  <si>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</si>
  <si>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</si>
  <si>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</si>
  <si>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</si>
  <si>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</si>
  <si>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</si>
  <si>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</si>
  <si>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</si>
  <si>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</si>
  <si>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</si>
  <si>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</si>
  <si>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</si>
  <si>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</si>
  <si>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</si>
  <si>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</si>
  <si>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</si>
  <si>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</si>
  <si>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</si>
  <si>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</si>
  <si>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</si>
  <si>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</si>
  <si>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</si>
  <si>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</si>
  <si>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</si>
  <si>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</si>
  <si>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</si>
  <si>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</si>
  <si>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</si>
  <si>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</si>
  <si>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</si>
  <si>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</si>
  <si>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</si>
  <si>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</si>
  <si>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</si>
  <si>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</si>
  <si>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</si>
  <si>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</si>
  <si>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</si>
  <si>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</si>
  <si>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</si>
  <si>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</si>
  <si>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</si>
  <si>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</si>
  <si>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</si>
  <si>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</si>
  <si>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</si>
  <si>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</si>
  <si>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</si>
  <si>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</si>
  <si>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</si>
  <si>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</si>
  <si>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</si>
  <si>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</si>
  <si>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</si>
  <si>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</si>
  <si>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</si>
  <si>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</si>
  <si>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</si>
  <si>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</si>
  <si>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</si>
  <si>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</si>
  <si>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</si>
  <si>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</si>
  <si>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</si>
  <si>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</si>
  <si>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</si>
  <si>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</si>
  <si>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</si>
  <si>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</si>
  <si>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</si>
  <si>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</si>
  <si>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</si>
  <si>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</si>
  <si>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</si>
  <si>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</si>
  <si>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</si>
  <si>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</si>
  <si>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</si>
  <si>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</si>
  <si>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</si>
  <si>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</si>
  <si>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</si>
  <si>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</si>
  <si>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</si>
  <si>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</si>
  <si>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</si>
  <si>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</si>
  <si>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</si>
  <si>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</si>
  <si>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</si>
  <si>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</si>
  <si>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</si>
  <si>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</si>
  <si>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</si>
  <si>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</si>
  <si>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</si>
  <si>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</si>
  <si>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</si>
  <si>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</si>
  <si>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</si>
  <si>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</si>
  <si>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</si>
  <si>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</si>
  <si>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</si>
  <si>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</si>
  <si>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</si>
  <si>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</si>
  <si>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</si>
  <si>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</si>
  <si>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</si>
  <si>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</si>
  <si>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</si>
  <si>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</si>
  <si>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</si>
  <si>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</si>
  <si>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</si>
  <si>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</si>
  <si>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</si>
  <si>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</si>
  <si>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</si>
  <si>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</si>
  <si>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</si>
  <si>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</si>
  <si>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</si>
  <si>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</si>
  <si>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</si>
  <si>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</si>
  <si>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</si>
  <si>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</si>
  <si>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</si>
  <si>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</si>
  <si>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</si>
  <si>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</si>
  <si>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</si>
  <si>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</si>
  <si>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</si>
  <si>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</si>
  <si>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</si>
  <si>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</si>
  <si>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</si>
  <si>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</si>
  <si>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</si>
  <si>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</si>
  <si>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</si>
  <si>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</si>
  <si>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</si>
  <si>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</si>
  <si>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</si>
  <si>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</si>
  <si>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</si>
  <si>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</si>
  <si>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</si>
  <si>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</si>
  <si>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</si>
  <si>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</si>
  <si>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</si>
  <si>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</si>
  <si>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</si>
  <si>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</si>
  <si>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</si>
  <si>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</si>
  <si>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</si>
  <si>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</si>
  <si>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</si>
  <si>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</si>
  <si>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</si>
  <si>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</si>
  <si>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</si>
  <si>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</si>
  <si>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</si>
  <si>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</si>
  <si>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</si>
  <si>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</si>
  <si>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</si>
  <si>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</si>
  <si>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</si>
  <si>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</si>
  <si>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</si>
  <si>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</si>
  <si>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</si>
  <si>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</si>
  <si>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</si>
  <si>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</si>
  <si>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</si>
  <si>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</si>
  <si>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</si>
  <si>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</si>
  <si>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</si>
  <si>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</si>
  <si>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</si>
  <si>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</si>
  <si>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</si>
  <si>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</si>
  <si>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</si>
  <si>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</si>
  <si>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</si>
  <si>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</si>
  <si>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</si>
  <si>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</si>
  <si>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</si>
  <si>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</si>
  <si>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</si>
  <si>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</si>
  <si>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</si>
  <si>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</si>
  <si>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</si>
  <si>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</si>
  <si>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</si>
  <si>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</si>
  <si>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</si>
  <si>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</si>
  <si>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</si>
  <si>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</si>
  <si>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</si>
  <si>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</si>
  <si>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</si>
  <si>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</si>
  <si>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</si>
  <si>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</si>
  <si>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</si>
  <si>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</si>
  <si>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</si>
  <si>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</si>
  <si>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</si>
  <si>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</si>
  <si>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</si>
  <si>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</si>
  <si>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</si>
  <si>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</si>
  <si>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</si>
  <si>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</si>
  <si>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</si>
  <si>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</si>
  <si>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</si>
  <si>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</si>
  <si>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</si>
  <si>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</si>
  <si>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</si>
  <si>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</si>
  <si>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</si>
  <si>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</si>
  <si>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</si>
  <si>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</si>
  <si>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</si>
  <si>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</si>
  <si>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</si>
  <si>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</si>
  <si>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</si>
  <si>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</si>
  <si>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</si>
  <si>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</si>
  <si>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</si>
  <si>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</si>
  <si>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</si>
  <si>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</si>
  <si>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</si>
  <si>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</si>
  <si>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</si>
  <si>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</si>
  <si>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</si>
  <si>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</si>
  <si>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</si>
  <si>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</si>
  <si>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</si>
  <si>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</si>
  <si>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</si>
  <si>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</si>
  <si>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</si>
  <si>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</si>
  <si>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</si>
  <si>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</si>
  <si>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</si>
  <si>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</si>
  <si>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</si>
  <si>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</si>
  <si>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</si>
  <si>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</si>
  <si>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</si>
  <si>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</si>
  <si>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</si>
  <si>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</si>
  <si>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</si>
  <si>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</si>
  <si>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</si>
  <si>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</si>
  <si>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</si>
  <si>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</si>
  <si>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</si>
  <si>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</si>
  <si>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</si>
  <si>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</si>
  <si>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</si>
  <si>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</si>
  <si>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</si>
  <si>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</si>
  <si>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</si>
  <si>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</si>
  <si>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</si>
  <si>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</si>
  <si>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</si>
  <si>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</si>
  <si>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</si>
  <si>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</si>
  <si>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</si>
  <si>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</si>
  <si>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</si>
  <si>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</si>
  <si>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</si>
  <si>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</si>
  <si>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</si>
  <si>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</si>
  <si>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</si>
  <si>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</si>
  <si>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</si>
  <si>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</si>
  <si>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</si>
  <si>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</si>
  <si>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</si>
  <si>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</si>
  <si>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</si>
  <si>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</si>
  <si>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</si>
  <si>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</si>
  <si>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</si>
  <si>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</si>
  <si>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</si>
  <si>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</si>
  <si>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</si>
  <si>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</si>
  <si>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</si>
  <si>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</si>
  <si>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</si>
  <si>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</si>
  <si>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</si>
  <si>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</si>
  <si>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</si>
  <si>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</si>
  <si>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</si>
  <si>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</si>
  <si>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</si>
  <si>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</si>
  <si>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</si>
  <si>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</si>
  <si>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</si>
  <si>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</si>
  <si>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</si>
  <si>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</si>
  <si>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</si>
  <si>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</si>
  <si>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</si>
  <si>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</si>
  <si>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</si>
  <si>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</si>
  <si>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</si>
  <si>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</si>
  <si>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</si>
  <si>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</si>
  <si>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</si>
  <si>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</si>
  <si>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</si>
  <si>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</si>
  <si>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</si>
  <si>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</si>
  <si>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</si>
  <si>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</si>
  <si>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</si>
  <si>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</si>
  <si>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</si>
  <si>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</si>
  <si>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</si>
  <si>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</si>
  <si>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</si>
  <si>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</si>
  <si>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</si>
  <si>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</si>
  <si>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</si>
  <si>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</si>
  <si>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</si>
  <si>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</si>
  <si>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</si>
  <si>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</si>
  <si>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</si>
  <si>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</si>
  <si>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</si>
  <si>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</si>
  <si>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</si>
  <si>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</si>
  <si>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</si>
  <si>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</si>
  <si>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</si>
  <si>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</si>
  <si>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</si>
  <si>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</si>
  <si>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</si>
  <si>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</si>
  <si>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</si>
  <si>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</si>
  <si>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</si>
  <si>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</si>
  <si>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</si>
  <si>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</si>
  <si>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</si>
  <si>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</si>
  <si>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</si>
  <si>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</si>
  <si>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</si>
  <si>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</si>
  <si>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</si>
  <si>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</si>
  <si>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</si>
  <si>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</si>
  <si>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</si>
  <si>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</si>
  <si>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</si>
  <si>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</si>
  <si>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</si>
  <si>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</si>
  <si>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</si>
  <si>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</si>
  <si>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</si>
  <si>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</si>
  <si>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</si>
  <si>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</si>
  <si>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</si>
  <si>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</si>
  <si>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</si>
  <si>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</si>
  <si>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</si>
  <si>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</si>
  <si>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</si>
  <si>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</si>
  <si>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</si>
  <si>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</si>
  <si>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</si>
  <si>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</si>
  <si>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</si>
  <si>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</si>
  <si>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</si>
  <si>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</si>
  <si>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</si>
  <si>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</si>
  <si>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</si>
  <si>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</si>
  <si>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</si>
  <si>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</si>
  <si>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</si>
  <si>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</si>
  <si>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</si>
  <si>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</si>
  <si>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</si>
  <si>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</si>
  <si>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</si>
  <si>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</si>
  <si>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</si>
  <si>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</si>
  <si>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</si>
  <si>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</si>
  <si>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</si>
  <si>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</si>
  <si>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</si>
  <si>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</si>
  <si>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</si>
  <si>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</si>
  <si>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</si>
  <si>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</si>
  <si>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</si>
  <si>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</si>
  <si>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</si>
  <si>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</si>
  <si>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</si>
  <si>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</si>
  <si>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</si>
  <si>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</si>
  <si>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</si>
  <si>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</si>
  <si>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</si>
  <si>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</si>
  <si>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</si>
  <si>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</si>
  <si>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</si>
  <si>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</si>
  <si>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</si>
  <si>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</si>
  <si>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</si>
  <si>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</si>
  <si>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</si>
  <si>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</si>
  <si>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</si>
  <si>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</si>
  <si>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</si>
  <si>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</si>
  <si>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</si>
  <si>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</si>
  <si>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</si>
  <si>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</si>
  <si>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</si>
  <si>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</si>
  <si>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</si>
  <si>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</si>
  <si>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</si>
  <si>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</si>
  <si>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</si>
  <si>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</si>
  <si>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</si>
  <si>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</si>
  <si>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</si>
  <si>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</si>
  <si>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</si>
  <si>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</si>
  <si>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</si>
  <si>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</si>
  <si>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</si>
  <si>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</si>
  <si>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</si>
  <si>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</si>
  <si>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</si>
  <si>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</si>
  <si>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</si>
  <si>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</si>
  <si>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</si>
  <si>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</si>
  <si>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</si>
  <si>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</si>
  <si>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</si>
  <si>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</si>
  <si>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</si>
  <si>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</si>
  <si>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</si>
  <si>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</si>
  <si>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</si>
  <si>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</si>
  <si>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</si>
  <si>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</si>
  <si>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</si>
  <si>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</si>
  <si>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</si>
  <si>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</si>
  <si>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</si>
  <si>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</si>
  <si>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</si>
  <si>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</si>
  <si>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</si>
  <si>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</si>
  <si>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</si>
  <si>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</si>
  <si>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</si>
  <si>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</si>
  <si>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</si>
  <si>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</si>
  <si>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</si>
  <si>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</si>
  <si>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</si>
  <si>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</si>
  <si>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</si>
  <si>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</si>
  <si>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</si>
  <si>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</si>
  <si>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</si>
  <si>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</si>
  <si>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</si>
  <si>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</si>
  <si>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</si>
  <si>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</si>
  <si>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</si>
  <si>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</si>
  <si>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</si>
  <si>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</si>
  <si>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</si>
  <si>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</si>
  <si>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</si>
  <si>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</si>
  <si>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</si>
  <si>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</si>
  <si>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</si>
  <si>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</si>
  <si>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</si>
  <si>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</si>
  <si>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</si>
  <si>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</si>
  <si>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</si>
  <si>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</si>
  <si>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</si>
  <si>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</si>
  <si>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</si>
  <si>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</si>
  <si>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</si>
  <si>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</si>
  <si>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</si>
  <si>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</si>
  <si>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</si>
  <si>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</si>
  <si>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</si>
  <si>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</si>
  <si>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</si>
  <si>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</si>
  <si>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</si>
  <si>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</si>
  <si>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</si>
  <si>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</si>
  <si>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</si>
  <si>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</si>
  <si>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</si>
  <si>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</si>
  <si>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</si>
  <si>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</si>
  <si>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</si>
  <si>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</si>
  <si>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</si>
  <si>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</si>
  <si>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</si>
  <si>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</si>
  <si>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</si>
  <si>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</si>
  <si>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</si>
  <si>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</si>
  <si>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</si>
  <si>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</si>
  <si>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</si>
  <si>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</si>
  <si>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</si>
  <si>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</si>
  <si>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</si>
  <si>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</si>
  <si>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</si>
  <si>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</si>
  <si>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</si>
  <si>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</si>
  <si>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</si>
  <si>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</si>
  <si>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</si>
  <si>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</si>
  <si>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</si>
  <si>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</si>
  <si>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</si>
  <si>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</si>
  <si>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</si>
  <si>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</si>
  <si>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</si>
  <si>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</si>
  <si>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</si>
  <si>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</si>
  <si>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</si>
  <si>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</si>
  <si>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</si>
  <si>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</si>
  <si>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</si>
  <si>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</si>
  <si>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</si>
  <si>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</si>
  <si>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</si>
  <si>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</si>
  <si>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</si>
  <si>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</si>
  <si>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</si>
  <si>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</si>
  <si>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</si>
  <si>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</si>
  <si>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</si>
  <si>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</si>
  <si>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</si>
  <si>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</si>
  <si>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</si>
  <si>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</si>
  <si>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</si>
  <si>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</si>
  <si>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</si>
  <si>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</si>
  <si>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</si>
  <si>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</si>
  <si>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</si>
  <si>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</si>
  <si>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</si>
  <si>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</si>
  <si>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</si>
  <si>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</si>
  <si>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</si>
  <si>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</si>
  <si>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</si>
  <si>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</si>
  <si>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</si>
  <si>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</si>
  <si>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</si>
  <si>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</si>
  <si>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</si>
  <si>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</si>
  <si>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</si>
  <si>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</si>
  <si>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</si>
  <si>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</si>
  <si>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</si>
  <si>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</si>
  <si>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</si>
  <si>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</si>
  <si>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</si>
  <si>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</si>
  <si>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</si>
  <si>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</si>
  <si>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</si>
  <si>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</si>
  <si>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</si>
  <si>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</si>
  <si>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</si>
  <si>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</si>
  <si>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</si>
  <si>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</si>
  <si>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</si>
  <si>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</si>
  <si>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</si>
  <si>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</si>
  <si>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</si>
  <si>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</si>
  <si>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</si>
  <si>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</si>
  <si>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</si>
  <si>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</si>
  <si>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</si>
  <si>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</si>
  <si>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</si>
  <si>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</si>
  <si>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</si>
  <si>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</si>
  <si>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</si>
  <si>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</si>
  <si>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</si>
  <si>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</si>
  <si>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</si>
  <si>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</si>
  <si>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</si>
  <si>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</si>
  <si>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</si>
  <si>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</si>
  <si>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</si>
  <si>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</si>
  <si>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</si>
  <si>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</si>
  <si>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</si>
  <si>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</si>
  <si>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</si>
  <si>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</si>
  <si>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</si>
  <si>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</si>
  <si>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</si>
  <si>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</si>
  <si>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</si>
  <si>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</si>
  <si>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</si>
  <si>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</si>
  <si>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</si>
  <si>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</si>
  <si>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</si>
  <si>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</si>
  <si>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</si>
  <si>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</si>
  <si>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</si>
  <si>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</si>
  <si>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</si>
  <si>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</si>
  <si>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</si>
  <si>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</si>
  <si>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</si>
  <si>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</si>
  <si>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</si>
  <si>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</si>
  <si>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</si>
  <si>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</si>
  <si>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</si>
  <si>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</si>
  <si>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</si>
  <si>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</si>
  <si>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</si>
  <si>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</si>
  <si>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</si>
  <si>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</si>
  <si>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</si>
  <si>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</si>
  <si>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</si>
  <si>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</si>
  <si>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</si>
  <si>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</si>
  <si>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</si>
  <si>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</si>
  <si>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</si>
  <si>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</si>
  <si>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</si>
  <si>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</si>
  <si>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</si>
  <si>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</si>
  <si>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</si>
  <si>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</si>
  <si>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</si>
  <si>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</si>
  <si>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</si>
  <si>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</si>
  <si>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</si>
  <si>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</si>
  <si>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</si>
  <si>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</si>
  <si>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</si>
  <si>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</si>
  <si>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</si>
  <si>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</si>
  <si>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</si>
  <si>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</si>
  <si>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</si>
  <si>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</si>
  <si>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</si>
  <si>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</si>
  <si>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</si>
  <si>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</si>
  <si>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</si>
  <si>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</si>
  <si>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</si>
  <si>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</si>
  <si>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</si>
  <si>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</si>
  <si>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</si>
  <si>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</si>
  <si>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</si>
  <si>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</si>
  <si>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</si>
  <si>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</si>
  <si>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</si>
  <si>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</si>
  <si>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</si>
  <si>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</si>
  <si>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</si>
  <si>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</si>
  <si>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</si>
  <si>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</si>
  <si>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</si>
  <si>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</si>
  <si>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</si>
  <si>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</si>
  <si>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</si>
  <si>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</si>
  <si>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</si>
  <si>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</si>
  <si>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</si>
  <si>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</si>
  <si>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</si>
  <si>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</si>
  <si>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</si>
  <si>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</si>
  <si>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</si>
  <si>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</si>
  <si>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</si>
  <si>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</si>
  <si>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</si>
  <si>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</si>
  <si>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</si>
  <si>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</si>
  <si>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</si>
  <si>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</si>
  <si>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</si>
  <si>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</si>
  <si>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</si>
  <si>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</si>
  <si>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</si>
  <si>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</si>
  <si>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</si>
  <si>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</si>
  <si>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</si>
  <si>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</si>
  <si>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</si>
  <si>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</si>
  <si>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</si>
  <si>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</si>
  <si>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</si>
  <si>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</si>
  <si>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</si>
  <si>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</si>
  <si>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</si>
  <si>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</si>
  <si>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</si>
  <si>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</si>
  <si>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</si>
  <si>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</si>
  <si>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</si>
  <si>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</si>
  <si>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</si>
  <si>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</si>
  <si>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</si>
  <si>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</si>
  <si>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</si>
  <si>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</si>
  <si>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</si>
  <si>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</si>
  <si>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</si>
  <si>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</si>
  <si>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</si>
  <si>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</si>
  <si>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</si>
  <si>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</si>
  <si>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</si>
  <si>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</si>
  <si>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</si>
  <si>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</si>
  <si>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</si>
  <si>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</si>
  <si>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</si>
  <si>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</si>
  <si>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</si>
  <si>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</si>
  <si>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</si>
  <si>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</si>
  <si>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</si>
  <si>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</si>
  <si>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</si>
  <si>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</si>
  <si>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</si>
  <si>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</si>
  <si>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</si>
  <si>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</si>
  <si>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</si>
  <si>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</si>
  <si>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</si>
  <si>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</si>
  <si>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</si>
  <si>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</si>
  <si>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</si>
  <si>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</si>
  <si>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</si>
  <si>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</si>
  <si>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</si>
  <si>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</si>
  <si>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</si>
  <si>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</si>
  <si>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</si>
  <si>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</si>
  <si>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</si>
  <si>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</si>
  <si>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</si>
  <si>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</si>
  <si>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</si>
  <si>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</si>
  <si>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</si>
  <si>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</si>
  <si>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</si>
  <si>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</si>
  <si>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</si>
  <si>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</si>
  <si>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</si>
  <si>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</si>
  <si>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</si>
  <si>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</si>
  <si>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</si>
  <si>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</si>
  <si>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</si>
  <si>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</si>
  <si>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</si>
  <si>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</si>
  <si>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</si>
  <si>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</si>
  <si>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</si>
  <si>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</si>
  <si>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</si>
  <si>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</si>
  <si>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</si>
  <si>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</si>
  <si>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</si>
  <si>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</si>
  <si>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</si>
  <si>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</si>
  <si>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</si>
  <si>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</si>
  <si>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</si>
  <si>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</si>
  <si>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</si>
  <si>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</si>
  <si>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</si>
  <si>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</si>
  <si>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</si>
  <si>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</si>
  <si>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</si>
  <si>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</si>
  <si>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</si>
  <si>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</si>
  <si>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</si>
  <si>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</si>
  <si>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</si>
  <si>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</si>
  <si>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</si>
  <si>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</si>
  <si>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</si>
  <si>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</si>
  <si>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</si>
  <si>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</si>
  <si>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</si>
  <si>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</si>
  <si>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</si>
  <si>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</si>
  <si>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</si>
  <si>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</si>
  <si>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</si>
  <si>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</si>
  <si>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</si>
  <si>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</si>
  <si>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</si>
  <si>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</si>
  <si>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</si>
  <si>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</si>
  <si>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</si>
  <si>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</si>
  <si>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</si>
  <si>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</si>
  <si>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</si>
  <si>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</si>
  <si>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</si>
  <si>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</si>
  <si>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</si>
  <si>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</si>
  <si>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</si>
  <si>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</si>
  <si>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</si>
  <si>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</si>
  <si>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</si>
  <si>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</si>
  <si>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</si>
  <si>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</si>
  <si>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</si>
  <si>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</si>
  <si>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</si>
  <si>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</si>
  <si>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</si>
  <si>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</si>
  <si>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</si>
  <si>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</si>
  <si>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</si>
  <si>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</si>
  <si>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</si>
  <si>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</si>
  <si>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</si>
  <si>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</si>
  <si>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</si>
  <si>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</si>
  <si>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</si>
  <si>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</si>
  <si>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</si>
  <si>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</si>
  <si>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</si>
  <si>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</si>
  <si>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</si>
  <si>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</si>
  <si>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</si>
  <si>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</si>
  <si>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</si>
  <si>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</si>
  <si>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</si>
  <si>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</si>
  <si>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</si>
  <si>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</si>
  <si>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</si>
  <si>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</si>
  <si>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</si>
  <si>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</si>
  <si>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</si>
  <si>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</si>
  <si>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</si>
  <si>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</si>
  <si>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</si>
  <si>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</si>
  <si>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</si>
  <si>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</si>
  <si>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</si>
  <si>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</si>
  <si>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</si>
  <si>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</si>
  <si>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</si>
  <si>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</si>
  <si>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</si>
  <si>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</si>
  <si>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</si>
  <si>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</si>
  <si>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</si>
  <si>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</si>
  <si>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</si>
  <si>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</si>
  <si>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</si>
  <si>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</si>
  <si>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</si>
  <si>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</si>
  <si>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</si>
  <si>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</si>
  <si>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</si>
  <si>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</si>
  <si>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</si>
  <si>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</si>
  <si>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</si>
  <si>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</si>
  <si>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</si>
  <si>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</si>
  <si>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</si>
  <si>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</si>
  <si>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</si>
  <si>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</si>
  <si>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</si>
  <si>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</si>
  <si>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</si>
  <si>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</si>
  <si>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</si>
  <si>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</si>
  <si>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</si>
  <si>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</si>
  <si>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</si>
  <si>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</si>
  <si>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</si>
  <si>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</si>
  <si>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</si>
  <si>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</si>
  <si>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</si>
  <si>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</si>
  <si>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</si>
  <si>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</si>
  <si>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</si>
  <si>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</si>
  <si>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</si>
  <si>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</si>
  <si>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</si>
  <si>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</si>
  <si>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</si>
  <si>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</si>
  <si>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</si>
  <si>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</si>
  <si>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</si>
  <si>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</si>
  <si>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</si>
  <si>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</si>
  <si>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</si>
  <si>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</si>
  <si>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</si>
  <si>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</si>
  <si>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</si>
  <si>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</si>
  <si>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</si>
  <si>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</si>
  <si>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</si>
  <si>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</si>
  <si>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</si>
  <si>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</si>
  <si>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</si>
  <si>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</si>
  <si>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</si>
  <si>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</si>
  <si>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</si>
  <si>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</si>
  <si>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</si>
  <si>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</si>
  <si>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</si>
  <si>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</si>
  <si>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</si>
  <si>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</si>
  <si>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</si>
  <si>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</si>
  <si>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</si>
  <si>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</si>
  <si>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</si>
  <si>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</si>
  <si>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</si>
  <si>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</si>
  <si>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</si>
  <si>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</si>
  <si>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</si>
  <si>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</si>
  <si>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</si>
  <si>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</si>
  <si>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</si>
  <si>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</si>
  <si>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</si>
  <si>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</si>
  <si>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</si>
  <si>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</si>
  <si>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</si>
  <si>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</si>
  <si>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</si>
  <si>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</si>
  <si>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</si>
  <si>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</si>
  <si>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</si>
  <si>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</si>
  <si>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</si>
  <si>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</si>
  <si>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</si>
  <si>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</si>
  <si>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</si>
  <si>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</si>
  <si>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</si>
  <si>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</si>
  <si>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</si>
  <si>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</si>
  <si>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</si>
  <si>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</si>
  <si>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</si>
  <si>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</si>
  <si>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</si>
  <si>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</si>
  <si>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</si>
  <si>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</si>
  <si>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</si>
  <si>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</si>
  <si>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</si>
  <si>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</si>
  <si>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</si>
  <si>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</si>
  <si>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</si>
  <si>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</si>
  <si>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</si>
  <si>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</si>
  <si>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</si>
  <si>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</si>
  <si>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</si>
  <si>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</si>
  <si>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</si>
  <si>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</si>
  <si>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</si>
  <si>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</si>
  <si>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</si>
  <si>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</si>
  <si>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</si>
  <si>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</si>
  <si>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</si>
  <si>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</si>
  <si>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</si>
  <si>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</si>
  <si>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</si>
  <si>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</si>
  <si>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</si>
  <si>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</si>
  <si>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</si>
  <si>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</si>
  <si>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</si>
  <si>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</si>
  <si>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</si>
  <si>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</si>
  <si>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</si>
  <si>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</si>
  <si>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</si>
  <si>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</si>
  <si>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</si>
  <si>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</si>
  <si>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</si>
  <si>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</si>
  <si>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</si>
  <si>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</si>
  <si>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</si>
  <si>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</si>
  <si>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</si>
  <si>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</si>
  <si>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</si>
  <si>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</si>
  <si>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</si>
  <si>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</si>
  <si>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</si>
  <si>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</si>
  <si>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</si>
  <si>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</si>
  <si>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</si>
  <si>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</si>
  <si>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</si>
  <si>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</si>
  <si>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</si>
  <si>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</si>
  <si>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</si>
  <si>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</si>
  <si>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</si>
  <si>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</si>
  <si>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</si>
  <si>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</si>
  <si>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</si>
  <si>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</si>
  <si>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</si>
  <si>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</si>
  <si>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</si>
  <si>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</si>
  <si>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</si>
  <si>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</si>
  <si>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</si>
  <si>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</si>
  <si>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</si>
  <si>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</si>
  <si>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</si>
  <si>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</si>
  <si>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</si>
  <si>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</si>
  <si>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</si>
  <si>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</si>
  <si>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</si>
  <si>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</si>
  <si>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</si>
  <si>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</si>
  <si>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</si>
  <si>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</si>
  <si>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</si>
  <si>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</si>
  <si>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</si>
  <si>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</si>
  <si>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</si>
  <si>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</si>
  <si>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</si>
  <si>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</si>
  <si>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</si>
  <si>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</si>
  <si>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</si>
  <si>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</si>
  <si>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</si>
  <si>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</si>
  <si>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</si>
  <si>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</si>
  <si>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</si>
  <si>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</si>
  <si>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</si>
  <si>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</si>
  <si>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</si>
  <si>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</si>
  <si>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</si>
  <si>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</si>
  <si>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</si>
  <si>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</si>
  <si>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</si>
  <si>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</si>
  <si>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</si>
  <si>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</si>
  <si>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</si>
  <si>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</si>
  <si>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</si>
  <si>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</si>
  <si>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</si>
  <si>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</si>
  <si>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</si>
  <si>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</si>
  <si>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</si>
  <si>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</si>
  <si>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</si>
  <si>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</si>
  <si>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</si>
  <si>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</si>
  <si>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</si>
  <si>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</si>
  <si>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</si>
  <si>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</si>
  <si>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</si>
  <si>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</si>
  <si>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</si>
  <si>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</si>
  <si>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</si>
  <si>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</si>
  <si>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</si>
  <si>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</si>
  <si>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</si>
  <si>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</si>
  <si>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</si>
  <si>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</si>
  <si>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</si>
  <si>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</si>
  <si>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</si>
  <si>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</si>
  <si>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</si>
  <si>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</si>
  <si>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</si>
  <si>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</si>
  <si>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</si>
  <si>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</si>
  <si>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</si>
  <si>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</si>
  <si>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</si>
  <si>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</si>
  <si>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</si>
  <si>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</si>
  <si>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</si>
  <si>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</si>
  <si>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</si>
  <si>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</si>
  <si>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</si>
  <si>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</si>
  <si>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</si>
  <si>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</si>
  <si>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</si>
  <si>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</si>
  <si>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</si>
  <si>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</si>
  <si>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</si>
  <si>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</si>
  <si>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</si>
  <si>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</si>
  <si>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</si>
  <si>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</si>
  <si>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</si>
  <si>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</si>
  <si>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</si>
  <si>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</si>
  <si>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</si>
  <si>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</si>
  <si>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</si>
  <si>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</si>
  <si>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</si>
  <si>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</si>
  <si>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</si>
  <si>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</si>
  <si>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</si>
  <si>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</si>
  <si>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</si>
  <si>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</si>
  <si>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</si>
  <si>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</si>
  <si>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</si>
  <si>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</si>
  <si>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</si>
  <si>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</si>
  <si>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</si>
  <si>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</si>
  <si>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</si>
  <si>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</si>
  <si>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</si>
  <si>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</si>
  <si>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</si>
  <si>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</si>
  <si>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</si>
  <si>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</si>
  <si>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</si>
  <si>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</si>
  <si>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</si>
  <si>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</si>
  <si>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</si>
  <si>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</si>
  <si>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</si>
  <si>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</si>
  <si>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</si>
  <si>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</si>
  <si>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</si>
  <si>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</si>
  <si>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</si>
  <si>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</si>
  <si>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</si>
  <si>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</si>
  <si>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</si>
  <si>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</si>
  <si>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</si>
  <si>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</si>
  <si>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</si>
  <si>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</si>
  <si>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</si>
  <si>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</si>
  <si>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</si>
  <si>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</si>
  <si>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</si>
  <si>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</si>
  <si>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</si>
  <si>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</si>
  <si>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</si>
  <si>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</si>
  <si>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</si>
  <si>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</si>
  <si>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</si>
  <si>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</si>
  <si>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</si>
  <si>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</si>
  <si>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</si>
  <si>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</si>
  <si>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</si>
  <si>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</si>
  <si>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</si>
  <si>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</si>
  <si>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</si>
  <si>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</si>
  <si>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</si>
  <si>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</si>
  <si>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</si>
  <si>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</si>
  <si>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</si>
  <si>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</si>
  <si>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</si>
  <si>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</si>
  <si>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</si>
  <si>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</si>
  <si>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</si>
  <si>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</si>
  <si>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</si>
  <si>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</si>
  <si>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</si>
  <si>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</si>
  <si>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</si>
  <si>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</si>
  <si>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</si>
  <si>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</si>
  <si>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</si>
  <si>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</si>
  <si>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</si>
  <si>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</si>
  <si>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</si>
  <si>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</si>
  <si>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</si>
  <si>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</si>
  <si>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</si>
  <si>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</si>
  <si>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</si>
  <si>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</si>
  <si>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</si>
  <si>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</si>
  <si>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</si>
  <si>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</si>
  <si>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</si>
  <si>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</si>
  <si>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</si>
  <si>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</si>
  <si>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</si>
  <si>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</si>
  <si>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</si>
  <si>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</si>
  <si>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</si>
  <si>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</si>
  <si>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</si>
  <si>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</si>
  <si>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</si>
  <si>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</si>
  <si>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</si>
  <si>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</si>
  <si>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</si>
  <si>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</si>
  <si>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</si>
  <si>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</si>
  <si>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</si>
  <si>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</si>
  <si>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</si>
  <si>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</si>
  <si>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</si>
  <si>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</si>
  <si>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</si>
  <si>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</si>
  <si>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</si>
  <si>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</si>
  <si>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</si>
  <si>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</si>
  <si>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</si>
  <si>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</si>
  <si>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</si>
  <si>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</si>
  <si>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</si>
  <si>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</si>
  <si>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</si>
  <si>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</si>
  <si>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</si>
  <si>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</si>
  <si>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</si>
  <si>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</si>
  <si>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</si>
  <si>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</si>
  <si>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</si>
  <si>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</si>
  <si>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</si>
  <si>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</si>
  <si>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</si>
  <si>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</si>
  <si>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</si>
  <si>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</si>
  <si>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</si>
  <si>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</si>
  <si>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</si>
  <si>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</si>
  <si>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</si>
  <si>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</si>
  <si>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</si>
  <si>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</si>
  <si>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</si>
  <si>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</si>
  <si>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</si>
  <si>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</si>
  <si>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</si>
  <si>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</si>
  <si>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</si>
  <si>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</si>
  <si>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</si>
  <si>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</si>
  <si>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</si>
  <si>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</si>
  <si>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</si>
  <si>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</si>
  <si>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</si>
  <si>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</si>
  <si>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</si>
  <si>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</si>
  <si>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</si>
  <si>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</si>
  <si>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</si>
  <si>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</si>
  <si>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</si>
  <si>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</si>
  <si>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</si>
  <si>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</si>
  <si>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</si>
  <si>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</si>
  <si>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</si>
  <si>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</si>
  <si>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</si>
  <si>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</si>
  <si>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</si>
  <si>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</si>
  <si>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</si>
  <si>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</si>
  <si>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</si>
  <si>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</si>
  <si>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</si>
  <si>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</si>
  <si>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</si>
  <si>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</si>
  <si>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</si>
  <si>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</si>
  <si>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</si>
  <si>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</si>
  <si>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</si>
  <si>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</si>
  <si>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</si>
  <si>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</si>
  <si>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</si>
  <si>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</si>
  <si>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</si>
  <si>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</si>
  <si>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</si>
  <si>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</si>
  <si>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</si>
  <si>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</si>
  <si>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</si>
  <si>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</si>
  <si>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</si>
  <si>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</si>
  <si>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</si>
  <si>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</si>
  <si>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</si>
  <si>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</si>
  <si>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</si>
  <si>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</si>
  <si>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</si>
  <si>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</si>
  <si>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</si>
  <si>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</si>
  <si>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</si>
  <si>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</si>
  <si>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</si>
  <si>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</si>
  <si>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</si>
  <si>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</si>
  <si>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</si>
  <si>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</si>
  <si>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</si>
  <si>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</si>
  <si>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</si>
  <si>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</si>
  <si>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</si>
  <si>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</si>
  <si>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</si>
  <si>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</si>
  <si>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</si>
  <si>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</si>
  <si>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</si>
  <si>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</si>
  <si>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</si>
  <si>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</si>
  <si>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</si>
  <si>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</si>
  <si>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</si>
  <si>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</si>
  <si>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</si>
  <si>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</si>
  <si>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</si>
  <si>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</si>
  <si>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</si>
  <si>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</si>
  <si>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</si>
  <si>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</si>
  <si>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</si>
  <si>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</si>
  <si>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</si>
  <si>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</si>
  <si>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</si>
  <si>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</si>
  <si>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</si>
  <si>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</si>
  <si>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</si>
  <si>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</si>
  <si>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</si>
  <si>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</si>
  <si>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</si>
  <si>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</si>
  <si>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</si>
  <si>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</si>
  <si>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</si>
  <si>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</si>
  <si>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</si>
  <si>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</si>
  <si>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</si>
  <si>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</si>
  <si>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</si>
  <si>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</si>
  <si>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</si>
  <si>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</si>
  <si>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</si>
  <si>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</si>
  <si>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</si>
  <si>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</si>
  <si>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</si>
  <si>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</si>
  <si>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</si>
  <si>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</si>
  <si>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</si>
  <si>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</si>
  <si>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</si>
  <si>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</si>
  <si>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</si>
  <si>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</si>
  <si>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</si>
  <si>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</si>
  <si>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</si>
  <si>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</si>
  <si>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</si>
  <si>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</si>
  <si>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</si>
  <si>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</si>
  <si>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</si>
  <si>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</si>
  <si>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</si>
  <si>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</si>
  <si>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</si>
  <si>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</si>
  <si>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</si>
  <si>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</si>
  <si>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</si>
  <si>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</si>
  <si>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</si>
  <si>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</si>
  <si>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</si>
  <si>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</si>
  <si>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</si>
  <si>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</si>
  <si>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</si>
  <si>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</si>
  <si>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</si>
  <si>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</si>
  <si>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</si>
  <si>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</si>
  <si>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</si>
  <si>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</si>
  <si>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</si>
  <si>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</si>
  <si>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</si>
  <si>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</si>
  <si>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</si>
  <si>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</si>
  <si>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</si>
  <si>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</si>
  <si>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</si>
  <si>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</si>
  <si>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</si>
  <si>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</si>
  <si>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</si>
  <si>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</si>
  <si>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</si>
  <si>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</si>
  <si>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</si>
  <si>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</si>
  <si>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</si>
  <si>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</si>
  <si>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</si>
  <si>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</si>
  <si>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</si>
  <si>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</si>
  <si>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</si>
  <si>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</si>
  <si>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</si>
  <si>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</si>
  <si>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</si>
  <si>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</si>
  <si>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</si>
  <si>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</si>
  <si>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</si>
  <si>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</si>
  <si>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</si>
  <si>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</si>
  <si>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</si>
  <si>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</si>
  <si>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</si>
  <si>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</si>
  <si>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</si>
  <si>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</si>
  <si>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</si>
  <si>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</si>
  <si>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</si>
  <si>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</si>
  <si>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</si>
  <si>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</si>
  <si>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</si>
  <si>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</si>
  <si>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</si>
  <si>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</si>
  <si>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</si>
  <si>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</si>
  <si>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</si>
  <si>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</si>
  <si>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</si>
  <si>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</si>
  <si>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</si>
  <si>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</si>
  <si>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</si>
  <si>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</si>
  <si>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</si>
  <si>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</si>
  <si>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</si>
  <si>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</si>
  <si>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</si>
  <si>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</si>
  <si>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</si>
  <si>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</si>
  <si>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</si>
  <si>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</si>
  <si>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</si>
  <si>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</si>
  <si>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</si>
  <si>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</si>
  <si>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</si>
  <si>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</si>
  <si>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</si>
  <si>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</si>
  <si>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</si>
  <si>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</si>
  <si>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</si>
  <si>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</si>
  <si>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</si>
  <si>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</si>
  <si>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</si>
  <si>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</si>
  <si>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</si>
  <si>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</si>
  <si>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</si>
  <si>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</si>
  <si>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</si>
  <si>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</si>
  <si>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</si>
  <si>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</si>
  <si>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</si>
  <si>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</si>
  <si>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</si>
  <si>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</si>
  <si>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</si>
  <si>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</si>
  <si>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</si>
  <si>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</si>
  <si>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</si>
  <si>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</si>
  <si>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</si>
  <si>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</si>
  <si>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</si>
  <si>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</si>
  <si>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</si>
  <si>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</si>
  <si>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</si>
  <si>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</si>
  <si>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</si>
  <si>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</si>
  <si>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</si>
  <si>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</si>
  <si>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</si>
  <si>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</si>
  <si>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</si>
  <si>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</si>
  <si>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</si>
  <si>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</si>
  <si>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</si>
  <si>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</si>
  <si>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</si>
  <si>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</si>
  <si>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</si>
  <si>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</si>
  <si>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</si>
  <si>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</si>
  <si>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</si>
  <si>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</si>
  <si>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</si>
  <si>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</si>
  <si>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</si>
  <si>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</si>
  <si>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</si>
  <si>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</si>
  <si>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</si>
  <si>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</si>
  <si>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</si>
  <si>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</si>
  <si>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</si>
  <si>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</si>
  <si>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</si>
  <si>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</si>
  <si>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</si>
  <si>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</si>
  <si>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</si>
  <si>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</si>
  <si>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</si>
  <si>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</si>
  <si>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</si>
  <si>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</si>
  <si>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</si>
  <si>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</si>
  <si>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</si>
  <si>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</si>
  <si>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</si>
  <si>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</si>
  <si>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</si>
  <si>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</si>
  <si>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</si>
  <si>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</si>
  <si>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</si>
  <si>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</si>
  <si>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</si>
  <si>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</si>
  <si>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</si>
  <si>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</si>
  <si>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</si>
  <si>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</si>
  <si>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</si>
  <si>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</si>
  <si>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</si>
  <si>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</si>
  <si>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</si>
  <si>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</si>
  <si>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</si>
  <si>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</si>
  <si>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</si>
  <si>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</si>
  <si>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</si>
  <si>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</si>
  <si>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</si>
  <si>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</si>
  <si>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</si>
  <si>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</si>
  <si>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</si>
  <si>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</si>
  <si>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</si>
  <si>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</si>
  <si>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</si>
  <si>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</si>
  <si>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</si>
  <si>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</si>
  <si>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</si>
  <si>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</si>
  <si>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</si>
  <si>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</si>
  <si>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</si>
  <si>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</si>
  <si>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</si>
  <si>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</si>
  <si>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</si>
  <si>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</si>
  <si>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</si>
  <si>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</si>
  <si>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</si>
  <si>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</si>
  <si>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</si>
  <si>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</si>
  <si>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</si>
  <si>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</si>
  <si>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</si>
  <si>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</si>
  <si>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</si>
  <si>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</si>
  <si>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</si>
  <si>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</si>
  <si>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</si>
  <si>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</si>
  <si>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</si>
  <si>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</si>
  <si>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</si>
  <si>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</si>
  <si>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</si>
  <si>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</si>
  <si>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</si>
  <si>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</si>
  <si>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</si>
  <si>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</si>
  <si>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</si>
  <si>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</si>
  <si>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</si>
  <si>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</si>
  <si>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</si>
  <si>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</si>
  <si>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</si>
  <si>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</si>
  <si>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</si>
  <si>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</si>
  <si>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</si>
  <si>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</si>
  <si>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</si>
  <si>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</si>
  <si>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</si>
  <si>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</si>
  <si>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</si>
  <si>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</si>
  <si>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</si>
  <si>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</si>
  <si>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</si>
  <si>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</si>
  <si>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</si>
  <si>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</si>
  <si>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</si>
  <si>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</si>
  <si>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</si>
  <si>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</si>
  <si>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</si>
  <si>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</si>
  <si>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</si>
  <si>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</si>
  <si>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</si>
  <si>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</si>
  <si>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</si>
  <si>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</si>
  <si>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</si>
  <si>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</si>
  <si>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</si>
  <si>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</si>
  <si>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</si>
  <si>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</si>
  <si>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</si>
  <si>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</si>
  <si>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</si>
  <si>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</si>
  <si>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</si>
  <si>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</si>
  <si>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</si>
  <si>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</si>
  <si>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</si>
  <si>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</si>
  <si>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</si>
  <si>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</si>
  <si>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</si>
  <si>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</si>
  <si>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</si>
  <si>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</si>
  <si>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</si>
  <si>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</si>
  <si>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</si>
  <si>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</si>
  <si>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</si>
  <si>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</si>
  <si>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</si>
  <si>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</si>
  <si>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</si>
  <si>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</si>
  <si>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</si>
  <si>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</si>
  <si>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</si>
  <si>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</si>
  <si>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</si>
  <si>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</si>
  <si>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</si>
  <si>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</si>
  <si>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</si>
  <si>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</si>
  <si>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</si>
  <si>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</si>
  <si>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</si>
  <si>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</si>
  <si>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</si>
  <si>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</si>
  <si>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</si>
  <si>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</si>
  <si>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</si>
  <si>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</si>
  <si>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</si>
  <si>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</si>
  <si>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</si>
  <si>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</si>
  <si>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</si>
  <si>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</si>
  <si>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</si>
  <si>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</si>
  <si>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</si>
  <si>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</si>
  <si>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</si>
  <si>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</si>
  <si>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</si>
  <si>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</si>
  <si>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</si>
  <si>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</si>
  <si>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</si>
  <si>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</si>
  <si>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</si>
  <si>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</si>
  <si>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</si>
  <si>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</si>
  <si>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</si>
  <si>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</si>
  <si>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</si>
  <si>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</si>
  <si>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</si>
  <si>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</si>
  <si>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</si>
  <si>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</si>
  <si>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</si>
  <si>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</si>
  <si>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</si>
  <si>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</si>
  <si>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</si>
  <si>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</si>
  <si>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</si>
  <si>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</si>
  <si>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</si>
  <si>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</si>
  <si>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</si>
  <si>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</si>
  <si>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</si>
  <si>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</si>
  <si>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</si>
  <si>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</si>
  <si>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</si>
  <si>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</si>
  <si>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</si>
  <si>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</si>
  <si>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</si>
  <si>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</si>
  <si>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</si>
  <si>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</si>
  <si>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</si>
  <si>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</si>
  <si>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</si>
  <si>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</si>
  <si>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</si>
  <si>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</si>
  <si>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</si>
  <si>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</si>
  <si>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</si>
  <si>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</si>
  <si>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</si>
  <si>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</si>
  <si>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</si>
  <si>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</si>
  <si>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</si>
  <si>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</si>
  <si>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</si>
  <si>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</si>
  <si>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</si>
  <si>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</si>
  <si>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</si>
  <si>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</si>
  <si>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</si>
  <si>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</si>
  <si>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</si>
  <si>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</si>
  <si>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</si>
  <si>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</si>
  <si>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</si>
  <si>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</si>
  <si>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</si>
  <si>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</si>
  <si>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</si>
  <si>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</si>
  <si>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</si>
  <si>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</si>
  <si>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</si>
  <si>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</si>
  <si>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</si>
  <si>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</si>
  <si>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</si>
  <si>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</si>
  <si>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</si>
  <si>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</si>
  <si>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</si>
  <si>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</si>
  <si>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</si>
  <si>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</si>
  <si>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</si>
  <si>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</si>
  <si>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</si>
  <si>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</si>
  <si>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</si>
  <si>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</si>
  <si>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</si>
  <si>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</si>
  <si>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</si>
  <si>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</si>
  <si>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</si>
  <si>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</si>
  <si>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</si>
  <si>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</si>
  <si>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</si>
  <si>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</si>
  <si>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</si>
  <si>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</si>
  <si>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</si>
  <si>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</si>
  <si>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</si>
  <si>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</si>
  <si>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</si>
  <si>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</si>
  <si>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</si>
  <si>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</si>
  <si>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</si>
  <si>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</si>
  <si>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</si>
  <si>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</si>
  <si>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</si>
  <si>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</si>
  <si>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</si>
  <si>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</si>
  <si>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</si>
  <si>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</si>
  <si>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</si>
  <si>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</si>
  <si>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</si>
  <si>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</si>
  <si>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</si>
  <si>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</si>
  <si>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</si>
  <si>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</si>
  <si>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</si>
  <si>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</si>
  <si>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</si>
  <si>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</si>
  <si>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</si>
  <si>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</si>
  <si>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</si>
  <si>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</si>
  <si>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</si>
  <si>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</si>
  <si>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</si>
  <si>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</si>
  <si>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</si>
  <si>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</si>
  <si>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</si>
  <si>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</si>
  <si>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</si>
  <si>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</si>
  <si>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</si>
  <si>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</si>
  <si>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</si>
  <si>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</si>
  <si>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</si>
  <si>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</si>
  <si>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</si>
  <si>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</si>
  <si>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</si>
  <si>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</si>
  <si>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</si>
  <si>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</si>
  <si>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</si>
  <si>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</si>
  <si>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</si>
  <si>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</si>
  <si>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</si>
  <si>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</si>
  <si>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</si>
  <si>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</si>
  <si>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</si>
  <si>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</si>
  <si>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</si>
  <si>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</si>
  <si>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</si>
  <si>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</si>
  <si>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</si>
  <si>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</si>
  <si>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</si>
  <si>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</si>
  <si>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</si>
  <si>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</si>
  <si>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</si>
  <si>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</si>
  <si>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</si>
  <si>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</si>
  <si>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</si>
  <si>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</si>
  <si>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</si>
  <si>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</si>
  <si>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</si>
  <si>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</si>
  <si>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</si>
  <si>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</si>
  <si>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</si>
  <si>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</si>
  <si>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</si>
  <si>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</si>
  <si>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</si>
  <si>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</si>
  <si>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</si>
  <si>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</si>
  <si>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</si>
  <si>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</si>
  <si>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</si>
  <si>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</si>
  <si>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</si>
  <si>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</si>
  <si>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</si>
  <si>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</si>
  <si>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</si>
  <si>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</si>
  <si>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</si>
  <si>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</si>
  <si>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</si>
  <si>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</si>
  <si>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</si>
  <si>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</si>
  <si>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</si>
  <si>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</si>
  <si>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</si>
  <si>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</si>
  <si>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</si>
  <si>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</si>
  <si>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</si>
  <si>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</si>
  <si>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</si>
  <si>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</si>
  <si>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</si>
  <si>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</si>
  <si>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</si>
  <si>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</si>
  <si>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</si>
  <si>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</si>
  <si>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</si>
  <si>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</si>
  <si>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</si>
  <si>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</si>
  <si>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</si>
  <si>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</si>
  <si>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</si>
  <si>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</si>
  <si>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</si>
  <si>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</si>
  <si>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</si>
  <si>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</si>
  <si>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</si>
  <si>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</si>
  <si>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</si>
  <si>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</si>
  <si>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</si>
  <si>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</si>
  <si>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</si>
  <si>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</si>
  <si>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</si>
  <si>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</si>
  <si>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</si>
  <si>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</si>
  <si>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</si>
  <si>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</si>
  <si>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</si>
  <si>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</si>
  <si>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</si>
  <si>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</si>
  <si>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</si>
  <si>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</si>
  <si>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</si>
  <si>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</si>
  <si>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</si>
  <si>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</si>
  <si>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</si>
  <si>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</si>
  <si>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</si>
  <si>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</si>
  <si>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</si>
  <si>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</si>
  <si>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</si>
  <si>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</si>
  <si>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</si>
  <si>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</si>
  <si>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</si>
  <si>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</si>
  <si>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</si>
  <si>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</si>
  <si>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</si>
  <si>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</si>
  <si>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</si>
  <si>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</si>
  <si>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</si>
  <si>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</si>
  <si>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</si>
  <si>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</si>
  <si>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</si>
  <si>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</si>
  <si>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</si>
  <si>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</si>
  <si>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</si>
  <si>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</si>
  <si>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</si>
  <si>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</si>
  <si>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</si>
  <si>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</si>
  <si>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</si>
  <si>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</si>
  <si>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</si>
  <si>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</si>
  <si>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</si>
  <si>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</si>
  <si>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</si>
  <si>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</si>
  <si>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</si>
  <si>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</si>
  <si>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</si>
  <si>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</si>
  <si>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</si>
  <si>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</si>
  <si>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</si>
  <si>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</si>
  <si>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</si>
  <si>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</si>
  <si>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</si>
  <si>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</si>
  <si>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</si>
  <si>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</si>
  <si>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</si>
  <si>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</si>
  <si>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</si>
  <si>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</si>
  <si>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</si>
  <si>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</si>
  <si>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</si>
  <si>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</si>
  <si>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</si>
  <si>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</si>
  <si>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</si>
  <si>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</si>
  <si>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</si>
  <si>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</si>
  <si>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</si>
  <si>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</si>
  <si>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</si>
  <si>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</si>
  <si>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</si>
  <si>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</si>
  <si>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</si>
  <si>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</si>
  <si>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</si>
  <si>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</si>
  <si>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</si>
  <si>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</si>
  <si>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</si>
  <si>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</si>
  <si>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</si>
  <si>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</si>
  <si>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</si>
  <si>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</si>
  <si>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</si>
  <si>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</si>
  <si>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</si>
  <si>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</si>
  <si>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</si>
  <si>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</si>
  <si>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</si>
  <si>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</si>
  <si>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</si>
  <si>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</si>
  <si>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</si>
  <si>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</si>
  <si>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</si>
  <si>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</si>
  <si>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</si>
  <si>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</si>
  <si>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</si>
  <si>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</si>
  <si>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</si>
  <si>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</si>
  <si>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</si>
  <si>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</si>
  <si>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</si>
  <si>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</si>
  <si>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</si>
  <si>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</si>
  <si>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</si>
  <si>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</si>
  <si>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</si>
  <si>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</si>
  <si>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</si>
  <si>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</si>
  <si>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</si>
  <si>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</si>
  <si>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</si>
  <si>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</si>
  <si>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</si>
  <si>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</si>
  <si>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</si>
  <si>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</si>
  <si>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</si>
  <si>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</si>
  <si>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</si>
  <si>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</si>
  <si>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</si>
  <si>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</si>
  <si>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</si>
  <si>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</si>
  <si>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</si>
  <si>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</si>
  <si>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</si>
  <si>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</si>
  <si>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</si>
  <si>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</si>
  <si>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</si>
  <si>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</si>
  <si>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</si>
  <si>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</si>
  <si>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</si>
  <si>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</si>
  <si>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</si>
  <si>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</si>
  <si>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</si>
  <si>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</si>
  <si>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</si>
  <si>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</si>
  <si>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</si>
  <si>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</si>
  <si>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</si>
  <si>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</si>
  <si>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</si>
  <si>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</si>
  <si>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</si>
  <si>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</si>
  <si>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</si>
  <si>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</si>
  <si>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</si>
  <si>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</si>
  <si>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</si>
  <si>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</si>
  <si>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</si>
  <si>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</si>
  <si>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</si>
  <si>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</si>
  <si>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</si>
  <si>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</si>
  <si>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</si>
  <si>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</si>
  <si>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</si>
  <si>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</si>
  <si>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</si>
  <si>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</si>
  <si>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</si>
  <si>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</si>
  <si>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</si>
  <si>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</si>
  <si>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</si>
  <si>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</si>
  <si>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</si>
  <si>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</si>
  <si>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</si>
  <si>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</si>
  <si>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</si>
  <si>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</si>
  <si>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</si>
  <si>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</si>
  <si>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</si>
  <si>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</si>
  <si>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</si>
  <si>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</si>
  <si>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</si>
  <si>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</si>
  <si>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</si>
  <si>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</si>
  <si>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</si>
  <si>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</si>
  <si>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</si>
  <si>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</si>
  <si>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</si>
  <si>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</si>
  <si>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</si>
  <si>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</si>
  <si>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</si>
  <si>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</si>
  <si>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</si>
  <si>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</si>
  <si>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</si>
  <si>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</si>
  <si>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</si>
  <si>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</si>
  <si>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</si>
  <si>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</si>
  <si>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</si>
  <si>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</si>
  <si>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</si>
  <si>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</si>
  <si>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</si>
  <si>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</si>
  <si>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</si>
  <si>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</si>
  <si>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</si>
  <si>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</si>
  <si>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</si>
  <si>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</si>
  <si>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</si>
  <si>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</si>
  <si>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</si>
  <si>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</si>
  <si>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</si>
  <si>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</si>
  <si>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</si>
  <si>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</si>
  <si>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</si>
  <si>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</si>
  <si>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</si>
  <si>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</si>
  <si>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</si>
  <si>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</si>
  <si>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</si>
  <si>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</si>
  <si>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</si>
  <si>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</si>
  <si>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</si>
  <si>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</si>
  <si>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</si>
  <si>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</si>
  <si>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</si>
  <si>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</si>
  <si>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</si>
  <si>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</si>
  <si>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</si>
  <si>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</si>
  <si>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</si>
  <si>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</si>
  <si>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</si>
  <si>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</si>
  <si>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</si>
  <si>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</si>
  <si>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</si>
  <si>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</si>
  <si>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</si>
  <si>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</si>
  <si>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</si>
  <si>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</si>
  <si>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</si>
  <si>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</si>
  <si>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</si>
  <si>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</si>
  <si>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</si>
  <si>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</si>
  <si>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</si>
  <si>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</si>
  <si>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</si>
  <si>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</si>
  <si>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</si>
  <si>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</si>
  <si>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</si>
  <si>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</si>
  <si>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</si>
  <si>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</si>
  <si>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</si>
  <si>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</si>
  <si>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</si>
  <si>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</si>
  <si>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</si>
  <si>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</si>
  <si>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</si>
  <si>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</si>
  <si>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</si>
  <si>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</si>
  <si>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</si>
  <si>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</si>
  <si>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</si>
  <si>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</si>
  <si>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</si>
  <si>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</si>
  <si>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</si>
  <si>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</si>
  <si>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</si>
  <si>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</si>
  <si>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</si>
  <si>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</si>
  <si>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</si>
  <si>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</si>
  <si>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</si>
  <si>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</si>
  <si>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</si>
  <si>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</si>
  <si>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</si>
  <si>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</si>
  <si>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</si>
  <si>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</si>
  <si>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</si>
  <si>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</si>
  <si>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</si>
  <si>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</si>
  <si>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</si>
  <si>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</si>
  <si>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</si>
  <si>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</si>
  <si>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</si>
  <si>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</si>
  <si>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</si>
  <si>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</si>
  <si>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</si>
  <si>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</si>
  <si>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</si>
  <si>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</si>
  <si>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</si>
  <si>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</si>
  <si>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</si>
  <si>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</si>
  <si>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</si>
  <si>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</si>
  <si>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</si>
  <si>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</si>
  <si>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</si>
  <si>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</si>
  <si>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</si>
  <si>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</si>
  <si>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</si>
  <si>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</si>
  <si>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</si>
  <si>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</si>
  <si>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</si>
  <si>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</si>
  <si>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</si>
  <si>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</si>
  <si>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</si>
  <si>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</si>
  <si>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</si>
  <si>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</si>
  <si>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</si>
  <si>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</si>
  <si>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</si>
  <si>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</si>
  <si>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</si>
  <si>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</si>
  <si>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</si>
  <si>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</si>
  <si>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</si>
  <si>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</si>
  <si>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</si>
  <si>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</si>
  <si>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</si>
  <si>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</si>
  <si>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</si>
  <si>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</si>
  <si>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</si>
  <si>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</si>
  <si>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</si>
  <si>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</si>
  <si>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</si>
  <si>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</si>
  <si>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</si>
  <si>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</si>
  <si>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</si>
  <si>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</si>
  <si>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</si>
  <si>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</si>
  <si>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</si>
  <si>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</si>
  <si>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</si>
  <si>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</si>
  <si>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</si>
  <si>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</si>
  <si>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</si>
  <si>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</si>
  <si>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</si>
  <si>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</si>
  <si>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</si>
  <si>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</si>
  <si>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</si>
  <si>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</si>
  <si>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</si>
  <si>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</si>
  <si>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</si>
  <si>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</si>
  <si>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</si>
  <si>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</si>
  <si>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</si>
  <si>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</si>
  <si>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</si>
  <si>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</si>
  <si>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</si>
  <si>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</si>
  <si>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</si>
  <si>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</si>
  <si>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</si>
  <si>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</si>
  <si>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</si>
  <si>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</si>
  <si>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</si>
  <si>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</si>
  <si>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</si>
  <si>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</si>
  <si>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</si>
  <si>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</si>
  <si>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</si>
  <si>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</si>
  <si>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</si>
  <si>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</si>
  <si>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</si>
  <si>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</si>
  <si>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</si>
  <si>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</si>
  <si>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</si>
  <si>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</si>
  <si>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</si>
  <si>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</si>
  <si>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</si>
  <si>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</si>
  <si>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</si>
  <si>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</si>
  <si>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</si>
  <si>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</si>
  <si>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</si>
  <si>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</si>
  <si>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</si>
  <si>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</si>
  <si>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</si>
  <si>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</si>
  <si>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</si>
  <si>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</si>
  <si>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</si>
  <si>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</si>
  <si>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</si>
  <si>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</si>
  <si>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</si>
  <si>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</si>
  <si>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</si>
  <si>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</si>
  <si>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</si>
  <si>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</si>
  <si>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</si>
  <si>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</si>
  <si>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</si>
  <si>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</si>
  <si>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</si>
  <si>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</si>
  <si>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</si>
  <si>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</si>
  <si>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</si>
  <si>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</si>
  <si>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</si>
  <si>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</si>
  <si>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</si>
  <si>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</si>
  <si>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</si>
  <si>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</si>
  <si>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</si>
  <si>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</si>
  <si>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</si>
  <si>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</si>
  <si>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</si>
  <si>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</si>
  <si>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</si>
  <si>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</si>
  <si>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</si>
  <si>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</si>
  <si>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</si>
  <si>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</si>
  <si>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</si>
  <si>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</si>
  <si>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</si>
  <si>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</si>
  <si>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</si>
  <si>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</si>
  <si>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</si>
  <si>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</si>
  <si>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</si>
  <si>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</si>
  <si>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</si>
  <si>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</si>
  <si>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</si>
  <si>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</si>
  <si>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</si>
  <si>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</si>
  <si>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</si>
  <si>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</si>
  <si>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</si>
  <si>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</si>
  <si>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</si>
  <si>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</si>
  <si>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</si>
  <si>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</si>
  <si>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</si>
  <si>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</si>
  <si>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</si>
  <si>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</si>
  <si>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</si>
  <si>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</si>
  <si>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</si>
  <si>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</si>
  <si>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</si>
  <si>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</si>
  <si>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</si>
  <si>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</si>
  <si>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</si>
  <si>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</si>
  <si>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</si>
  <si>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</si>
  <si>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</si>
  <si>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</si>
  <si>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</si>
  <si>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</si>
  <si>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</si>
  <si>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</si>
  <si>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</si>
  <si>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</si>
  <si>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</si>
  <si>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</si>
  <si>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</si>
  <si>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</si>
  <si>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</si>
  <si>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</si>
  <si>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</si>
  <si>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</si>
  <si>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</si>
  <si>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</si>
  <si>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</si>
  <si>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</si>
  <si>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</si>
  <si>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</si>
  <si>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</si>
  <si>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</si>
  <si>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</si>
  <si>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</si>
  <si>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</si>
  <si>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</si>
  <si>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</si>
  <si>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</si>
  <si>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</si>
  <si>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</si>
  <si>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</si>
  <si>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</si>
  <si>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</si>
  <si>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</si>
  <si>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</si>
  <si>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</si>
  <si>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</si>
  <si>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</si>
  <si>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</si>
  <si>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</si>
  <si>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</si>
  <si>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</si>
  <si>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</si>
  <si>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</si>
  <si>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</si>
  <si>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</si>
  <si>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</si>
  <si>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</si>
  <si>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</si>
  <si>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</si>
  <si>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</si>
  <si>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</si>
  <si>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</si>
  <si>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</si>
  <si>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</si>
  <si>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</si>
  <si>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</si>
  <si>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</si>
  <si>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</si>
  <si>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</si>
  <si>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</si>
  <si>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</si>
  <si>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</si>
  <si>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</si>
  <si>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</si>
  <si>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</si>
  <si>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</si>
  <si>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</si>
  <si>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</si>
  <si>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</si>
  <si>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</si>
  <si>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</si>
  <si>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</si>
  <si>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</si>
  <si>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</si>
  <si>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</si>
  <si>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</si>
  <si>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</si>
  <si>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</si>
  <si>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</si>
  <si>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</si>
  <si>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</si>
  <si>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</si>
  <si>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</si>
  <si>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</si>
  <si>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</si>
  <si>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</si>
  <si>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</si>
  <si>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</si>
  <si>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</si>
  <si>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</si>
  <si>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</si>
  <si>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</si>
  <si>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</si>
  <si>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</si>
  <si>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</si>
  <si>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</si>
  <si>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</si>
  <si>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</si>
  <si>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</si>
  <si>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</si>
  <si>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</si>
  <si>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</si>
  <si>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</si>
  <si>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</si>
  <si>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</si>
  <si>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</si>
  <si>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</si>
  <si>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</si>
  <si>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</si>
  <si>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</si>
  <si>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</si>
  <si>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</si>
  <si>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</si>
  <si>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</si>
  <si>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</si>
  <si>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</si>
  <si>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</si>
  <si>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</si>
  <si>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</si>
  <si>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</si>
  <si>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</si>
  <si>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</si>
  <si>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</si>
  <si>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</si>
  <si>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</si>
  <si>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</si>
  <si>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</si>
  <si>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</si>
  <si>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</si>
  <si>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</si>
  <si>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</si>
  <si>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</si>
  <si>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北京市</t>
  </si>
  <si>
    <t>自然人</t>
  </si>
  <si>
    <t>地上</t>
  </si>
  <si>
    <t>是</t>
  </si>
  <si>
    <t>办公</t>
    <phoneticPr fontId="7" type="noConversion"/>
  </si>
  <si>
    <t>成新度</t>
  </si>
  <si>
    <t>建成年份</t>
    <phoneticPr fontId="1" type="noConversion"/>
  </si>
  <si>
    <t>使用年限</t>
    <phoneticPr fontId="1" type="noConversion"/>
  </si>
  <si>
    <t>观察成新</t>
    <phoneticPr fontId="3" type="noConversion"/>
  </si>
  <si>
    <t>年限</t>
    <phoneticPr fontId="3" type="noConversion"/>
  </si>
  <si>
    <t>收益法 (元)</t>
  </si>
  <si>
    <t>押一</t>
  </si>
  <si>
    <t>利息：取LPR加浮动点数</t>
  </si>
  <si>
    <t>钢混</t>
  </si>
  <si>
    <t>非生产用房</t>
  </si>
  <si>
    <t>比较法</t>
  </si>
  <si>
    <t>序号</t>
    <phoneticPr fontId="134" type="noConversion"/>
  </si>
  <si>
    <t>装修</t>
    <phoneticPr fontId="134" type="noConversion"/>
  </si>
  <si>
    <t>普通装修</t>
    <phoneticPr fontId="134" type="noConversion"/>
  </si>
  <si>
    <t>北</t>
    <phoneticPr fontId="134" type="noConversion"/>
  </si>
  <si>
    <t>旭辉E天地</t>
    <phoneticPr fontId="134" type="noConversion"/>
  </si>
  <si>
    <t>房屋坐落</t>
    <phoneticPr fontId="134" type="noConversion"/>
  </si>
  <si>
    <t>物业名称</t>
    <phoneticPr fontId="134" type="noConversion"/>
  </si>
  <si>
    <t>产权性质</t>
    <phoneticPr fontId="134" type="noConversion"/>
  </si>
  <si>
    <t>建筑面积</t>
    <phoneticPr fontId="134" type="noConversion"/>
  </si>
  <si>
    <t>房屋用途</t>
    <phoneticPr fontId="134" type="noConversion"/>
  </si>
  <si>
    <t>总层数</t>
    <phoneticPr fontId="134" type="noConversion"/>
  </si>
  <si>
    <t>所在楼层</t>
    <phoneticPr fontId="134" type="noConversion"/>
  </si>
  <si>
    <t>朝向</t>
    <phoneticPr fontId="134" type="noConversion"/>
  </si>
  <si>
    <t>基础设施</t>
    <phoneticPr fontId="134" type="noConversion"/>
  </si>
  <si>
    <t>产权年代</t>
    <phoneticPr fontId="134" type="noConversion"/>
  </si>
  <si>
    <t>成交单价</t>
    <phoneticPr fontId="134" type="noConversion"/>
  </si>
  <si>
    <t>评估总价</t>
    <phoneticPr fontId="134" type="noConversion"/>
  </si>
  <si>
    <t>估价时点</t>
    <phoneticPr fontId="134" type="noConversion"/>
  </si>
  <si>
    <t>书院南街13号院</t>
    <phoneticPr fontId="134" type="noConversion"/>
  </si>
  <si>
    <t>商品房</t>
    <phoneticPr fontId="134" type="noConversion"/>
  </si>
  <si>
    <t>住宅</t>
    <phoneticPr fontId="134" type="noConversion"/>
  </si>
  <si>
    <t>书院南街13号院</t>
    <phoneticPr fontId="134" type="noConversion"/>
  </si>
  <si>
    <t>高</t>
    <phoneticPr fontId="134" type="noConversion"/>
  </si>
  <si>
    <t>高</t>
    <phoneticPr fontId="134" type="noConversion"/>
  </si>
  <si>
    <t>中</t>
    <phoneticPr fontId="134" type="noConversion"/>
  </si>
  <si>
    <t>高</t>
    <phoneticPr fontId="134" type="noConversion"/>
  </si>
  <si>
    <t>北</t>
    <phoneticPr fontId="134" type="noConversion"/>
  </si>
  <si>
    <t>东南</t>
    <phoneticPr fontId="134" type="noConversion"/>
  </si>
  <si>
    <t>六通</t>
    <phoneticPr fontId="134" type="noConversion"/>
  </si>
  <si>
    <t>售价</t>
  </si>
  <si>
    <t>正常</t>
  </si>
  <si>
    <t>办公</t>
    <phoneticPr fontId="31" type="noConversion"/>
  </si>
  <si>
    <t>较好</t>
  </si>
  <si>
    <t>一般</t>
  </si>
  <si>
    <t>七通</t>
  </si>
  <si>
    <r>
      <rPr>
        <sz val="11"/>
        <rFont val="宋体"/>
        <family val="3"/>
        <charset val="134"/>
      </rPr>
      <t>城市主干道</t>
    </r>
    <r>
      <rPr>
        <sz val="11"/>
        <rFont val="Arial"/>
        <family val="2"/>
      </rPr>
      <t>-</t>
    </r>
    <r>
      <rPr>
        <sz val="11"/>
        <rFont val="宋体"/>
        <family val="3"/>
        <charset val="134"/>
      </rPr>
      <t>长虹东路</t>
    </r>
    <phoneticPr fontId="31" type="noConversion"/>
  </si>
  <si>
    <t>比较法-办公</t>
  </si>
  <si>
    <t>单套模式</t>
  </si>
  <si>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</si>
  <si>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</si>
  <si>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</si>
  <si>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</si>
  <si>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</si>
  <si>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</si>
  <si>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</si>
  <si>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</si>
  <si>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</si>
  <si>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</si>
  <si>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钢结构</t>
  </si>
  <si>
    <t>砖混</t>
  </si>
  <si>
    <t>混合</t>
  </si>
  <si>
    <t>框架</t>
  </si>
  <si>
    <t>精装修</t>
  </si>
  <si>
    <t>普通装修</t>
  </si>
  <si>
    <t>简单装修</t>
    <phoneticPr fontId="3" type="noConversion"/>
  </si>
  <si>
    <t>毛坯</t>
  </si>
  <si>
    <t>简单装修</t>
    <phoneticPr fontId="3" type="noConversion"/>
  </si>
  <si>
    <t>东南</t>
  </si>
  <si>
    <t>东</t>
  </si>
  <si>
    <t>北</t>
  </si>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</sst>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name val="Microsoft YaHei"/>
      <family val="2"/>
      <charset val="134"/>
    </font>
    <font>
      <sz val="11"/>
      <color rgb="FF000000"/>
      <name val="宋体"/>
      <family val="3"/>
      <charset val="134"/>
    </font>
    <font>
      <sz val="11"/>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77" fillId="12" borderId="0" xfId="0" applyFont="1" applyFill="1" applyAlignment="1" applyProtection="1">
      <alignment vertical="center"/>
      <protection locked="0"/>
    </xf>
    <xf numFmtId="179" fontId="44" fillId="6" borderId="23" xfId="0" applyNumberFormat="1" applyFont="1" applyFill="1" applyBorder="1" applyAlignment="1" applyProtection="1">
      <alignment horizontal="center" vertical="center"/>
    </xf>
    <xf numFmtId="0" fontId="269" fillId="7" borderId="1" xfId="0" applyFont="1" applyFill="1" applyBorder="1" applyAlignment="1">
      <alignment horizontal="center" vertical="center" wrapText="1"/>
    </xf>
    <xf numFmtId="14" fontId="269" fillId="7" borderId="1" xfId="0" applyNumberFormat="1" applyFont="1" applyFill="1" applyBorder="1" applyAlignment="1">
      <alignment horizontal="center" vertical="center" wrapText="1"/>
    </xf>
    <xf numFmtId="0" fontId="269" fillId="5" borderId="1" xfId="0" applyFont="1" applyFill="1" applyBorder="1" applyAlignment="1">
      <alignment horizontal="center" vertical="center" wrapText="1"/>
    </xf>
    <xf numFmtId="14" fontId="269" fillId="5" borderId="1" xfId="0" applyNumberFormat="1" applyFont="1" applyFill="1" applyBorder="1" applyAlignment="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619125</xdr:colOff>
      <xdr:row>41</xdr:row>
      <xdr:rowOff>66960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552575"/>
          <a:ext cx="3095625" cy="5562885"/>
        </a:xfrm>
        <a:prstGeom prst="rect">
          <a:avLst/>
        </a:prstGeom>
      </xdr:spPr>
    </xdr:pic>
    <xdr:clientData/>
  </xdr:twoCellAnchor>
  <xdr:twoCellAnchor editAs="oneCell">
    <xdr:from>
      <xdr:col>4</xdr:col>
      <xdr:colOff>619125</xdr:colOff>
      <xdr:row>30</xdr:row>
      <xdr:rowOff>123825</xdr:rowOff>
    </xdr:from>
    <xdr:to>
      <xdr:col>19</xdr:col>
      <xdr:colOff>351173</xdr:colOff>
      <xdr:row>48</xdr:row>
      <xdr:rowOff>28201</xdr:rowOff>
    </xdr:to>
    <xdr:pic>
      <xdr:nvPicPr>
        <xdr:cNvPr id="4" name="图片 3"/>
        <xdr:cNvPicPr>
          <a:picLocks noChangeAspect="1"/>
        </xdr:cNvPicPr>
      </xdr:nvPicPr>
      <xdr:blipFill>
        <a:blip xmlns:r="http://schemas.openxmlformats.org/officeDocument/2006/relationships" r:embed="rId2"/>
        <a:stretch>
          <a:fillRect/>
        </a:stretch>
      </xdr:blipFill>
      <xdr:spPr>
        <a:xfrm>
          <a:off x="3095625" y="5314950"/>
          <a:ext cx="10019048" cy="2990476"/>
        </a:xfrm>
        <a:prstGeom prst="rect">
          <a:avLst/>
        </a:prstGeom>
      </xdr:spPr>
    </xdr:pic>
    <xdr:clientData/>
  </xdr:twoCellAnchor>
  <xdr:twoCellAnchor editAs="oneCell">
    <xdr:from>
      <xdr:col>4</xdr:col>
      <xdr:colOff>666750</xdr:colOff>
      <xdr:row>8</xdr:row>
      <xdr:rowOff>161925</xdr:rowOff>
    </xdr:from>
    <xdr:to>
      <xdr:col>14</xdr:col>
      <xdr:colOff>571500</xdr:colOff>
      <xdr:row>30</xdr:row>
      <xdr:rowOff>94775</xdr:rowOff>
    </xdr:to>
    <xdr:pic>
      <xdr:nvPicPr>
        <xdr:cNvPr id="6" name="图片 5"/>
        <xdr:cNvPicPr>
          <a:picLocks noChangeAspect="1"/>
        </xdr:cNvPicPr>
      </xdr:nvPicPr>
      <xdr:blipFill>
        <a:blip xmlns:r="http://schemas.openxmlformats.org/officeDocument/2006/relationships" r:embed="rId3"/>
        <a:stretch>
          <a:fillRect/>
        </a:stretch>
      </xdr:blipFill>
      <xdr:spPr>
        <a:xfrm>
          <a:off x="3143250" y="1581150"/>
          <a:ext cx="6762750" cy="3704750"/>
        </a:xfrm>
        <a:prstGeom prst="rect">
          <a:avLst/>
        </a:prstGeom>
      </xdr:spPr>
    </xdr:pic>
    <xdr:clientData/>
  </xdr:twoCellAnchor>
  <xdr:twoCellAnchor editAs="oneCell">
    <xdr:from>
      <xdr:col>15</xdr:col>
      <xdr:colOff>276225</xdr:colOff>
      <xdr:row>1</xdr:row>
      <xdr:rowOff>76200</xdr:rowOff>
    </xdr:from>
    <xdr:to>
      <xdr:col>22</xdr:col>
      <xdr:colOff>104196</xdr:colOff>
      <xdr:row>21</xdr:row>
      <xdr:rowOff>142436</xdr:rowOff>
    </xdr:to>
    <xdr:pic>
      <xdr:nvPicPr>
        <xdr:cNvPr id="2" name="图片 1"/>
        <xdr:cNvPicPr>
          <a:picLocks noChangeAspect="1"/>
        </xdr:cNvPicPr>
      </xdr:nvPicPr>
      <xdr:blipFill>
        <a:blip xmlns:r="http://schemas.openxmlformats.org/officeDocument/2006/relationships" r:embed="rId4"/>
        <a:stretch>
          <a:fillRect/>
        </a:stretch>
      </xdr:blipFill>
      <xdr:spPr>
        <a:xfrm>
          <a:off x="10296525" y="276225"/>
          <a:ext cx="4628571" cy="3514286"/>
        </a:xfrm>
        <a:prstGeom prst="rect">
          <a:avLst/>
        </a:prstGeom>
      </xdr:spPr>
    </xdr:pic>
    <xdr:clientData/>
  </xdr:twoCellAnchor>
  <xdr:twoCellAnchor editAs="oneCell">
    <xdr:from>
      <xdr:col>5</xdr:col>
      <xdr:colOff>666750</xdr:colOff>
      <xdr:row>7</xdr:row>
      <xdr:rowOff>9525</xdr:rowOff>
    </xdr:from>
    <xdr:to>
      <xdr:col>16</xdr:col>
      <xdr:colOff>465807</xdr:colOff>
      <xdr:row>26</xdr:row>
      <xdr:rowOff>151975</xdr:rowOff>
    </xdr:to>
    <xdr:pic>
      <xdr:nvPicPr>
        <xdr:cNvPr id="5" name="图片 4"/>
        <xdr:cNvPicPr>
          <a:picLocks noChangeAspect="1"/>
        </xdr:cNvPicPr>
      </xdr:nvPicPr>
      <xdr:blipFill>
        <a:blip xmlns:r="http://schemas.openxmlformats.org/officeDocument/2006/relationships" r:embed="rId5"/>
        <a:stretch>
          <a:fillRect/>
        </a:stretch>
      </xdr:blipFill>
      <xdr:spPr>
        <a:xfrm>
          <a:off x="3829050" y="1257300"/>
          <a:ext cx="7342857" cy="3400000"/>
        </a:xfrm>
        <a:prstGeom prst="rect">
          <a:avLst/>
        </a:prstGeom>
      </xdr:spPr>
    </xdr:pic>
    <xdr:clientData/>
  </xdr:twoCellAnchor>
  <xdr:twoCellAnchor editAs="oneCell">
    <xdr:from>
      <xdr:col>1</xdr:col>
      <xdr:colOff>0</xdr:colOff>
      <xdr:row>49</xdr:row>
      <xdr:rowOff>0</xdr:rowOff>
    </xdr:from>
    <xdr:to>
      <xdr:col>17</xdr:col>
      <xdr:colOff>236707</xdr:colOff>
      <xdr:row>79</xdr:row>
      <xdr:rowOff>170786</xdr:rowOff>
    </xdr:to>
    <xdr:pic>
      <xdr:nvPicPr>
        <xdr:cNvPr id="7" name="图片 6"/>
        <xdr:cNvPicPr>
          <a:picLocks noChangeAspect="1"/>
        </xdr:cNvPicPr>
      </xdr:nvPicPr>
      <xdr:blipFill>
        <a:blip xmlns:r="http://schemas.openxmlformats.org/officeDocument/2006/relationships" r:embed="rId6"/>
        <a:stretch>
          <a:fillRect/>
        </a:stretch>
      </xdr:blipFill>
      <xdr:spPr>
        <a:xfrm>
          <a:off x="285750" y="8448675"/>
          <a:ext cx="11342857" cy="5314286"/>
        </a:xfrm>
        <a:prstGeom prst="rect">
          <a:avLst/>
        </a:prstGeom>
      </xdr:spPr>
    </xdr:pic>
    <xdr:clientData/>
  </xdr:twoCellAnchor>
  <xdr:twoCellAnchor editAs="oneCell">
    <xdr:from>
      <xdr:col>1</xdr:col>
      <xdr:colOff>9525</xdr:colOff>
      <xdr:row>84</xdr:row>
      <xdr:rowOff>123825</xdr:rowOff>
    </xdr:from>
    <xdr:to>
      <xdr:col>17</xdr:col>
      <xdr:colOff>189089</xdr:colOff>
      <xdr:row>115</xdr:row>
      <xdr:rowOff>104113</xdr:rowOff>
    </xdr:to>
    <xdr:pic>
      <xdr:nvPicPr>
        <xdr:cNvPr id="8" name="图片 7"/>
        <xdr:cNvPicPr>
          <a:picLocks noChangeAspect="1"/>
        </xdr:cNvPicPr>
      </xdr:nvPicPr>
      <xdr:blipFill>
        <a:blip xmlns:r="http://schemas.openxmlformats.org/officeDocument/2006/relationships" r:embed="rId7"/>
        <a:stretch>
          <a:fillRect/>
        </a:stretch>
      </xdr:blipFill>
      <xdr:spPr>
        <a:xfrm>
          <a:off x="295275" y="14573250"/>
          <a:ext cx="11285714" cy="5295238"/>
        </a:xfrm>
        <a:prstGeom prst="rect">
          <a:avLst/>
        </a:prstGeom>
      </xdr:spPr>
    </xdr:pic>
    <xdr:clientData/>
  </xdr:twoCellAnchor>
  <xdr:twoCellAnchor editAs="oneCell">
    <xdr:from>
      <xdr:col>0</xdr:col>
      <xdr:colOff>0</xdr:colOff>
      <xdr:row>7</xdr:row>
      <xdr:rowOff>19050</xdr:rowOff>
    </xdr:from>
    <xdr:to>
      <xdr:col>16</xdr:col>
      <xdr:colOff>417709</xdr:colOff>
      <xdr:row>22</xdr:row>
      <xdr:rowOff>66348</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266825"/>
          <a:ext cx="11123809" cy="26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665895</xdr:colOff>
      <xdr:row>28</xdr:row>
      <xdr:rowOff>151781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838095" cy="4952381"/>
        </a:xfrm>
        <a:prstGeom prst="rect">
          <a:avLst/>
        </a:prstGeom>
      </xdr:spPr>
    </xdr:pic>
    <xdr:clientData/>
  </xdr:twoCellAnchor>
  <xdr:twoCellAnchor editAs="oneCell">
    <xdr:from>
      <xdr:col>0</xdr:col>
      <xdr:colOff>0</xdr:colOff>
      <xdr:row>30</xdr:row>
      <xdr:rowOff>0</xdr:rowOff>
    </xdr:from>
    <xdr:to>
      <xdr:col>11</xdr:col>
      <xdr:colOff>580009</xdr:colOff>
      <xdr:row>60</xdr:row>
      <xdr:rowOff>56500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143500"/>
          <a:ext cx="8123809" cy="5200000"/>
        </a:xfrm>
        <a:prstGeom prst="rect">
          <a:avLst/>
        </a:prstGeom>
      </xdr:spPr>
    </xdr:pic>
    <xdr:clientData/>
  </xdr:twoCellAnchor>
  <xdr:twoCellAnchor editAs="oneCell">
    <xdr:from>
      <xdr:col>9</xdr:col>
      <xdr:colOff>209550</xdr:colOff>
      <xdr:row>2</xdr:row>
      <xdr:rowOff>38100</xdr:rowOff>
    </xdr:from>
    <xdr:to>
      <xdr:col>19</xdr:col>
      <xdr:colOff>284883</xdr:colOff>
      <xdr:row>22</xdr:row>
      <xdr:rowOff>18624</xdr:rowOff>
    </xdr:to>
    <xdr:pic>
      <xdr:nvPicPr>
        <xdr:cNvPr id="4" name="图片 3"/>
        <xdr:cNvPicPr>
          <a:picLocks noChangeAspect="1"/>
        </xdr:cNvPicPr>
      </xdr:nvPicPr>
      <xdr:blipFill>
        <a:blip xmlns:r="http://schemas.openxmlformats.org/officeDocument/2006/relationships" r:embed="rId3"/>
        <a:stretch>
          <a:fillRect/>
        </a:stretch>
      </xdr:blipFill>
      <xdr:spPr>
        <a:xfrm>
          <a:off x="6381750" y="381000"/>
          <a:ext cx="6933333" cy="34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估价对象为北京市房地产，为所有。根据《国有土地使用证》[]，估价对象（分摊）出让国有建设用地使用权面积为0平方米，建筑面积为34.37平方米。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估价对象为北京市房地产,属开发建设的，该项目尚在开发建设中。根据《国有土地使用证》[]，估价对象（分摊）出让国有建设用地使用权面积为0平方米，规划建筑面积为34.37平方米。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2023年11月27日（评估专业人员实地查勘之日）</v>
      </c>
    </row>
    <row r="13" spans="1:2" s="1203" customFormat="1">
      <c r="A13" s="1201" t="s">
        <v>529</v>
      </c>
      <c r="B13" s="1202" t="str">
        <f>'预评函-1'!A18</f>
        <v>本次估价的“房地产价值”是指在正常市场情况下，在价值时点2023年11月27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34.369999999999997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9" t="str">
        <f>项目基本情况!B1</f>
        <v>北京市预评估</v>
      </c>
      <c r="C37" s="3469"/>
      <c r="D37" s="3469"/>
      <c r="E37" s="3469"/>
      <c r="F37" s="3469"/>
      <c r="G37" s="3469"/>
      <c r="H37" s="3469"/>
      <c r="I37" s="346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估价对象为北京市房地产，为所有。根据《国有土地使用证》[]，估价对象（分摊）出让国有建设用地使用权面积为0平方米，建筑面积为34.37平方米。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估价对象为北京市房地产,属开发建设的，该项目尚在开发建设中。根据《国有土地使用证》[]，估价对象（分摊）出让国有建设用地使用权面积为0平方米，规划建筑面积为34.37平方米。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2023年11月27日（评估专业人员实地查勘之日）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v>
      </c>
      <c r="B3" s="3475"/>
      <c r="C3" s="3475"/>
      <c r="D3" s="3475"/>
      <c r="E3" s="3475"/>
    </row>
    <row r="4" spans="1:5" ht="19.5" thickBot="1">
      <c r="A4" s="1493"/>
      <c r="B4" s="3473" t="s">
        <v>917</v>
      </c>
      <c r="C4" s="3473"/>
      <c r="D4" s="3473"/>
      <c r="E4" s="1493"/>
    </row>
    <row r="5" spans="1:5" ht="16.5" thickTop="1">
      <c r="A5" s="1491"/>
      <c r="B5" s="3471" t="s">
        <v>909</v>
      </c>
      <c r="C5" s="1494" t="s">
        <v>910</v>
      </c>
      <c r="D5" s="850" t="e">
        <f ca="1">结果表!H101</f>
        <v>#REF!</v>
      </c>
      <c r="E5" s="1491"/>
    </row>
    <row r="6" spans="1:5" ht="15.75">
      <c r="A6" s="1491"/>
      <c r="B6" s="3471"/>
      <c r="C6" s="1494" t="s">
        <v>911</v>
      </c>
      <c r="D6" s="850" t="e">
        <f ca="1">NUMBERSTRING(INT(D5*10000),2)&amp;"元整"</f>
        <v>#REF!</v>
      </c>
      <c r="E6" s="1491"/>
    </row>
    <row r="7" spans="1:5" ht="15.75">
      <c r="A7" s="1491"/>
      <c r="B7" s="3476"/>
      <c r="C7" s="1495" t="s">
        <v>912</v>
      </c>
      <c r="D7" s="851" t="e">
        <f ca="1">结果表!H102</f>
        <v>#REF!</v>
      </c>
      <c r="E7" s="1491"/>
    </row>
    <row r="8" spans="1:5" ht="15.75">
      <c r="A8" s="1491"/>
      <c r="B8" s="3477" t="str">
        <f>结果表!E103</f>
        <v>2.估价师知悉的法定优先受偿款</v>
      </c>
      <c r="C8" s="1496" t="s">
        <v>913</v>
      </c>
      <c r="D8" s="851">
        <f>结果表!H103</f>
        <v>0</v>
      </c>
      <c r="E8" s="1491"/>
    </row>
    <row r="9" spans="1:5" ht="15.75">
      <c r="A9" s="1491"/>
      <c r="B9" s="347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0" t="str">
        <f>结果表!E107</f>
        <v>3.房地产抵押价值</v>
      </c>
      <c r="C13" s="1499" t="s">
        <v>910</v>
      </c>
      <c r="D13" s="853" t="e">
        <f ca="1">结果表!H107</f>
        <v>#REF!</v>
      </c>
      <c r="E13" s="1491"/>
    </row>
    <row r="14" spans="1:5" ht="15.75">
      <c r="A14" s="1491"/>
      <c r="B14" s="3471"/>
      <c r="C14" s="1494" t="s">
        <v>911</v>
      </c>
      <c r="D14" s="850" t="e">
        <f ca="1">NUMBERSTRING(INT(D13*10000),2)&amp;"元整"</f>
        <v>#REF!</v>
      </c>
      <c r="E14" s="1491"/>
    </row>
    <row r="15" spans="1:5" ht="15">
      <c r="A15" s="1491"/>
      <c r="B15" s="3476"/>
      <c r="C15" s="1495" t="s">
        <v>921</v>
      </c>
      <c r="D15" s="859" t="e">
        <f ca="1">结果表!H108</f>
        <v>#REF!</v>
      </c>
      <c r="E15" s="1491"/>
    </row>
    <row r="16" spans="1:5" ht="15">
      <c r="A16" s="1491"/>
      <c r="B16" s="3477" t="str">
        <f>结果表!E109</f>
        <v>——</v>
      </c>
      <c r="C16" s="1499" t="s">
        <v>922</v>
      </c>
      <c r="D16" s="1500" t="str">
        <f>结果表!H109</f>
        <v>——</v>
      </c>
      <c r="E16" s="1491"/>
    </row>
    <row r="17" spans="1:5" ht="15.75">
      <c r="A17" s="1491"/>
      <c r="B17" s="3478"/>
      <c r="C17" s="1494" t="s">
        <v>923</v>
      </c>
      <c r="D17" s="850" t="e">
        <f>NUMBERSTRING(INT(D16*10000),2)&amp;"元整"</f>
        <v>#VALUE!</v>
      </c>
      <c r="E17" s="1491"/>
    </row>
    <row r="18" spans="1:5" ht="15">
      <c r="A18" s="1491"/>
      <c r="B18" s="3479"/>
      <c r="C18" s="1495" t="s">
        <v>912</v>
      </c>
      <c r="D18" s="859" t="str">
        <f>结果表!H110</f>
        <v>——</v>
      </c>
      <c r="E18" s="1491"/>
    </row>
    <row r="19" spans="1:5" ht="15.75">
      <c r="A19" s="1491"/>
      <c r="B19" s="3470" t="str">
        <f>结果表!E111</f>
        <v>——</v>
      </c>
      <c r="C19" s="1499" t="s">
        <v>910</v>
      </c>
      <c r="D19" s="851" t="str">
        <f>结果表!H111</f>
        <v>——</v>
      </c>
      <c r="E19" s="1491"/>
    </row>
    <row r="20" spans="1:5" ht="15.75">
      <c r="A20" s="1491"/>
      <c r="B20" s="3471"/>
      <c r="C20" s="1494" t="s">
        <v>923</v>
      </c>
      <c r="D20" s="850" t="e">
        <f>NUMBERSTRING(INT(D19*10000),2)&amp;"元整"</f>
        <v>#VALUE!</v>
      </c>
      <c r="E20" s="1491"/>
    </row>
    <row r="21" spans="1:5" ht="15.75" thickBot="1">
      <c r="A21" s="1491"/>
      <c r="B21" s="347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7" t="str">
        <f>IF(项目基本情况!B9="房地产市场价值","估价结果一览表","结果表-2")</f>
        <v>结果表-2</v>
      </c>
      <c r="B1" s="3487"/>
      <c r="C1" s="3487"/>
      <c r="D1" s="3487"/>
      <c r="E1" s="3487"/>
      <c r="F1" s="3487"/>
      <c r="G1" s="3487"/>
      <c r="H1" s="3487"/>
      <c r="I1" s="3487"/>
    </row>
    <row r="2" spans="1:9" ht="30" customHeight="1" thickTop="1">
      <c r="A2" s="3488" t="s">
        <v>928</v>
      </c>
      <c r="B2" s="3488" t="s">
        <v>929</v>
      </c>
      <c r="C2" s="3488" t="s">
        <v>930</v>
      </c>
      <c r="D2" s="3488" t="str">
        <f>结果表!D116</f>
        <v>出让国有建设用地使用权价值</v>
      </c>
      <c r="E2" s="3488"/>
      <c r="F2" s="3488" t="str">
        <f>结果表!F116</f>
        <v>在建建筑物价值</v>
      </c>
      <c r="G2" s="3488"/>
      <c r="H2" s="3488" t="str">
        <f>IF(项目基本情况!B9="房地产市场价值","房地产市场价值","房地产价值")</f>
        <v>房地产价值</v>
      </c>
      <c r="I2" s="3488"/>
    </row>
    <row r="3" spans="1:9" ht="15">
      <c r="A3" s="3483"/>
      <c r="B3" s="3483"/>
      <c r="C3" s="3483"/>
      <c r="D3" s="854" t="s">
        <v>925</v>
      </c>
      <c r="E3" s="854" t="s">
        <v>931</v>
      </c>
      <c r="F3" s="854" t="s">
        <v>925</v>
      </c>
      <c r="G3" s="854" t="s">
        <v>926</v>
      </c>
      <c r="H3" s="854" t="s">
        <v>925</v>
      </c>
      <c r="I3" s="854" t="s">
        <v>926</v>
      </c>
    </row>
    <row r="4" spans="1:9" ht="15">
      <c r="A4" s="1505" t="str">
        <f>项目基本情况!S2</f>
        <v>北京市房地产</v>
      </c>
      <c r="B4" s="854">
        <f>项目基本情况!C17</f>
        <v>34.369999999999997</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83" t="s">
        <v>927</v>
      </c>
      <c r="B5" s="3483"/>
      <c r="C5" s="3483"/>
      <c r="D5" s="3483" t="e">
        <f ca="1">结果表!D119</f>
        <v>#REF!</v>
      </c>
      <c r="E5" s="3483"/>
      <c r="F5" s="3483" t="e">
        <f ca="1">结果表!F119</f>
        <v>#REF!</v>
      </c>
      <c r="G5" s="3483"/>
      <c r="H5" s="3483" t="e">
        <f ca="1">结果表!H119</f>
        <v>#REF!</v>
      </c>
      <c r="I5" s="3483"/>
    </row>
    <row r="6" spans="1:9" ht="15.75">
      <c r="A6" s="3482" t="str">
        <f>结果表!A120</f>
        <v>估价师知悉的法定优先受偿款</v>
      </c>
      <c r="B6" s="3482"/>
      <c r="C6" s="3482"/>
      <c r="D6" s="3482">
        <f>结果表!D120</f>
        <v>0</v>
      </c>
      <c r="E6" s="3482"/>
      <c r="F6" s="3482"/>
      <c r="G6" s="3482"/>
      <c r="H6" s="3482"/>
      <c r="I6" s="3482"/>
    </row>
    <row r="7" spans="1:9" ht="15">
      <c r="A7" s="3483" t="s">
        <v>927</v>
      </c>
      <c r="B7" s="3483"/>
      <c r="C7" s="3483"/>
      <c r="D7" s="3484" t="str">
        <f>结果表!D121</f>
        <v>零元整</v>
      </c>
      <c r="E7" s="3485"/>
      <c r="F7" s="3485"/>
      <c r="G7" s="3485"/>
      <c r="H7" s="3485"/>
      <c r="I7" s="3486"/>
    </row>
    <row r="8" spans="1:9" ht="15.75">
      <c r="A8" s="3482" t="str">
        <f>结果表!A122</f>
        <v>房地产抵押价值</v>
      </c>
      <c r="B8" s="3482"/>
      <c r="C8" s="3482"/>
      <c r="D8" s="3482" t="e">
        <f ca="1">结果表!D122</f>
        <v>#REF!</v>
      </c>
      <c r="E8" s="3482"/>
      <c r="F8" s="3482"/>
      <c r="G8" s="3482"/>
      <c r="H8" s="3482"/>
      <c r="I8" s="3482"/>
    </row>
    <row r="9" spans="1:9" ht="15">
      <c r="A9" s="3483" t="s">
        <v>927</v>
      </c>
      <c r="B9" s="3483"/>
      <c r="C9" s="3483"/>
      <c r="D9" s="3483" t="e">
        <f ca="1">结果表!D123</f>
        <v>#REF!</v>
      </c>
      <c r="E9" s="3483"/>
      <c r="F9" s="3483"/>
      <c r="G9" s="3483"/>
      <c r="H9" s="3483"/>
      <c r="I9" s="3483"/>
    </row>
    <row r="10" spans="1:9" ht="15.75">
      <c r="A10" s="3482" t="str">
        <f>结果表!A124</f>
        <v/>
      </c>
      <c r="B10" s="3482"/>
      <c r="C10" s="3482"/>
      <c r="D10" s="3482" t="str">
        <f>结果表!D124</f>
        <v>——</v>
      </c>
      <c r="E10" s="3482"/>
      <c r="F10" s="3482"/>
      <c r="G10" s="3482"/>
      <c r="H10" s="3482"/>
      <c r="I10" s="3482"/>
    </row>
    <row r="11" spans="1:9" ht="15">
      <c r="A11" s="3483" t="s">
        <v>927</v>
      </c>
      <c r="B11" s="3483"/>
      <c r="C11" s="3483"/>
      <c r="D11" s="3483" t="e">
        <f>结果表!D125</f>
        <v>#VALUE!</v>
      </c>
      <c r="E11" s="3483"/>
      <c r="F11" s="3483"/>
      <c r="G11" s="3483"/>
      <c r="H11" s="3483"/>
      <c r="I11" s="3483"/>
    </row>
    <row r="12" spans="1:9" ht="15.75">
      <c r="A12" s="3482" t="str">
        <f>结果表!A126</f>
        <v/>
      </c>
      <c r="B12" s="3482"/>
      <c r="C12" s="3482"/>
      <c r="D12" s="3482" t="str">
        <f>结果表!D126</f>
        <v>——</v>
      </c>
      <c r="E12" s="3482"/>
      <c r="F12" s="3482"/>
      <c r="G12" s="3482"/>
      <c r="H12" s="3482"/>
      <c r="I12" s="3482"/>
    </row>
    <row r="13" spans="1:9" ht="15.75" thickBot="1">
      <c r="A13" s="3480" t="s">
        <v>927</v>
      </c>
      <c r="B13" s="3480"/>
      <c r="C13" s="3480"/>
      <c r="D13" s="3480" t="e">
        <f>结果表!D127</f>
        <v>#VALUE!</v>
      </c>
      <c r="E13" s="3480"/>
      <c r="F13" s="3480"/>
      <c r="G13" s="3480"/>
      <c r="H13" s="3480"/>
      <c r="I13" s="3480"/>
    </row>
    <row r="14" spans="1:9" ht="15" thickTop="1">
      <c r="A14" s="3481" t="s">
        <v>932</v>
      </c>
      <c r="B14" s="3481"/>
      <c r="C14" s="3481"/>
      <c r="D14" s="3481"/>
      <c r="E14" s="3481"/>
      <c r="F14" s="3481"/>
      <c r="G14" s="3481"/>
      <c r="H14" s="3481"/>
      <c r="I14" s="348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5" t="s">
        <v>949</v>
      </c>
      <c r="B1" s="3495"/>
      <c r="C1" s="3495"/>
      <c r="D1" s="3495"/>
    </row>
    <row r="2" spans="1:4" ht="18">
      <c r="A2" s="3496" t="s">
        <v>933</v>
      </c>
      <c r="B2" s="3496"/>
      <c r="C2" s="3496"/>
      <c r="D2" s="349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6" t="s">
        <v>939</v>
      </c>
      <c r="B6" s="3496"/>
      <c r="C6" s="3496"/>
      <c r="D6" s="349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7" t="s">
        <v>942</v>
      </c>
      <c r="B11" s="3489"/>
      <c r="C11" s="3489"/>
      <c r="D11" s="3489"/>
    </row>
    <row r="12" spans="1:4" ht="15.75">
      <c r="A12" s="34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4"/>
      <c r="C12" s="3494"/>
      <c r="D12" s="3494"/>
    </row>
    <row r="13" spans="1:4" ht="30" customHeight="1">
      <c r="A13" s="3489" t="str">
        <f>IF(项目基本情况!B8="抵押","3.抵押双方在办理抵押登记手续时，应使用本公司出具的正式《房地产评估报告》，特提醒报告使用者注意。","——")</f>
        <v>——</v>
      </c>
      <c r="B13" s="3494"/>
      <c r="C13" s="3494"/>
      <c r="D13" s="3494"/>
    </row>
    <row r="14" spans="1:4" ht="15.75" customHeight="1">
      <c r="A14" s="3489" t="str">
        <f>IF(项目基本情况!B8="抵押","4.本次评估估价师所知悉的法定优先受偿款情况说明如下：","——")</f>
        <v>——</v>
      </c>
      <c r="B14" s="3494"/>
      <c r="C14" s="3494"/>
      <c r="D14" s="3494"/>
    </row>
    <row r="15" spans="1:4" ht="42" customHeight="1">
      <c r="A15" s="3489" t="str">
        <f>IF(项目基本情况!B8="抵押","（1）"&amp;CONCATENATE(项目基本情况!L20,项目基本情况!L21,项目基本情况!L22),"——")</f>
        <v>——</v>
      </c>
      <c r="B15" s="3489"/>
      <c r="C15" s="3489"/>
      <c r="D15" s="3489"/>
    </row>
    <row r="16" spans="1:4" ht="30" customHeight="1">
      <c r="A16" s="3491" t="s">
        <v>943</v>
      </c>
      <c r="B16" s="3491"/>
      <c r="C16" s="3491"/>
      <c r="D16" s="3491"/>
    </row>
    <row r="17" spans="1:4" ht="144" customHeight="1">
      <c r="A17" s="3491" t="s">
        <v>944</v>
      </c>
      <c r="B17" s="3491"/>
      <c r="C17" s="3491"/>
      <c r="D17" s="3491"/>
    </row>
    <row r="18" spans="1:4" ht="15.75" customHeight="1">
      <c r="A18" s="3489" t="str">
        <f>IF(项目基本情况!B8="抵押",结果表!K120,"——")</f>
        <v>——</v>
      </c>
      <c r="B18" s="3489"/>
      <c r="C18" s="3489"/>
      <c r="D18" s="3489"/>
    </row>
    <row r="19" spans="1:4" ht="46.5" customHeight="1">
      <c r="A19" s="34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9"/>
      <c r="C19" s="3489"/>
      <c r="D19" s="3489"/>
    </row>
    <row r="20" spans="1:4" ht="57.75" customHeight="1">
      <c r="A20" s="34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9"/>
      <c r="C20" s="3489"/>
      <c r="D20" s="3489"/>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2"/>
      <c r="C21" s="3492"/>
      <c r="D21" s="3492"/>
    </row>
    <row r="22" spans="1:4" ht="18.75" customHeight="1">
      <c r="A22" s="3493" t="s">
        <v>945</v>
      </c>
      <c r="B22" s="3493"/>
      <c r="C22" s="3493"/>
      <c r="D22" s="349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0">
        <v>42551</v>
      </c>
      <c r="D31" s="34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3" t="s">
        <v>956</v>
      </c>
      <c r="B15" s="3498" t="s">
        <v>109</v>
      </c>
      <c r="C15" s="3499"/>
    </row>
    <row r="16" spans="1:7" ht="13.5">
      <c r="A16" s="3504"/>
      <c r="B16" s="3498" t="s">
        <v>42</v>
      </c>
      <c r="C16" s="3499"/>
    </row>
    <row r="17" spans="1:3" ht="13.5">
      <c r="A17" s="3504"/>
      <c r="B17" s="3501" t="s">
        <v>957</v>
      </c>
      <c r="C17" s="1532" t="s">
        <v>956</v>
      </c>
    </row>
    <row r="18" spans="1:3" ht="13.5">
      <c r="A18" s="3504"/>
      <c r="B18" s="3501"/>
      <c r="C18" s="1532" t="s">
        <v>958</v>
      </c>
    </row>
    <row r="19" spans="1:3" ht="13.5">
      <c r="A19" s="3504"/>
      <c r="B19" s="3501"/>
      <c r="C19" s="1532" t="s">
        <v>959</v>
      </c>
    </row>
    <row r="20" spans="1:3" ht="13.5">
      <c r="A20" s="3505"/>
      <c r="B20" s="3500" t="s">
        <v>960</v>
      </c>
      <c r="C20" s="3499"/>
    </row>
    <row r="21" spans="1:3" ht="13.5">
      <c r="A21" s="1533" t="s">
        <v>961</v>
      </c>
      <c r="B21" s="1534"/>
      <c r="C21" s="1535"/>
    </row>
    <row r="22" spans="1:3" ht="13.5">
      <c r="A22" s="3502" t="s">
        <v>962</v>
      </c>
      <c r="B22" s="3500" t="s">
        <v>963</v>
      </c>
      <c r="C22" s="3499"/>
    </row>
    <row r="23" spans="1:3" ht="13.5">
      <c r="A23" s="3502"/>
      <c r="B23" s="3500" t="s">
        <v>964</v>
      </c>
      <c r="C23" s="3499"/>
    </row>
    <row r="24" spans="1:3" ht="13.5">
      <c r="A24" s="3502"/>
      <c r="B24" s="3500" t="s">
        <v>965</v>
      </c>
      <c r="C24" s="3499"/>
    </row>
    <row r="25" spans="1:3" ht="13.5">
      <c r="A25" s="3502"/>
      <c r="B25" s="3501" t="s">
        <v>966</v>
      </c>
      <c r="C25" s="1532" t="s">
        <v>967</v>
      </c>
    </row>
    <row r="26" spans="1:3" ht="13.5">
      <c r="A26" s="3502"/>
      <c r="B26" s="3501"/>
      <c r="C26" s="1532" t="s">
        <v>968</v>
      </c>
    </row>
    <row r="27" spans="1:3" ht="13.5">
      <c r="A27" s="3502"/>
      <c r="B27" s="3501"/>
      <c r="C27" s="1532" t="s">
        <v>969</v>
      </c>
    </row>
    <row r="28" spans="1:3" ht="13.5">
      <c r="A28" s="3502"/>
      <c r="B28" s="3501"/>
      <c r="C28" s="1532" t="s">
        <v>970</v>
      </c>
    </row>
    <row r="29" spans="1:3" ht="13.5">
      <c r="A29" s="3502"/>
      <c r="B29" s="3501"/>
      <c r="C29" s="1532" t="s">
        <v>971</v>
      </c>
    </row>
    <row r="30" spans="1:3" ht="13.5">
      <c r="A30" s="3502"/>
      <c r="B30" s="3501"/>
      <c r="C30" s="1532" t="s">
        <v>972</v>
      </c>
    </row>
    <row r="31" spans="1:3" ht="13.5">
      <c r="A31" s="3502"/>
      <c r="B31" s="3501"/>
      <c r="C31" s="1532" t="s">
        <v>973</v>
      </c>
    </row>
    <row r="32" spans="1:3" ht="13.5">
      <c r="A32" s="3502"/>
      <c r="B32" s="3501"/>
      <c r="C32" s="1532" t="s">
        <v>974</v>
      </c>
    </row>
    <row r="33" spans="1:3" ht="13.5">
      <c r="A33" s="3502"/>
      <c r="B33" s="350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45302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6" t="s">
        <v>2160</v>
      </c>
      <c r="B17" s="3506"/>
      <c r="C17" s="3506"/>
      <c r="D17" s="3506"/>
      <c r="E17" s="3506"/>
      <c r="F17" s="3506"/>
      <c r="G17" s="3506"/>
      <c r="H17" s="3506"/>
    </row>
    <row r="18" spans="1:8" ht="24" customHeight="1">
      <c r="A18" s="3507" t="s">
        <v>2161</v>
      </c>
      <c r="B18" s="3507"/>
      <c r="C18" s="3507"/>
      <c r="D18" s="2343"/>
      <c r="E18" s="3508" t="s">
        <v>2162</v>
      </c>
      <c r="F18" s="3507"/>
      <c r="G18" s="350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2580</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2581</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9"/>
      <c r="B54" s="1554" t="s">
        <v>385</v>
      </c>
      <c r="C54" s="1551" t="s">
        <v>583</v>
      </c>
    </row>
    <row r="55" spans="1:4">
      <c r="A55" s="3509"/>
      <c r="B55" s="1554" t="s">
        <v>386</v>
      </c>
      <c r="C55" s="1551" t="s">
        <v>584</v>
      </c>
    </row>
    <row r="56" spans="1:4">
      <c r="A56" s="3509"/>
      <c r="B56" s="1554" t="s">
        <v>387</v>
      </c>
      <c r="C56" s="1551" t="s">
        <v>588</v>
      </c>
    </row>
    <row r="57" spans="1:4">
      <c r="A57" s="350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10" t="s">
        <v>2583</v>
      </c>
      <c r="J2" s="3510"/>
      <c r="K2" s="3510"/>
      <c r="L2" s="3510"/>
      <c r="M2" s="3510"/>
      <c r="N2" s="3510"/>
      <c r="O2" s="3510"/>
      <c r="P2" s="3510"/>
      <c r="Q2" s="3510"/>
      <c r="R2" s="3510"/>
    </row>
    <row r="3" spans="1:18">
      <c r="A3" s="3020" t="s">
        <v>2504</v>
      </c>
      <c r="B3" s="3021">
        <f>项目基本情况!D3</f>
        <v>45257</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3.06</v>
      </c>
      <c r="D5" s="3025">
        <f>IF(ISERROR(ROUND(POWER(1+E5,A5-C5)*(POWER(1+E5,C5)-1)/(POWER(1+E5,A5)-1),3)),0,ROUND(POWER(1+E5,A5-C5)*(POWER(1+E5,C5)-1)/(POWER(1+E5,A5)-1),4))</f>
        <v>0.14280000000000001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13.07</v>
      </c>
      <c r="D6" s="3025">
        <f>IF(ISERROR(ROUND(POWER(1+E6,A6-C6)*(POWER(1+E6,C6)-1)/(POWER(1+E6,A6)-1),3)),0,ROUND(POWER(1+E6,A6-C6)*(POWER(1+E6,C6)-1)/(POWER(1+E6,A6)-1),4))</f>
        <v>0.46679999999999999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33.08</v>
      </c>
      <c r="D7" s="3025">
        <f>IF(ISERROR(ROUND(POWER(1+E7,A7-C7)*(POWER(1+E7,C7)-1)/(POWER(1+E7,A7)-1),3)),0,ROUND(POWER(1+E7,A7-C7)*(POWER(1+E7,C7)-1)/(POWER(1+E7,A7)-1),4))</f>
        <v>0.77659999999999996</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C27" sqref="C2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9" t="str">
        <f>IF(B10="北京市","北京市",C10)&amp;F10&amp;IF(结果表!G1="在建","出让国有建设用地使用权及在建建筑物",IF(结果表!G1="土地","出让国有建设用地使用权",))&amp;B9&amp;"预评估"</f>
        <v>北京市预评估</v>
      </c>
      <c r="C1" s="3520"/>
      <c r="D1" s="3520"/>
      <c r="E1" s="3520"/>
      <c r="F1" s="3520"/>
      <c r="G1" s="3520"/>
      <c r="H1" s="3520"/>
      <c r="I1" s="352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45257</v>
      </c>
      <c r="C3" s="2374" t="s">
        <v>2171</v>
      </c>
      <c r="D3" s="2373">
        <f>B3</f>
        <v>45257</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3382</v>
      </c>
      <c r="C8" s="2390"/>
      <c r="D8" s="3522" t="s">
        <v>2177</v>
      </c>
      <c r="E8" s="2391"/>
      <c r="F8" s="2392"/>
      <c r="G8" s="2663"/>
      <c r="H8" s="2663"/>
      <c r="I8" s="2663"/>
      <c r="J8" s="2439"/>
      <c r="K8" s="2614"/>
      <c r="L8" s="2613"/>
      <c r="M8" s="2613"/>
      <c r="N8" s="2439"/>
      <c r="O8" s="2450"/>
      <c r="P8" s="2439"/>
      <c r="Q8" s="2439"/>
      <c r="R8" s="2439"/>
    </row>
    <row r="9" spans="1:30" ht="13.5" thickBot="1">
      <c r="A9" s="2393" t="s">
        <v>2178</v>
      </c>
      <c r="B9" s="2394"/>
      <c r="C9" s="2395"/>
      <c r="D9" s="3523"/>
      <c r="E9" s="2394"/>
      <c r="F9" s="2396"/>
      <c r="G9" s="2665"/>
      <c r="H9" s="2665"/>
      <c r="I9" s="2665"/>
      <c r="J9" s="2439"/>
      <c r="K9" s="2616"/>
      <c r="L9" s="2613"/>
      <c r="M9" s="2613"/>
      <c r="N9" s="2439"/>
      <c r="O9" s="2450"/>
      <c r="P9" s="2439"/>
      <c r="Q9" s="2439"/>
      <c r="R9" s="2439"/>
    </row>
    <row r="10" spans="1:30" ht="13.5" thickTop="1">
      <c r="A10" s="2397" t="s">
        <v>2179</v>
      </c>
      <c r="B10" s="2398" t="s">
        <v>3383</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3384</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3335</v>
      </c>
      <c r="B13" s="2407" t="s">
        <v>2190</v>
      </c>
      <c r="C13" s="856"/>
      <c r="D13" s="856"/>
      <c r="E13" s="856">
        <v>59632</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39.380000000000003</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9"/>
      <c r="C16" s="3530"/>
      <c r="D16" s="3531"/>
      <c r="E16" s="2413" t="s">
        <v>2194</v>
      </c>
      <c r="F16" s="3532"/>
      <c r="G16" s="3533"/>
      <c r="H16" s="3533"/>
      <c r="I16" s="3534"/>
      <c r="J16" s="2439"/>
      <c r="K16" s="2617"/>
      <c r="L16" s="2451"/>
      <c r="M16" s="2451"/>
      <c r="N16" s="2509"/>
      <c r="O16" s="2451"/>
      <c r="P16" s="2509"/>
      <c r="Q16" s="2439"/>
      <c r="R16" s="2439"/>
    </row>
    <row r="17" spans="1:28">
      <c r="A17" s="313" t="s">
        <v>2195</v>
      </c>
      <c r="B17" s="302" t="s">
        <v>2196</v>
      </c>
      <c r="C17" s="8">
        <f>'数据-汇总表'!E3</f>
        <v>34.369999999999997</v>
      </c>
      <c r="D17" s="2322" t="s">
        <v>2197</v>
      </c>
      <c r="E17" s="3535" t="s">
        <v>2198</v>
      </c>
      <c r="F17" s="3536"/>
      <c r="G17" s="3536"/>
      <c r="H17" s="3536"/>
      <c r="I17" s="3537"/>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38" t="s">
        <v>2202</v>
      </c>
      <c r="F18" s="3539"/>
      <c r="G18" s="3539"/>
      <c r="H18" s="3539"/>
      <c r="I18" s="3540"/>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5" t="s">
        <v>2206</v>
      </c>
      <c r="C20" s="3526"/>
      <c r="D20" s="3527" t="s">
        <v>2207</v>
      </c>
      <c r="E20" s="3528"/>
      <c r="F20" s="2647" t="s">
        <v>1056</v>
      </c>
      <c r="G20" s="2664"/>
      <c r="H20" s="2664"/>
      <c r="I20" s="2664"/>
      <c r="J20" s="2439"/>
      <c r="K20" s="352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2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2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2"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2"/>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2"/>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3"/>
      <c r="B30" s="302" t="s">
        <v>2218</v>
      </c>
      <c r="C30" s="3514"/>
      <c r="D30" s="3515"/>
      <c r="E30" s="2664"/>
      <c r="F30" s="2664"/>
      <c r="G30" s="2664"/>
      <c r="H30" s="2664"/>
      <c r="I30" s="2664"/>
      <c r="J30" s="2439"/>
      <c r="K30" s="2616"/>
      <c r="L30" s="2613"/>
      <c r="M30" s="2613"/>
      <c r="N30" s="2439"/>
      <c r="O30" s="2450"/>
      <c r="P30" s="2439"/>
      <c r="Q30" s="2439"/>
      <c r="R30" s="2439"/>
      <c r="S30" s="2439"/>
      <c r="T30" s="2439"/>
      <c r="U30" s="2439"/>
      <c r="V30" s="2439"/>
    </row>
    <row r="31" spans="1:28">
      <c r="A31" s="3516"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7"/>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7"/>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1" t="s">
        <v>2228</v>
      </c>
      <c r="T34" s="2428" t="str">
        <f>NUMBERSTRING(7-K34,1)&amp;"通"</f>
        <v>七通</v>
      </c>
      <c r="U34" s="2439"/>
      <c r="V34" s="2439"/>
    </row>
    <row r="35" spans="1:30">
      <c r="A35" s="2429"/>
      <c r="B35" s="3518" t="s">
        <v>2229</v>
      </c>
      <c r="C35" s="3518"/>
      <c r="D35" s="3518"/>
      <c r="E35" s="3518"/>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34.369999999999997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34.369999999999997</v>
      </c>
      <c r="H5" s="13">
        <f t="shared" ref="H5:AT5" si="0">SUM(H13:H656)</f>
        <v>34.369999999999997</v>
      </c>
      <c r="I5" s="13">
        <f t="shared" si="0"/>
        <v>34.369999999999997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34.369999999999997</v>
      </c>
      <c r="BA5" s="15">
        <f t="shared" si="1"/>
        <v>34.369999999999997</v>
      </c>
      <c r="BB5" s="15">
        <f t="shared" si="1"/>
        <v>34.369999999999997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3386</v>
      </c>
      <c r="E13" s="13">
        <f>IF($C$3="是",ROUND($A$3*G13/$B$3,2),ROUND($A$3*(G13-AT13)/$B$3,2))</f>
        <v>0</v>
      </c>
      <c r="F13" s="29"/>
      <c r="G13" s="30">
        <f>H13+AC13+AT13</f>
        <v>34.369999999999997</v>
      </c>
      <c r="H13" s="17">
        <f>SUMIF(I$12:AB$12,"总值",I13:AB13)</f>
        <v>34.369999999999997</v>
      </c>
      <c r="I13" s="1626">
        <v>34.369999999999997</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34.369999999999997</v>
      </c>
      <c r="BA13" s="13">
        <f>SUM(BB13:BK13)</f>
        <v>34.369999999999997</v>
      </c>
      <c r="BB13" s="13">
        <f>IF($D13="是",I13-J13,0)</f>
        <v>34.369999999999997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0" t="s">
        <v>1131</v>
      </c>
      <c r="B2" s="3550"/>
      <c r="C2" s="3550"/>
      <c r="D2" s="796" t="s">
        <v>1107</v>
      </c>
      <c r="E2" s="1639" t="s">
        <v>1108</v>
      </c>
      <c r="F2" s="2659"/>
      <c r="G2" s="2650"/>
      <c r="H2" s="2651"/>
      <c r="I2" s="2325" t="s">
        <v>1132</v>
      </c>
      <c r="J2" s="2659"/>
      <c r="K2" s="2659"/>
      <c r="L2" s="2659"/>
      <c r="M2" s="2659"/>
      <c r="N2" s="2661"/>
      <c r="O2" s="2659"/>
      <c r="P2" s="2659"/>
    </row>
    <row r="3" spans="1:16" ht="15.75" thickBot="1">
      <c r="A3" s="3551" t="s">
        <v>1105</v>
      </c>
      <c r="B3" s="3551"/>
      <c r="C3" s="3551"/>
      <c r="D3" s="43">
        <f>'数据-基础表'!AY6</f>
        <v>0</v>
      </c>
      <c r="E3" s="43">
        <f>'数据-基础表'!AZ5</f>
        <v>34.369999999999997</v>
      </c>
      <c r="F3" s="2659"/>
      <c r="G3" s="1145"/>
      <c r="H3" s="1026" t="s">
        <v>1106</v>
      </c>
      <c r="I3" s="855" t="e">
        <f>ROUND('数据-基础表'!B3/'数据-基础表'!A3,2)</f>
        <v>#DIV/0!</v>
      </c>
      <c r="J3" s="2659"/>
      <c r="K3" s="2659"/>
      <c r="L3" s="2659"/>
      <c r="M3" s="2659"/>
      <c r="N3" s="2661"/>
      <c r="O3" s="2659"/>
      <c r="P3" s="2659"/>
    </row>
    <row r="4" spans="1:16" ht="15">
      <c r="A4" s="3552"/>
      <c r="B4" s="3553"/>
      <c r="C4" s="355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5" t="s">
        <v>1110</v>
      </c>
      <c r="C5" s="3555"/>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5" t="s">
        <v>1111</v>
      </c>
      <c r="C6" s="3555"/>
      <c r="D6" s="45">
        <f>ROUND($D$3*E6/$E$3,2)</f>
        <v>0</v>
      </c>
      <c r="E6" s="46">
        <f>E3-E5</f>
        <v>34.369999999999997</v>
      </c>
      <c r="F6" s="2659"/>
      <c r="G6" s="2653" t="s">
        <v>1112</v>
      </c>
      <c r="H6" s="1146" t="s">
        <v>1113</v>
      </c>
      <c r="I6" s="2654" t="e">
        <f>ROUND(F31/D31,2)</f>
        <v>#DIV/0!</v>
      </c>
      <c r="J6" s="2659"/>
      <c r="K6" s="2659"/>
      <c r="L6" s="2659"/>
      <c r="M6" s="2659"/>
      <c r="N6" s="2659"/>
      <c r="O6" s="2659"/>
      <c r="P6" s="2659"/>
    </row>
    <row r="7" spans="1:16" ht="15.75" thickBot="1">
      <c r="A7" s="3547"/>
      <c r="B7" s="3548"/>
      <c r="C7" s="3549"/>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34.369999999999997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34.369999999999997</v>
      </c>
      <c r="F16" s="2659"/>
      <c r="G16" s="2660"/>
      <c r="H16" s="1648" t="s">
        <v>1135</v>
      </c>
      <c r="I16" s="1649"/>
      <c r="J16" s="1139"/>
      <c r="K16" s="3544" t="s">
        <v>1135</v>
      </c>
      <c r="L16" s="3545"/>
      <c r="M16" s="3545"/>
      <c r="N16" s="3545"/>
      <c r="O16" s="3545"/>
      <c r="P16" s="3546"/>
    </row>
    <row r="17" spans="1:19" ht="15">
      <c r="A17" s="1650" t="s">
        <v>1136</v>
      </c>
      <c r="B17" s="1651" t="s">
        <v>1137</v>
      </c>
      <c r="C17" s="1652" t="s">
        <v>1138</v>
      </c>
      <c r="D17" s="1653" t="s">
        <v>1126</v>
      </c>
      <c r="E17" s="1654" t="s">
        <v>1127</v>
      </c>
      <c r="F17" s="1655"/>
      <c r="G17" s="1656"/>
      <c r="H17" s="1657" t="s">
        <v>1139</v>
      </c>
      <c r="I17" s="1658" t="s">
        <v>1124</v>
      </c>
      <c r="J17" s="1139"/>
      <c r="K17" s="3541" t="s">
        <v>1140</v>
      </c>
      <c r="L17" s="3542"/>
      <c r="M17" s="3543"/>
      <c r="N17" s="3541" t="s">
        <v>1141</v>
      </c>
      <c r="O17" s="3542"/>
      <c r="P17" s="354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3387</v>
      </c>
      <c r="D19" s="45">
        <f>ROUND($D$3*E19/$E$3,2)</f>
        <v>0</v>
      </c>
      <c r="E19" s="53">
        <f t="shared" ref="E19:E26" si="1">SUM(F19:G19)</f>
        <v>34.369999999999997</v>
      </c>
      <c r="F19" s="2795">
        <f>'数据-基础表'!I13</f>
        <v>34.369999999999997</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34.369999999999997</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34.369999999999997</v>
      </c>
      <c r="F27" s="1140">
        <f>IF(SUM(F19:F26)=E8,SUM(F19:F26),"地上面积有误")</f>
        <v>34.369999999999997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34.369999999999997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34.369999999999997</v>
      </c>
      <c r="F31" s="677">
        <f>F27+F30</f>
        <v>34.369999999999997</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U6" activePane="bottomRight" state="frozen"/>
      <selection activeCell="C50" sqref="C50"/>
      <selection pane="topRight" activeCell="C50" sqref="C50"/>
      <selection pane="bottomLeft" activeCell="C50" sqref="C50"/>
      <selection pane="bottomRight" activeCell="AK15" sqref="AK15"/>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8.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45257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59632</v>
      </c>
      <c r="F6" s="64">
        <f>SUMIF(项目基本情况!C$12:I$12,C6,项目基本情况!C$15:I$15)</f>
        <v>39.380000000000003</v>
      </c>
      <c r="G6" s="65">
        <f>IF(ISERROR(ROUND(POWER(1+H6,D6-F6)*(POWER(1+H6,F6)-1)/(POWER(1+H6,D6)-1),3)),0,ROUND(POWER(1+H6,D6-F6)*(POWER(1+H6,F6)-1)/(POWER(1+H6,D6)-1),3))</f>
        <v>0.91500000000000004</v>
      </c>
      <c r="H6" s="732">
        <v>0.04</v>
      </c>
      <c r="I6" s="732">
        <v>0.04</v>
      </c>
      <c r="J6" s="66">
        <v>6.5000000000000002E-2</v>
      </c>
      <c r="K6" s="1030">
        <f>SUMIF('数据-汇总表'!C$19:C$33,A6,'数据-汇总表'!E$19:E$33)</f>
        <v>34.369999999999997</v>
      </c>
      <c r="L6" s="733">
        <v>3000</v>
      </c>
      <c r="M6" s="67">
        <f t="shared" ref="M6:M14" si="0">ROUND(K6*L6/10000,0)</f>
        <v>10</v>
      </c>
      <c r="N6" s="731">
        <v>0.89</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f>'比较法-办公租金'!C49</f>
        <v>3021</v>
      </c>
      <c r="V6" s="70">
        <v>0.02</v>
      </c>
      <c r="W6" s="70">
        <v>0.15</v>
      </c>
      <c r="X6" s="1040"/>
      <c r="Y6" s="71">
        <f>N6</f>
        <v>0.89</v>
      </c>
      <c r="Z6" s="72"/>
      <c r="AA6" s="66"/>
      <c r="AB6" s="66"/>
      <c r="AC6" s="1040"/>
      <c r="AD6" s="73"/>
      <c r="AE6" s="3458">
        <f>F6</f>
        <v>39.380000000000003</v>
      </c>
      <c r="AF6" s="1348"/>
      <c r="AG6" s="138">
        <f>IF(AF6="",0,AE6-AF6)</f>
        <v>0</v>
      </c>
      <c r="AH6" s="74">
        <v>1</v>
      </c>
      <c r="AI6" s="76">
        <v>12</v>
      </c>
      <c r="AJ6" s="77"/>
      <c r="AK6" s="78">
        <v>2.5000000000000001E-2</v>
      </c>
      <c r="AL6" s="79">
        <v>2E-3</v>
      </c>
      <c r="AM6" s="80">
        <v>2.5000000000000001E-2</v>
      </c>
      <c r="AN6" s="1715" t="s">
        <v>3393</v>
      </c>
      <c r="AO6" s="52">
        <f ca="1">SUMIF(INDIRECT("'"&amp;AN6&amp;"'"&amp;"!A:A"),"总价",INDIRECT("'"&amp;AN6&amp;"'"&amp;"!B:B"))</f>
        <v>63.839599999999997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0.91500000000000004</v>
      </c>
      <c r="H16" s="90">
        <f>ROUND(SUMPRODUCT(H6:H13,K6:K13)/SUMPRODUCT((H6:H13&gt;0)*(K6:K13)),3)</f>
        <v>0.04</v>
      </c>
      <c r="I16" s="91"/>
      <c r="J16" s="91"/>
      <c r="K16" s="92">
        <f>SUM(K6:K15)</f>
        <v>34.369999999999997</v>
      </c>
      <c r="L16" s="93">
        <f>ROUND(M16*10000/SUM(K6:K14),0)</f>
        <v>2910</v>
      </c>
      <c r="M16" s="93">
        <f>SUM(M6:M14)</f>
        <v>10</v>
      </c>
      <c r="N16" s="94">
        <f>ROUND(SUMPRODUCT(M6:M14,N6:N14)/M16,3)</f>
        <v>0.89</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t="s">
        <v>3389</v>
      </c>
      <c r="N19" s="2671" t="s">
        <v>3390</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v>2015</v>
      </c>
      <c r="N20" s="2671">
        <f>2023-M20</f>
        <v>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f>ROUND(N20/60,2)</f>
        <v>0.13</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3457" t="s">
        <v>3392</v>
      </c>
      <c r="N22" s="2671">
        <f>1-N21</f>
        <v>0.87</v>
      </c>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3457" t="s">
        <v>3391</v>
      </c>
      <c r="N23" s="2671">
        <v>0.9</v>
      </c>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f>(N22+N23)/2</f>
        <v>0.88500000000000001</v>
      </c>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v>200</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3395</v>
      </c>
      <c r="B40" s="1078">
        <f ca="1">IF(A40="利息：取LPR",存贷款利率!G1,存贷款利率!G1+C40)</f>
        <v>4.7500000000000001E-2</v>
      </c>
      <c r="C40" s="2814">
        <v>1.2999999999999999E-2</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6" t="s">
        <v>2286</v>
      </c>
      <c r="B1" s="3557"/>
      <c r="C1" s="3557"/>
      <c r="D1" s="3557"/>
      <c r="E1" s="3557"/>
      <c r="F1" s="3557"/>
      <c r="G1" s="355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0" zoomScaleNormal="100" zoomScaleSheetLayoutView="80" zoomScalePageLayoutView="80" workbookViewId="0">
      <selection activeCell="E12" sqref="E1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21</v>
      </c>
      <c r="D1" s="1747"/>
      <c r="E1" s="1747"/>
      <c r="F1" s="1749" t="s">
        <v>1263</v>
      </c>
      <c r="G1" s="1561"/>
      <c r="H1" s="1750" t="str">
        <f>IF(G1="现房","——","估价对象范围")</f>
        <v>估价对象范围</v>
      </c>
      <c r="I1" s="1751"/>
    </row>
    <row r="2" spans="1:12" ht="21.75" customHeight="1" thickBot="1">
      <c r="A2" s="3592" t="str">
        <f>项目基本情况!S2</f>
        <v>北京市房地产</v>
      </c>
      <c r="B2" s="3593"/>
      <c r="C2" s="3593"/>
      <c r="D2" s="3593"/>
      <c r="E2" s="3593"/>
      <c r="F2" s="3593"/>
      <c r="G2" s="3593"/>
      <c r="H2" s="3593"/>
      <c r="I2" s="3594"/>
    </row>
    <row r="3" spans="1:12" ht="12.75">
      <c r="A3" s="3596" t="s">
        <v>1264</v>
      </c>
      <c r="B3" s="3597"/>
      <c r="C3" s="3597"/>
      <c r="D3" s="3597"/>
      <c r="E3" s="3597"/>
      <c r="F3" s="3597"/>
      <c r="G3" s="3597"/>
      <c r="H3" s="3597"/>
      <c r="I3" s="3597"/>
    </row>
    <row r="4" spans="1:12" ht="14.25">
      <c r="A4" s="1754" t="s">
        <v>1265</v>
      </c>
      <c r="B4" s="1755" t="s">
        <v>1266</v>
      </c>
      <c r="C4" s="1756" t="s">
        <v>3435</v>
      </c>
      <c r="D4" s="1756" t="s">
        <v>3393</v>
      </c>
      <c r="E4" s="3598" t="s">
        <v>1267</v>
      </c>
      <c r="F4" s="3599"/>
      <c r="G4" s="3599"/>
      <c r="H4" s="3599"/>
      <c r="I4" s="360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1268</v>
      </c>
      <c r="B5" s="3559">
        <v>25</v>
      </c>
      <c r="C5" s="3575">
        <v>50</v>
      </c>
      <c r="D5" s="3595">
        <f>100-C5</f>
        <v>50</v>
      </c>
      <c r="E5" s="131" t="s">
        <v>1269</v>
      </c>
      <c r="F5" s="1757"/>
      <c r="G5" s="1757"/>
      <c r="H5" s="1757"/>
      <c r="I5" s="1373"/>
    </row>
    <row r="6" spans="1:12" ht="12.75">
      <c r="A6" s="3572"/>
      <c r="B6" s="3559"/>
      <c r="C6" s="3576"/>
      <c r="D6" s="3595"/>
      <c r="E6" s="131" t="s">
        <v>1270</v>
      </c>
      <c r="F6" s="1757"/>
      <c r="G6" s="1757"/>
      <c r="H6" s="1757"/>
      <c r="I6" s="1373"/>
    </row>
    <row r="7" spans="1:12" ht="12.75">
      <c r="A7" s="3572"/>
      <c r="B7" s="3559"/>
      <c r="C7" s="3577"/>
      <c r="D7" s="3595"/>
      <c r="E7" s="131" t="s">
        <v>1271</v>
      </c>
      <c r="F7" s="1757"/>
      <c r="G7" s="1757"/>
      <c r="H7" s="1757"/>
      <c r="I7" s="1373"/>
    </row>
    <row r="8" spans="1:12" ht="12.75">
      <c r="A8" s="3572" t="s">
        <v>1272</v>
      </c>
      <c r="B8" s="3559">
        <v>15</v>
      </c>
      <c r="C8" s="3575"/>
      <c r="D8" s="3595"/>
      <c r="E8" s="131" t="s">
        <v>1273</v>
      </c>
      <c r="F8" s="1757"/>
      <c r="G8" s="1757"/>
      <c r="H8" s="1757"/>
      <c r="I8" s="1373"/>
    </row>
    <row r="9" spans="1:12" ht="12.75">
      <c r="A9" s="3572"/>
      <c r="B9" s="3559"/>
      <c r="C9" s="3577"/>
      <c r="D9" s="3595"/>
      <c r="E9" s="131" t="s">
        <v>1274</v>
      </c>
      <c r="F9" s="1757"/>
      <c r="G9" s="1757"/>
      <c r="H9" s="1757"/>
      <c r="I9" s="1373"/>
    </row>
    <row r="10" spans="1:12" ht="12.75">
      <c r="A10" s="3572" t="s">
        <v>1275</v>
      </c>
      <c r="B10" s="3559">
        <v>15</v>
      </c>
      <c r="C10" s="3575"/>
      <c r="D10" s="3595"/>
      <c r="E10" s="131" t="s">
        <v>1276</v>
      </c>
      <c r="F10" s="1757"/>
      <c r="G10" s="1757"/>
      <c r="H10" s="1757"/>
      <c r="I10" s="1373"/>
    </row>
    <row r="11" spans="1:12" ht="12.75">
      <c r="A11" s="3572"/>
      <c r="B11" s="3559"/>
      <c r="C11" s="3577"/>
      <c r="D11" s="3595"/>
      <c r="E11" s="131" t="s">
        <v>1277</v>
      </c>
      <c r="F11" s="1757"/>
      <c r="G11" s="1757"/>
      <c r="H11" s="1757"/>
      <c r="I11" s="1373"/>
    </row>
    <row r="12" spans="1:12" ht="12.75">
      <c r="A12" s="3572" t="s">
        <v>1278</v>
      </c>
      <c r="B12" s="3559">
        <v>15</v>
      </c>
      <c r="C12" s="3575"/>
      <c r="D12" s="3595"/>
      <c r="E12" s="131" t="s">
        <v>1279</v>
      </c>
      <c r="F12" s="1757"/>
      <c r="G12" s="1757"/>
      <c r="H12" s="1757"/>
      <c r="I12" s="1373"/>
    </row>
    <row r="13" spans="1:12" ht="12.75">
      <c r="A13" s="3572"/>
      <c r="B13" s="3559"/>
      <c r="C13" s="3577"/>
      <c r="D13" s="3595"/>
      <c r="E13" s="131" t="s">
        <v>1280</v>
      </c>
      <c r="F13" s="1757"/>
      <c r="G13" s="1757"/>
      <c r="H13" s="1757"/>
      <c r="I13" s="1373"/>
    </row>
    <row r="14" spans="1:12" ht="12.75">
      <c r="A14" s="3572" t="s">
        <v>1281</v>
      </c>
      <c r="B14" s="3559">
        <v>30</v>
      </c>
      <c r="C14" s="3575"/>
      <c r="D14" s="3595"/>
      <c r="E14" s="131" t="s">
        <v>1282</v>
      </c>
      <c r="F14" s="1757"/>
      <c r="G14" s="1757"/>
      <c r="H14" s="1757"/>
      <c r="I14" s="1373"/>
    </row>
    <row r="15" spans="1:12" ht="12.75">
      <c r="A15" s="3572"/>
      <c r="B15" s="3559"/>
      <c r="C15" s="3576"/>
      <c r="D15" s="3595"/>
      <c r="E15" s="131" t="s">
        <v>1283</v>
      </c>
      <c r="F15" s="1757"/>
      <c r="G15" s="1757"/>
      <c r="H15" s="1757"/>
      <c r="I15" s="1373"/>
    </row>
    <row r="16" spans="1:12" ht="12.75">
      <c r="A16" s="3572"/>
      <c r="B16" s="3559"/>
      <c r="C16" s="3577"/>
      <c r="D16" s="3595"/>
      <c r="E16" s="131" t="s">
        <v>1284</v>
      </c>
      <c r="F16" s="1757"/>
      <c r="G16" s="1757"/>
      <c r="H16" s="1757"/>
      <c r="I16" s="1373"/>
    </row>
    <row r="17" spans="1:36" ht="15">
      <c r="A17" s="1758" t="s">
        <v>1285</v>
      </c>
      <c r="B17" s="56"/>
      <c r="C17" s="132">
        <f>SUM(C5:C16)</f>
        <v>50</v>
      </c>
      <c r="D17" s="132">
        <f>SUM(D5:D16)</f>
        <v>50</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82" t="s">
        <v>2131</v>
      </c>
      <c r="F18" s="3583"/>
      <c r="G18" s="3583"/>
      <c r="H18" s="3583"/>
      <c r="I18" s="3583"/>
      <c r="K18" s="302" t="s">
        <v>1289</v>
      </c>
      <c r="L18" s="302">
        <f>IF(C1="",'数据-汇总表'!E3,SUMIF(项目类型,C1,'数据-汇总表'!E17:E26)+SUMIF(项目类型,C1,'数据-汇总表'!I17:I26))</f>
        <v>34.369999999999997</v>
      </c>
      <c r="M18" s="302">
        <f>IF(C1="",'数据-汇总表'!E3,SUMIF(项目类型,C1,'数据-汇总表'!E17:E26))</f>
        <v>34.369999999999997</v>
      </c>
    </row>
    <row r="19" spans="1:36" ht="15">
      <c r="A19" s="1761" t="s">
        <v>1290</v>
      </c>
      <c r="B19" s="1762" t="s">
        <v>1291</v>
      </c>
      <c r="C19" s="134">
        <f ca="1">SUMIF(INDIRECT("'"&amp;C4&amp;"'"&amp;"!A:A"),结果表!B19,INDIRECT("'"&amp;C4&amp;"'"&amp;"!B:B"))</f>
        <v>64.131</v>
      </c>
      <c r="D19" s="135">
        <f ca="1">SUMIF(INDIRECT("'"&amp;D4&amp;"'"&amp;"!A:A"),结果表!B19,INDIRECT("'"&amp;D4&amp;"'"&amp;"!B:B"))</f>
        <v>63.839599999999997</v>
      </c>
      <c r="E19" s="1761" t="s">
        <v>1292</v>
      </c>
      <c r="F19" s="1762" t="s">
        <v>1291</v>
      </c>
      <c r="G19" s="136">
        <f ca="1">ROUND(C19*$C$18+D19*$D$18,0)</f>
        <v>64</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18659</v>
      </c>
      <c r="D20" s="138">
        <f ca="1">SUMIF(INDIRECT("'"&amp;D4&amp;"'"&amp;"!A:A"),结果表!B20,INDIRECT("'"&amp;D4&amp;"'"&amp;"!B:B"))</f>
        <v>18574</v>
      </c>
      <c r="E20" s="1764"/>
      <c r="F20" s="1026" t="s">
        <v>1295</v>
      </c>
      <c r="G20" s="139">
        <f ca="1">ROUND(C20*$C$18+D20*$D$18,0)</f>
        <v>18617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4.5645649408831979E-3</v>
      </c>
      <c r="E22" s="129">
        <f ca="1">(C20-D20)/D20</f>
        <v>4.5762894368472059E-3</v>
      </c>
      <c r="F22" s="129"/>
      <c r="G22" s="129">
        <f ca="1">G20*'数据-汇总表'!E19</f>
        <v>639866.28999999992</v>
      </c>
      <c r="H22" s="129"/>
      <c r="I22" s="129"/>
    </row>
    <row r="23" spans="1:36" ht="13.5" thickBot="1">
      <c r="A23" s="1747"/>
      <c r="B23" s="1747"/>
      <c r="C23" s="1747"/>
      <c r="D23" s="1747"/>
      <c r="E23" s="129"/>
      <c r="F23" s="129"/>
      <c r="G23" s="129"/>
      <c r="H23" s="129"/>
      <c r="I23" s="129"/>
    </row>
    <row r="24" spans="1:36" ht="14.25">
      <c r="A24" s="3566" t="s">
        <v>1299</v>
      </c>
      <c r="B24" s="1762" t="s">
        <v>1291</v>
      </c>
      <c r="C24" s="136">
        <f>IF(B30=0,0,D30)</f>
        <v>0</v>
      </c>
      <c r="D24" s="1769"/>
      <c r="E24" s="129"/>
      <c r="F24" s="129"/>
      <c r="G24" s="129"/>
      <c r="H24" s="129"/>
      <c r="I24" s="129"/>
    </row>
    <row r="25" spans="1:36" ht="14.25">
      <c r="A25" s="356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18617</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86" t="s">
        <v>1312</v>
      </c>
      <c r="B36" s="1787" t="s">
        <v>1313</v>
      </c>
      <c r="C36" s="145"/>
      <c r="D36" s="1788"/>
      <c r="E36" s="1789"/>
      <c r="F36" s="1790"/>
      <c r="G36" s="129"/>
      <c r="H36" s="129"/>
      <c r="I36" s="129"/>
    </row>
    <row r="37" spans="1:15" ht="15.75" thickBot="1">
      <c r="A37" s="3587"/>
      <c r="B37" s="1674" t="s">
        <v>1314</v>
      </c>
      <c r="C37" s="147"/>
      <c r="D37" s="1139"/>
      <c r="E37" s="1139"/>
      <c r="F37" s="1790"/>
      <c r="G37" s="129"/>
      <c r="H37" s="129"/>
      <c r="I37" s="129"/>
    </row>
    <row r="38" spans="1:15" ht="15.75" thickBot="1">
      <c r="A38" s="358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3" t="s">
        <v>1326</v>
      </c>
      <c r="B45" s="3564"/>
      <c r="C45" s="3565"/>
      <c r="D45" s="155" t="e">
        <f ca="1">ROUND(H101*F45,0)</f>
        <v>#REF!</v>
      </c>
      <c r="E45" s="156" t="s">
        <v>1327</v>
      </c>
      <c r="F45" s="157">
        <v>1</v>
      </c>
      <c r="G45" s="158" t="s">
        <v>1328</v>
      </c>
      <c r="H45" s="129"/>
      <c r="I45" s="129"/>
      <c r="J45" s="3641" t="s">
        <v>1329</v>
      </c>
      <c r="K45" s="3641"/>
      <c r="L45" s="3641"/>
      <c r="M45" s="3641"/>
      <c r="N45" s="3641"/>
      <c r="O45" s="3641"/>
    </row>
    <row r="46" spans="1:15" ht="14.25" customHeight="1">
      <c r="A46" s="3560" t="s">
        <v>1330</v>
      </c>
      <c r="B46" s="3561"/>
      <c r="C46" s="3561"/>
      <c r="D46" s="3561"/>
      <c r="E46" s="3561"/>
      <c r="F46" s="3561"/>
      <c r="G46" s="3562"/>
      <c r="H46" s="1806"/>
      <c r="I46" s="159"/>
      <c r="J46" s="2523">
        <v>1</v>
      </c>
      <c r="K46" s="3622" t="s">
        <v>1331</v>
      </c>
      <c r="L46" s="3622"/>
      <c r="M46" s="3642"/>
      <c r="N46" s="3642"/>
      <c r="O46" s="3642"/>
    </row>
    <row r="47" spans="1:15" ht="12" customHeight="1">
      <c r="A47" s="160" t="s">
        <v>1332</v>
      </c>
      <c r="B47" s="161"/>
      <c r="C47" s="162"/>
      <c r="D47" s="1087" t="s">
        <v>1333</v>
      </c>
      <c r="E47" s="302" t="s">
        <v>1334</v>
      </c>
      <c r="F47" s="163" t="s">
        <v>1335</v>
      </c>
      <c r="G47" s="2546" t="s">
        <v>1336</v>
      </c>
      <c r="H47" s="2547"/>
      <c r="I47" s="159"/>
      <c r="J47" s="2523">
        <v>2</v>
      </c>
      <c r="K47" s="3622" t="s">
        <v>1337</v>
      </c>
      <c r="L47" s="3622"/>
      <c r="M47" s="3643">
        <f>'数据-取费表'!B2</f>
        <v>45257</v>
      </c>
      <c r="N47" s="3643"/>
      <c r="O47" s="3643"/>
    </row>
    <row r="48" spans="1:15" ht="25.5">
      <c r="A48" s="3591" t="s">
        <v>1338</v>
      </c>
      <c r="B48" s="3574"/>
      <c r="C48" s="3574"/>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22" t="s">
        <v>1340</v>
      </c>
      <c r="L48" s="3622"/>
      <c r="M48" s="3644" t="e">
        <f ca="1">H101</f>
        <v>#REF!</v>
      </c>
      <c r="N48" s="3644"/>
      <c r="O48" s="3644"/>
    </row>
    <row r="49" spans="1:35" ht="25.5" customHeight="1">
      <c r="A49" s="2333" t="s">
        <v>1341</v>
      </c>
      <c r="B49" s="3558" t="s">
        <v>1342</v>
      </c>
      <c r="C49" s="3558"/>
      <c r="D49" s="1590">
        <v>0</v>
      </c>
      <c r="E49" s="324" t="s">
        <v>1343</v>
      </c>
      <c r="F49" s="2424" t="s">
        <v>28</v>
      </c>
      <c r="G49" s="3628"/>
      <c r="H49" s="2310" t="s">
        <v>2134</v>
      </c>
      <c r="I49" s="2311"/>
      <c r="J49" s="2523">
        <v>4</v>
      </c>
      <c r="K49" s="3622" t="str">
        <f>IF(项目基本情况!E8="房地产抵押价值","房地产抵押价值","抵押担保权已注销时的房地产抵押价值")</f>
        <v>抵押担保权已注销时的房地产抵押价值</v>
      </c>
      <c r="L49" s="3622"/>
      <c r="M49" s="3644" t="str">
        <f>IF(项目基本情况!E8="房地产抵押价值",H107,H109)</f>
        <v>——</v>
      </c>
      <c r="N49" s="3644"/>
      <c r="O49" s="3644"/>
    </row>
    <row r="50" spans="1:35" ht="25.5" customHeight="1">
      <c r="A50" s="2551"/>
      <c r="B50" s="3558" t="s">
        <v>1344</v>
      </c>
      <c r="C50" s="3558"/>
      <c r="D50" s="2552"/>
      <c r="E50" s="332"/>
      <c r="F50" s="2424"/>
      <c r="G50" s="3629"/>
      <c r="H50" s="2312" t="s">
        <v>2135</v>
      </c>
      <c r="I50" s="2311"/>
      <c r="J50" s="3641" t="s">
        <v>1345</v>
      </c>
      <c r="K50" s="3641"/>
      <c r="L50" s="3641"/>
      <c r="M50" s="3641"/>
      <c r="N50" s="3641"/>
      <c r="O50" s="3641"/>
    </row>
    <row r="51" spans="1:35" ht="20.45" customHeight="1">
      <c r="A51" s="2553"/>
      <c r="B51" s="3558" t="s">
        <v>1346</v>
      </c>
      <c r="C51" s="3558"/>
      <c r="D51" s="1087"/>
      <c r="E51" s="327"/>
      <c r="F51" s="2424"/>
      <c r="G51" s="3630"/>
      <c r="H51" s="2312" t="s">
        <v>2136</v>
      </c>
      <c r="I51" s="2311"/>
      <c r="J51" s="2524" t="s">
        <v>1347</v>
      </c>
      <c r="K51" s="3622" t="s">
        <v>1348</v>
      </c>
      <c r="L51" s="3622"/>
      <c r="M51" s="2524" t="s">
        <v>1349</v>
      </c>
      <c r="N51" s="2524" t="s">
        <v>1350</v>
      </c>
      <c r="O51" s="2524" t="s">
        <v>1351</v>
      </c>
    </row>
    <row r="52" spans="1:35" ht="24" customHeight="1">
      <c r="A52" s="2335" t="s">
        <v>1352</v>
      </c>
      <c r="B52" s="3558" t="s">
        <v>1353</v>
      </c>
      <c r="C52" s="3558"/>
      <c r="D52" s="1087" t="e">
        <f ca="1">ROUND(D45*'数据-取费表'!B41/(1+'数据-取费表'!C42),0)</f>
        <v>#REF!</v>
      </c>
      <c r="E52" s="2334" t="s">
        <v>1354</v>
      </c>
      <c r="F52" s="2554">
        <f>'数据-取费表'!B41</f>
        <v>5.5000000000000007E-2</v>
      </c>
      <c r="G52" s="2555"/>
      <c r="H52" s="2544"/>
      <c r="I52" s="1807"/>
      <c r="J52" s="2523">
        <v>1</v>
      </c>
      <c r="K52" s="3623" t="s">
        <v>1355</v>
      </c>
      <c r="L52" s="3623"/>
      <c r="M52" s="2525" t="b">
        <f>D48</f>
        <v>0</v>
      </c>
      <c r="N52" s="2523" t="str">
        <f>E48</f>
        <v>销售额×税（费）率</v>
      </c>
      <c r="O52" s="2526">
        <f>F48</f>
        <v>5.5000000000000007E-2</v>
      </c>
    </row>
    <row r="53" spans="1:35" ht="12" customHeight="1">
      <c r="A53" s="2335" t="s">
        <v>1356</v>
      </c>
      <c r="B53" s="3584" t="s">
        <v>2291</v>
      </c>
      <c r="C53" s="3585"/>
      <c r="D53" s="1087" t="e">
        <f ca="1">ROUND(D45*'数据-取费表'!B41/(1+'数据-取费表'!C42),0)</f>
        <v>#REF!</v>
      </c>
      <c r="E53" s="2334" t="s">
        <v>1354</v>
      </c>
      <c r="F53" s="2554">
        <f>'数据-取费表'!B41</f>
        <v>5.5000000000000007E-2</v>
      </c>
      <c r="G53" s="2555"/>
      <c r="H53" s="2544"/>
      <c r="I53" s="1807"/>
      <c r="J53" s="2523">
        <v>2</v>
      </c>
      <c r="K53" s="3623" t="s">
        <v>1357</v>
      </c>
      <c r="L53" s="3623"/>
      <c r="M53" s="2525" t="e">
        <f t="shared" ref="M53:O54" ca="1" si="0">D55</f>
        <v>#REF!</v>
      </c>
      <c r="N53" s="2523" t="str">
        <f t="shared" si="0"/>
        <v>销售额×税（费）率</v>
      </c>
      <c r="O53" s="2526" t="str">
        <f t="shared" si="0"/>
        <v>免征</v>
      </c>
    </row>
    <row r="54" spans="1:35" ht="12" customHeight="1">
      <c r="A54" s="2335" t="s">
        <v>1358</v>
      </c>
      <c r="B54" s="3584" t="s">
        <v>2292</v>
      </c>
      <c r="C54" s="3585"/>
      <c r="D54" s="1087" t="e">
        <f ca="1">C68</f>
        <v>#REF!</v>
      </c>
      <c r="E54" s="327" t="s">
        <v>1359</v>
      </c>
      <c r="F54" s="2554">
        <f>'数据-取费表'!B41</f>
        <v>5.5000000000000007E-2</v>
      </c>
      <c r="G54" s="2555"/>
      <c r="H54" s="2556"/>
      <c r="I54" s="1807"/>
      <c r="J54" s="2523">
        <v>3</v>
      </c>
      <c r="K54" s="3623" t="s">
        <v>1360</v>
      </c>
      <c r="L54" s="3623"/>
      <c r="M54" s="2525" t="e">
        <f t="shared" ca="1" si="0"/>
        <v>#REF!</v>
      </c>
      <c r="N54" s="2523" t="str">
        <f t="shared" si="0"/>
        <v>增值额×税（费）率</v>
      </c>
      <c r="O54" s="2527" t="str">
        <f t="shared" si="0"/>
        <v>免征</v>
      </c>
    </row>
    <row r="55" spans="1:35" ht="24" customHeight="1">
      <c r="A55" s="3573" t="s">
        <v>1361</v>
      </c>
      <c r="B55" s="3574"/>
      <c r="C55" s="3574"/>
      <c r="D55" s="2324" t="e">
        <f ca="1">IF(H55="个人住宅",0,ROUND(D45*I55,0))</f>
        <v>#REF!</v>
      </c>
      <c r="E55" s="2334" t="s">
        <v>1362</v>
      </c>
      <c r="F55" s="2554" t="str">
        <f>IF(H55="正常",I55,"免征")</f>
        <v>免征</v>
      </c>
      <c r="G55" s="2555"/>
      <c r="H55" s="2550"/>
      <c r="I55" s="165">
        <f>'数据-取费表'!B49</f>
        <v>5.0000000000000001E-4</v>
      </c>
      <c r="J55" s="2523">
        <f>IF(H59="非个人房产","",4)</f>
        <v>4</v>
      </c>
      <c r="K55" s="3623" t="str">
        <f>IF(H59="非个人房产","——","个人所得税")</f>
        <v>个人所得税</v>
      </c>
      <c r="L55" s="3623"/>
      <c r="M55" s="2528" t="e">
        <f ca="1">D59</f>
        <v>#REF!</v>
      </c>
      <c r="N55" s="2040" t="str">
        <f>E59</f>
        <v>差额计税</v>
      </c>
      <c r="O55" s="2529">
        <f>F59</f>
        <v>0.01</v>
      </c>
    </row>
    <row r="56" spans="1:35" ht="24.75">
      <c r="A56" s="3573" t="s">
        <v>1363</v>
      </c>
      <c r="B56" s="3574"/>
      <c r="C56" s="3574"/>
      <c r="D56" s="2324" t="e">
        <f ca="1">IF(H56="个人住宅",D57,D58)</f>
        <v>#REF!</v>
      </c>
      <c r="E56" s="2334" t="s">
        <v>1364</v>
      </c>
      <c r="F56" s="2554" t="str">
        <f>IF(H56="正常",F58,"免征")</f>
        <v>免征</v>
      </c>
      <c r="G56" s="2557" t="s">
        <v>1365</v>
      </c>
      <c r="H56" s="2558"/>
      <c r="I56" s="1808"/>
      <c r="J56" s="2523" t="str">
        <f>IF(项目基本情况!K6="上海银行",IF(J55="",4,J55+1),"")</f>
        <v/>
      </c>
      <c r="K56" s="3646" t="str">
        <f>IF(项目基本情况!K6="上海银行","其他处置费用","")</f>
        <v/>
      </c>
      <c r="L56" s="3647"/>
      <c r="M56" s="2525" t="str">
        <f>IF(项目基本情况!K6="上海银行",M69,"")</f>
        <v/>
      </c>
      <c r="N56" s="3646" t="str">
        <f>IF(项目基本情况!K6="上海银行","包含处置中涉及的律师、诉讼、拍卖、评估等费用","")</f>
        <v/>
      </c>
      <c r="O56" s="3649"/>
    </row>
    <row r="57" spans="1:35" ht="12.75">
      <c r="A57" s="2335" t="s">
        <v>1341</v>
      </c>
      <c r="B57" s="3584" t="s">
        <v>1366</v>
      </c>
      <c r="C57" s="3585"/>
      <c r="D57" s="1590">
        <v>0</v>
      </c>
      <c r="E57" s="324" t="s">
        <v>1343</v>
      </c>
      <c r="F57" s="302"/>
      <c r="G57" s="2555"/>
      <c r="H57" s="2559"/>
      <c r="I57" s="1808"/>
      <c r="J57" s="3623">
        <f>IF(AND(J55="",J56=""),4,IF(项目基本情况!K6="上海银行",结果表!J56+1,结果表!J55+1))</f>
        <v>5</v>
      </c>
      <c r="K57" s="3623" t="s">
        <v>1367</v>
      </c>
      <c r="L57" s="2530" t="s">
        <v>1368</v>
      </c>
      <c r="M57" s="2531"/>
      <c r="N57" s="2532">
        <f ca="1">SUMIF(M52:M56,"&lt;9e307")</f>
        <v>0</v>
      </c>
      <c r="O57" s="2533"/>
      <c r="P57" s="2690" t="e">
        <f ca="1">N57/M49</f>
        <v>#VALUE!</v>
      </c>
    </row>
    <row r="58" spans="1:35" ht="24.75">
      <c r="A58" s="2335" t="s">
        <v>1352</v>
      </c>
      <c r="B58" s="3584" t="s">
        <v>1369</v>
      </c>
      <c r="C58" s="3558"/>
      <c r="D58" s="2324" t="e">
        <f ca="1">IF(H58="转让取得",C81,C97)</f>
        <v>#REF!</v>
      </c>
      <c r="E58" s="2334" t="s">
        <v>1364</v>
      </c>
      <c r="F58" s="302" t="s">
        <v>28</v>
      </c>
      <c r="G58" s="2555"/>
      <c r="H58" s="2558"/>
      <c r="I58" s="1808"/>
      <c r="J58" s="3623"/>
      <c r="K58" s="3623"/>
      <c r="L58" s="2530" t="s">
        <v>1370</v>
      </c>
      <c r="M58" s="2534"/>
      <c r="N58" s="2535" t="str">
        <f ca="1">NUMBERSTRING(INT(N57*10000),2)&amp;"元整"</f>
        <v>零元整</v>
      </c>
      <c r="O58" s="2536"/>
    </row>
    <row r="59" spans="1:35" ht="24.75" thickBot="1">
      <c r="A59" s="3626" t="s">
        <v>1371</v>
      </c>
      <c r="B59" s="3627"/>
      <c r="C59" s="3627"/>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24">
        <f>J57+1</f>
        <v>6</v>
      </c>
      <c r="K59" s="3623" t="s">
        <v>1372</v>
      </c>
      <c r="L59" s="2523" t="s">
        <v>1368</v>
      </c>
      <c r="M59" s="2537"/>
      <c r="N59" s="2538" t="e">
        <f ca="1">M49-N57</f>
        <v>#VALUE!</v>
      </c>
      <c r="O59" s="2539"/>
    </row>
    <row r="60" spans="1:35" ht="12" customHeight="1">
      <c r="A60" s="1809"/>
      <c r="B60" s="1747"/>
      <c r="C60" s="1747"/>
      <c r="D60" s="1747"/>
      <c r="E60" s="1578"/>
      <c r="F60" s="1808"/>
      <c r="G60" s="1808"/>
      <c r="H60" s="1810"/>
      <c r="I60" s="129"/>
      <c r="J60" s="3625"/>
      <c r="K60" s="3623"/>
      <c r="L60" s="2530" t="s">
        <v>1370</v>
      </c>
      <c r="M60" s="2534"/>
      <c r="N60" s="2535" t="e">
        <f ca="1">NUMBERSTRING(INT(N59*10000),2)&amp;"元整"</f>
        <v>#VALUE!</v>
      </c>
      <c r="O60" s="2536"/>
    </row>
    <row r="61" spans="1:35" ht="13.5" thickBot="1">
      <c r="A61" s="3571" t="s">
        <v>1373</v>
      </c>
      <c r="B61" s="3571"/>
      <c r="C61" s="3571"/>
      <c r="D61" s="3571"/>
      <c r="E61" s="3571"/>
      <c r="F61" s="1808"/>
      <c r="G61" s="1808"/>
      <c r="H61" s="1810"/>
      <c r="I61" s="129"/>
      <c r="J61" s="2523">
        <f>J59+1</f>
        <v>7</v>
      </c>
      <c r="K61" s="3623" t="s">
        <v>1374</v>
      </c>
      <c r="L61" s="3623"/>
      <c r="M61" s="2540"/>
      <c r="N61" s="2541" t="e">
        <f ca="1">ROUND(N59*10000/'数据-汇总表'!E3,0)</f>
        <v>#VALUE!</v>
      </c>
      <c r="O61" s="2542"/>
    </row>
    <row r="62" spans="1:35" ht="12.75">
      <c r="A62" s="3589" t="s">
        <v>1375</v>
      </c>
      <c r="B62" s="3590"/>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48"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4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48"/>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48"/>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4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648"/>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48"/>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0" t="s">
        <v>1394</v>
      </c>
      <c r="B70" s="3611"/>
      <c r="C70" s="3611"/>
      <c r="D70" s="3611"/>
      <c r="E70" s="3611"/>
      <c r="F70" s="3611"/>
      <c r="G70" s="3611"/>
      <c r="H70" s="361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9" t="s">
        <v>1375</v>
      </c>
      <c r="B71" s="359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4" t="s">
        <v>1402</v>
      </c>
      <c r="F76" s="3558"/>
      <c r="G76" s="3558"/>
      <c r="H76" s="360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568" t="s">
        <v>1406</v>
      </c>
      <c r="F78" s="3569"/>
      <c r="G78" s="3569"/>
      <c r="H78" s="357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0" t="s">
        <v>1410</v>
      </c>
      <c r="B83" s="3611"/>
      <c r="C83" s="3611"/>
      <c r="D83" s="3611"/>
      <c r="E83" s="3611"/>
      <c r="F83" s="3611"/>
      <c r="G83" s="3611"/>
      <c r="H83" s="361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9" t="s">
        <v>1375</v>
      </c>
      <c r="B84" s="359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50" t="s">
        <v>2129</v>
      </c>
      <c r="H90" s="365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8" t="s">
        <v>1419</v>
      </c>
      <c r="F91" s="3569"/>
      <c r="G91" s="356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8" t="s">
        <v>1422</v>
      </c>
      <c r="F92" s="3569"/>
      <c r="G92" s="3569"/>
      <c r="H92" s="357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568" t="s">
        <v>1406</v>
      </c>
      <c r="F93" s="3569"/>
      <c r="G93" s="3569"/>
      <c r="H93" s="357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9" t="s">
        <v>1426</v>
      </c>
      <c r="F94" s="3580"/>
      <c r="G94" s="3580"/>
      <c r="H94" s="358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2" t="s">
        <v>1428</v>
      </c>
      <c r="B100" s="3553"/>
      <c r="C100" s="3553"/>
      <c r="D100" s="3570"/>
      <c r="E100" s="3553" t="s">
        <v>1429</v>
      </c>
      <c r="F100" s="3553"/>
      <c r="G100" s="3553"/>
      <c r="H100" s="3570"/>
      <c r="I100" s="129"/>
    </row>
    <row r="101" spans="1:35" ht="18.75" customHeight="1">
      <c r="A101" s="3631" t="s">
        <v>1430</v>
      </c>
      <c r="B101" s="3632"/>
      <c r="C101" s="2585" t="str">
        <f>C4</f>
        <v>比较法-办公</v>
      </c>
      <c r="D101" s="2586" t="str">
        <f>D4</f>
        <v>收益法 (元)</v>
      </c>
      <c r="E101" s="3645" t="s">
        <v>1431</v>
      </c>
      <c r="F101" s="3602"/>
      <c r="G101" s="1827" t="s">
        <v>1432</v>
      </c>
      <c r="H101" s="2595" t="e">
        <f ca="1">H118</f>
        <v>#REF!</v>
      </c>
      <c r="I101" s="129"/>
    </row>
    <row r="102" spans="1:35" ht="18.75" customHeight="1">
      <c r="A102" s="3604" t="s">
        <v>1433</v>
      </c>
      <c r="B102" s="2584" t="s">
        <v>1432</v>
      </c>
      <c r="C102" s="2585">
        <f ca="1">IF(D32="楼面单价",ROUND(C19,0),C19)</f>
        <v>64.131</v>
      </c>
      <c r="D102" s="2586">
        <f ca="1">IF(D32="楼面单价",ROUND(D19,0),D19)</f>
        <v>63.839599999999997</v>
      </c>
      <c r="E102" s="3645"/>
      <c r="F102" s="3602"/>
      <c r="G102" s="1827" t="s">
        <v>1434</v>
      </c>
      <c r="H102" s="2555" t="e">
        <f ca="1">I118</f>
        <v>#REF!</v>
      </c>
      <c r="I102" s="129"/>
    </row>
    <row r="103" spans="1:35" ht="42.75" customHeight="1">
      <c r="A103" s="3604"/>
      <c r="B103" s="2584" t="s">
        <v>1434</v>
      </c>
      <c r="C103" s="2587">
        <f ca="1">C20</f>
        <v>18659</v>
      </c>
      <c r="D103" s="2588">
        <f ca="1">D20</f>
        <v>18574</v>
      </c>
      <c r="E103" s="3639" t="s">
        <v>1435</v>
      </c>
      <c r="F103" s="3640"/>
      <c r="G103" s="1828" t="s">
        <v>1436</v>
      </c>
      <c r="H103" s="2595">
        <f>IF(D36="正常操作",H104+H105+H106,H105+H106)</f>
        <v>0</v>
      </c>
      <c r="I103" s="129"/>
    </row>
    <row r="104" spans="1:35" ht="18.75" customHeight="1">
      <c r="A104" s="3604"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05"/>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01" t="str">
        <f>IF(项目基本情况!E8="已注销","——","3.房地产抵押价值")</f>
        <v>3.房地产抵押价值</v>
      </c>
      <c r="F107" s="3602"/>
      <c r="G107" s="1827" t="s">
        <v>1432</v>
      </c>
      <c r="H107" s="2595" t="e">
        <f ca="1">IF(E107="——","——",H101-H103)</f>
        <v>#REF!</v>
      </c>
      <c r="I107" s="129"/>
    </row>
    <row r="108" spans="1:35" ht="18.75" customHeight="1">
      <c r="A108" s="129"/>
      <c r="B108" s="129"/>
      <c r="C108" s="129"/>
      <c r="D108" s="129"/>
      <c r="E108" s="3601"/>
      <c r="F108" s="3602"/>
      <c r="G108" s="1827" t="s">
        <v>1434</v>
      </c>
      <c r="H108" s="2555">
        <f ca="1">IF(H107=H101,H102,ROUND(H107*10000/'数据-汇总表'!E3,0))</f>
        <v>0</v>
      </c>
      <c r="I108" s="129"/>
    </row>
    <row r="109" spans="1:35" ht="18.75" customHeight="1">
      <c r="A109" s="129"/>
      <c r="B109" s="129"/>
      <c r="C109" s="129"/>
      <c r="D109" s="129"/>
      <c r="E109" s="3601" t="str">
        <f>IF(项目基本情况!E8="已注销及未注销","4.抵押担保权已注销时的房地产抵押价值",IF(项目基本情况!E8="已注销","3.抵押担保权已注销时的房地产抵押价值","——"))</f>
        <v>——</v>
      </c>
      <c r="F109" s="3602"/>
      <c r="G109" s="1827" t="s">
        <v>1432</v>
      </c>
      <c r="H109" s="2598" t="str">
        <f>IF(E109="——","——",H101-H105-H106)</f>
        <v>——</v>
      </c>
      <c r="I109" s="129"/>
    </row>
    <row r="110" spans="1:35" ht="18.75" customHeight="1">
      <c r="A110" s="129"/>
      <c r="B110" s="129"/>
      <c r="C110" s="129"/>
      <c r="D110" s="129"/>
      <c r="E110" s="3601"/>
      <c r="F110" s="3602"/>
      <c r="G110" s="1827" t="s">
        <v>1434</v>
      </c>
      <c r="H110" s="2555" t="str">
        <f>IF(H109="——","——",ROUND(H109*10000/'数据-汇总表'!E3,0))</f>
        <v>——</v>
      </c>
      <c r="I110" s="129"/>
    </row>
    <row r="111" spans="1:35" ht="18.75" customHeight="1">
      <c r="A111" s="129"/>
      <c r="B111" s="129"/>
      <c r="C111" s="129"/>
      <c r="D111" s="129"/>
      <c r="E111" s="3633" t="str">
        <f>IF(项目基本情况!E9="抵押净值",IF(OR(项目基本情况!E8="已注销",项目基本情况!E8="房地产抵押价值"),"4.抵押净值","5.抵押净值"),"——")</f>
        <v>——</v>
      </c>
      <c r="F111" s="3603"/>
      <c r="G111" s="1827" t="s">
        <v>1432</v>
      </c>
      <c r="H111" s="2595" t="str">
        <f>IF(E111="——","——",N59)</f>
        <v>——</v>
      </c>
      <c r="I111" s="129"/>
    </row>
    <row r="112" spans="1:35" ht="18.75" customHeight="1" thickBot="1">
      <c r="A112" s="129"/>
      <c r="B112" s="129"/>
      <c r="C112" s="129"/>
      <c r="D112" s="129"/>
      <c r="E112" s="3634"/>
      <c r="F112" s="3635"/>
      <c r="G112" s="1830" t="s">
        <v>1434</v>
      </c>
      <c r="H112" s="2599" t="str">
        <f>IF(E111="——","——",N61)</f>
        <v>——</v>
      </c>
      <c r="I112" s="129"/>
    </row>
    <row r="113" spans="1:27" ht="18.75" customHeight="1">
      <c r="A113" s="129"/>
      <c r="B113" s="129"/>
      <c r="C113" s="129"/>
      <c r="D113" s="129"/>
      <c r="E113" s="3606" t="s">
        <v>1440</v>
      </c>
      <c r="F113" s="3606"/>
      <c r="G113" s="3606"/>
      <c r="H113" s="3606"/>
      <c r="I113" s="129"/>
    </row>
    <row r="114" spans="1:27" ht="3.75" customHeight="1">
      <c r="A114" s="1747"/>
      <c r="B114" s="1747"/>
      <c r="C114" s="1747"/>
      <c r="D114" s="1747"/>
      <c r="E114" s="1809"/>
      <c r="F114" s="1809"/>
      <c r="G114" s="1809"/>
      <c r="H114" s="1809"/>
      <c r="I114" s="1747"/>
    </row>
    <row r="115" spans="1:27" ht="18.75" customHeight="1">
      <c r="A115" s="3616" t="s">
        <v>1442</v>
      </c>
      <c r="B115" s="3617"/>
      <c r="C115" s="3617"/>
      <c r="D115" s="3617"/>
      <c r="E115" s="3617"/>
      <c r="F115" s="3617"/>
      <c r="G115" s="3617"/>
      <c r="H115" s="3617"/>
      <c r="I115" s="3618"/>
    </row>
    <row r="116" spans="1:27" ht="27" customHeight="1">
      <c r="A116" s="3572" t="s">
        <v>1443</v>
      </c>
      <c r="B116" s="3607" t="s">
        <v>1444</v>
      </c>
      <c r="C116" s="3607" t="s">
        <v>1445</v>
      </c>
      <c r="D116" s="3620" t="s">
        <v>1446</v>
      </c>
      <c r="E116" s="3621"/>
      <c r="F116" s="3615" t="s">
        <v>1447</v>
      </c>
      <c r="G116" s="3615"/>
      <c r="H116" s="3572" t="s">
        <v>1448</v>
      </c>
      <c r="I116" s="3572"/>
    </row>
    <row r="117" spans="1:27" ht="18.75" customHeight="1">
      <c r="A117" s="3572"/>
      <c r="B117" s="3608"/>
      <c r="C117" s="3608"/>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34.369999999999997</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72" t="s">
        <v>1452</v>
      </c>
      <c r="B119" s="3572"/>
      <c r="C119" s="3572"/>
      <c r="D119" s="3612" t="e">
        <f ca="1">NUMBERSTRING(INT(D118*10000),2)&amp;"元整"</f>
        <v>#REF!</v>
      </c>
      <c r="E119" s="3614"/>
      <c r="F119" s="3612" t="e">
        <f ca="1">NUMBERSTRING(INT(F118*10000),2)&amp;"元整"</f>
        <v>#REF!</v>
      </c>
      <c r="G119" s="3614"/>
      <c r="H119" s="3612" t="e">
        <f ca="1">NUMBERSTRING(INT(H118*10000),2)&amp;"元整"</f>
        <v>#REF!</v>
      </c>
      <c r="I119" s="3614"/>
    </row>
    <row r="120" spans="1:27" ht="18.75" customHeight="1">
      <c r="A120" s="3636" t="str">
        <f>IF(项目基本情况!B9="房地产市场价值","",MID(E103,3,LEN(E103)-2))</f>
        <v>估价师知悉的法定优先受偿款</v>
      </c>
      <c r="B120" s="3637"/>
      <c r="C120" s="3638"/>
      <c r="D120" s="3636">
        <f>H103</f>
        <v>0</v>
      </c>
      <c r="E120" s="3637"/>
      <c r="F120" s="3637"/>
      <c r="G120" s="3637"/>
      <c r="H120" s="3637"/>
      <c r="I120" s="363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2" t="s">
        <v>1452</v>
      </c>
      <c r="B121" s="3613"/>
      <c r="C121" s="3614"/>
      <c r="D121" s="3612" t="str">
        <f>IF(D120=0,"零元整",NUMBERSTRING(INT(D120*10000),2)&amp;"元整")</f>
        <v>零元整</v>
      </c>
      <c r="E121" s="3613"/>
      <c r="F121" s="3613"/>
      <c r="G121" s="3613"/>
      <c r="H121" s="3613"/>
      <c r="I121" s="3614"/>
      <c r="AA121" s="725"/>
    </row>
    <row r="122" spans="1:27" ht="18.75" customHeight="1">
      <c r="A122" s="3603" t="str">
        <f>IF(项目基本情况!B9="房地产市场价值","",MID(E107,3,LEN(E107)-2))</f>
        <v>房地产抵押价值</v>
      </c>
      <c r="B122" s="3603"/>
      <c r="C122" s="3603"/>
      <c r="D122" s="3636" t="e">
        <f ca="1">H107</f>
        <v>#REF!</v>
      </c>
      <c r="E122" s="3637"/>
      <c r="F122" s="3637"/>
      <c r="G122" s="3637"/>
      <c r="H122" s="3637"/>
      <c r="I122" s="3638"/>
      <c r="AA122" s="725"/>
    </row>
    <row r="123" spans="1:27" ht="18.75" customHeight="1">
      <c r="A123" s="3572" t="s">
        <v>1452</v>
      </c>
      <c r="B123" s="3572"/>
      <c r="C123" s="3572"/>
      <c r="D123" s="3612" t="e">
        <f ca="1">NUMBERSTRING(INT(D122*10000),2)&amp;"元整"</f>
        <v>#REF!</v>
      </c>
      <c r="E123" s="3613"/>
      <c r="F123" s="3613"/>
      <c r="G123" s="3613"/>
      <c r="H123" s="3613"/>
      <c r="I123" s="3614"/>
      <c r="AA123" s="725"/>
    </row>
    <row r="124" spans="1:27" ht="18.75" customHeight="1">
      <c r="A124" s="3603" t="str">
        <f>IF(项目基本情况!B9="房地产市场价值","",MID(E109,3,LEN(E109)-2))</f>
        <v/>
      </c>
      <c r="B124" s="3603"/>
      <c r="C124" s="3603"/>
      <c r="D124" s="3636" t="str">
        <f>H109</f>
        <v>——</v>
      </c>
      <c r="E124" s="3637"/>
      <c r="F124" s="3637"/>
      <c r="G124" s="3637"/>
      <c r="H124" s="3637"/>
      <c r="I124" s="3638"/>
      <c r="AA124" s="725"/>
    </row>
    <row r="125" spans="1:27" ht="18.75" customHeight="1">
      <c r="A125" s="3572" t="s">
        <v>1452</v>
      </c>
      <c r="B125" s="3572"/>
      <c r="C125" s="3572"/>
      <c r="D125" s="3612" t="e">
        <f>NUMBERSTRING(INT(D124*10000),2)&amp;"元整"</f>
        <v>#VALUE!</v>
      </c>
      <c r="E125" s="3613"/>
      <c r="F125" s="3613"/>
      <c r="G125" s="3613"/>
      <c r="H125" s="3613"/>
      <c r="I125" s="3614"/>
      <c r="AA125" s="725"/>
    </row>
    <row r="126" spans="1:27" ht="18.75" customHeight="1">
      <c r="A126" s="3603" t="str">
        <f>IF(项目基本情况!B9="房地产市场价值","",MID(E111,3,LEN(E111)-2))</f>
        <v/>
      </c>
      <c r="B126" s="3603"/>
      <c r="C126" s="3603"/>
      <c r="D126" s="3636" t="str">
        <f>H111</f>
        <v>——</v>
      </c>
      <c r="E126" s="3637"/>
      <c r="F126" s="3637"/>
      <c r="G126" s="3637"/>
      <c r="H126" s="3637"/>
      <c r="I126" s="3638"/>
      <c r="AA126" s="725"/>
    </row>
    <row r="127" spans="1:27" ht="18.75" customHeight="1">
      <c r="A127" s="3572" t="s">
        <v>1452</v>
      </c>
      <c r="B127" s="3572"/>
      <c r="C127" s="3572"/>
      <c r="D127" s="3612" t="e">
        <f>NUMBERSTRING(INT(D126*10000),2)&amp;"元整"</f>
        <v>#VALUE!</v>
      </c>
      <c r="E127" s="3613"/>
      <c r="F127" s="3613"/>
      <c r="G127" s="3613"/>
      <c r="H127" s="3613"/>
      <c r="I127" s="3614"/>
      <c r="AA127" s="725"/>
    </row>
    <row r="128" spans="1:27" ht="21.75" customHeight="1">
      <c r="A128" s="3619" t="s">
        <v>1453</v>
      </c>
      <c r="B128" s="3619"/>
      <c r="C128" s="3619"/>
      <c r="D128" s="3619"/>
      <c r="E128" s="3619"/>
      <c r="F128" s="3619"/>
      <c r="G128" s="3619"/>
      <c r="H128" s="3619"/>
      <c r="I128" s="361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301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87576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200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200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v>
      </c>
      <c r="D10" s="845">
        <f ca="1">IF(B1="",'数据-汇总表'!E6,IF(INDIRECT("'数据-取费表'!c"&amp;$G$1)="住宅",INDIRECT("'数据-取费表'!s"&amp;$G$1),INDIRECT("'数据-取费表'!k"&amp;$G$1)+INDIRECT("'数据-取费表'!s"&amp;$G$1)))</f>
        <v>34.369999999999997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34.369999999999997</v>
      </c>
      <c r="E19" s="211">
        <f>'数据-取费表'!B31</f>
        <v>200</v>
      </c>
      <c r="F19" s="231"/>
      <c r="G19" s="1856"/>
    </row>
    <row r="20" spans="1:7" s="214" customFormat="1" ht="13.5" customHeight="1">
      <c r="A20" s="255" t="s">
        <v>1493</v>
      </c>
      <c r="B20" s="210" t="s">
        <v>1494</v>
      </c>
      <c r="C20" s="232">
        <f ca="1">ROUND((C5+C19)*F20,0)</f>
        <v>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19</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41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41</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287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v>
      </c>
      <c r="D37" s="217">
        <f ca="1">D19</f>
        <v>34.369999999999997</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52" t="s">
        <v>1544</v>
      </c>
    </row>
    <row r="43" spans="1:7" ht="13.5" customHeight="1">
      <c r="A43" s="780" t="s">
        <v>347</v>
      </c>
      <c r="B43" s="215" t="s">
        <v>1545</v>
      </c>
      <c r="C43" s="238">
        <f ca="1">ROUND(IF('数据-取费表'!B22&lt;=1,C39*F22*'数据-取费表'!B21/2,C39*(POWER((1+F22),'数据-取费表'!B21/2)-1)),0)</f>
        <v>0</v>
      </c>
      <c r="D43" s="238"/>
      <c r="E43" s="238"/>
      <c r="F43" s="239"/>
      <c r="G43" s="3653"/>
    </row>
    <row r="44" spans="1:7" ht="13.5" customHeight="1">
      <c r="A44" s="780" t="s">
        <v>348</v>
      </c>
      <c r="B44" s="215" t="s">
        <v>1546</v>
      </c>
      <c r="C44" s="238">
        <f ca="1">ROUND(IF('数据-取费表'!B22&lt;=1,C40*F22*'数据-取费表'!B21/2,C40*(POWER((1+F22),'数据-取费表'!B21/2)-1)),4)</f>
        <v>1E-3</v>
      </c>
      <c r="D44" s="238"/>
      <c r="E44" s="238"/>
      <c r="F44" s="239"/>
      <c r="G44" s="3654"/>
    </row>
    <row r="45" spans="1:7" s="214" customFormat="1" ht="13.5" customHeight="1">
      <c r="A45" s="255" t="s">
        <v>1547</v>
      </c>
      <c r="B45" s="244" t="s">
        <v>1513</v>
      </c>
      <c r="C45" s="245">
        <f ca="1">C46</f>
        <v>2</v>
      </c>
      <c r="D45" s="235">
        <f ca="1">C47</f>
        <v>4.0000000000000001E-3</v>
      </c>
      <c r="E45" s="236" t="s">
        <v>1539</v>
      </c>
      <c r="F45" s="246">
        <f ca="1">F27</f>
        <v>0.2</v>
      </c>
      <c r="G45" s="247" t="s">
        <v>1548</v>
      </c>
    </row>
    <row r="46" spans="1:7" s="214" customFormat="1" ht="13.5" customHeight="1">
      <c r="A46" s="780" t="s">
        <v>346</v>
      </c>
      <c r="B46" s="248" t="s">
        <v>1549</v>
      </c>
      <c r="C46" s="249">
        <f ca="1">ROUND((C33+C39)*F27,0)</f>
        <v>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16</v>
      </c>
      <c r="D49" s="232"/>
      <c r="E49" s="232"/>
      <c r="F49" s="264"/>
      <c r="G49" s="234" t="s">
        <v>1554</v>
      </c>
    </row>
    <row r="50" spans="1:7" s="258" customFormat="1" ht="24">
      <c r="A50" s="255" t="s">
        <v>1555</v>
      </c>
      <c r="B50" s="210" t="s">
        <v>1556</v>
      </c>
      <c r="C50" s="232"/>
      <c r="D50" s="232"/>
      <c r="E50" s="232"/>
      <c r="F50" s="264">
        <f>IF('数据-取费表'!B24=0,'数据-取费表'!N16,1)</f>
        <v>0.89</v>
      </c>
      <c r="G50" s="247" t="s">
        <v>1557</v>
      </c>
    </row>
    <row r="51" spans="1:7" ht="16.5" customHeight="1">
      <c r="A51" s="255" t="s">
        <v>1558</v>
      </c>
      <c r="B51" s="210" t="s">
        <v>1559</v>
      </c>
      <c r="C51" s="232">
        <f ca="1">ROUND(C49*F50,0)</f>
        <v>14</v>
      </c>
      <c r="D51" s="232"/>
      <c r="E51" s="232"/>
      <c r="F51" s="264"/>
      <c r="G51" s="234" t="s">
        <v>1560</v>
      </c>
    </row>
    <row r="52" spans="1:7" s="208" customFormat="1" ht="16.5" thickBot="1">
      <c r="A52" s="265" t="s">
        <v>1561</v>
      </c>
      <c r="B52" s="266"/>
      <c r="C52" s="267">
        <f ca="1">C31+C51</f>
        <v>301</v>
      </c>
      <c r="D52" s="266"/>
      <c r="E52" s="266"/>
      <c r="F52" s="266"/>
      <c r="G52" s="268"/>
    </row>
    <row r="55" spans="1:7" ht="15">
      <c r="B55" s="270" t="s">
        <v>1562</v>
      </c>
      <c r="C55" s="271"/>
    </row>
    <row r="56" spans="1:7">
      <c r="B56" s="273" t="s">
        <v>802</v>
      </c>
      <c r="C56" s="275">
        <f ca="1">1-C57</f>
        <v>0.95299999999999996</v>
      </c>
    </row>
    <row r="57" spans="1:7">
      <c r="B57" s="273" t="s">
        <v>803</v>
      </c>
      <c r="C57" s="274">
        <f ca="1">ROUND(C51/C52,3)</f>
        <v>4.7E-2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34.369999999999997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3" t="s">
        <v>1667</v>
      </c>
      <c r="D4" s="3674"/>
      <c r="E4" s="3675" t="s">
        <v>1668</v>
      </c>
      <c r="F4" s="3676"/>
      <c r="G4" s="3673" t="s">
        <v>1669</v>
      </c>
      <c r="H4" s="3674"/>
      <c r="I4" s="3673" t="s">
        <v>1670</v>
      </c>
      <c r="J4" s="3674"/>
      <c r="K4" s="1889" t="s">
        <v>1671</v>
      </c>
      <c r="L4" s="2715"/>
      <c r="M4" s="2716"/>
      <c r="N4" s="2716"/>
      <c r="O4" s="2716"/>
      <c r="P4" s="3677" t="s">
        <v>1672</v>
      </c>
      <c r="Q4" s="3678"/>
      <c r="R4" s="3683" t="s">
        <v>1668</v>
      </c>
      <c r="S4" s="3684"/>
      <c r="T4" s="3683" t="s">
        <v>1669</v>
      </c>
      <c r="U4" s="3684"/>
      <c r="V4" s="3689" t="s">
        <v>1670</v>
      </c>
      <c r="W4" s="3689"/>
      <c r="X4" s="1355"/>
      <c r="Y4" s="3683" t="s">
        <v>1672</v>
      </c>
      <c r="Z4" s="3684"/>
      <c r="AA4" s="3670" t="s">
        <v>1668</v>
      </c>
      <c r="AB4" s="3670" t="s">
        <v>1669</v>
      </c>
      <c r="AC4" s="3670" t="s">
        <v>1670</v>
      </c>
    </row>
    <row r="5" spans="1:29" ht="15">
      <c r="A5" s="358"/>
      <c r="B5" s="359"/>
      <c r="C5" s="3692" t="s">
        <v>1673</v>
      </c>
      <c r="D5" s="3693"/>
      <c r="E5" s="3699" t="s">
        <v>1674</v>
      </c>
      <c r="F5" s="3700"/>
      <c r="G5" s="3692" t="s">
        <v>1675</v>
      </c>
      <c r="H5" s="3693"/>
      <c r="I5" s="3692" t="s">
        <v>1676</v>
      </c>
      <c r="J5" s="3693"/>
      <c r="K5" s="1890"/>
      <c r="L5" s="2715"/>
      <c r="M5" s="2716"/>
      <c r="N5" s="2716"/>
      <c r="O5" s="2716"/>
      <c r="P5" s="3679"/>
      <c r="Q5" s="3680"/>
      <c r="R5" s="3685"/>
      <c r="S5" s="3686"/>
      <c r="T5" s="3685"/>
      <c r="U5" s="3686"/>
      <c r="V5" s="3689"/>
      <c r="W5" s="3689"/>
      <c r="X5" s="1355"/>
      <c r="Y5" s="3685"/>
      <c r="Z5" s="3686"/>
      <c r="AA5" s="3671"/>
      <c r="AB5" s="3671"/>
      <c r="AC5" s="3671"/>
    </row>
    <row r="6" spans="1:29" ht="15.75" thickBot="1">
      <c r="A6" s="360"/>
      <c r="B6" s="361"/>
      <c r="C6" s="3690" t="s">
        <v>1677</v>
      </c>
      <c r="D6" s="3691"/>
      <c r="E6" s="3697" t="s">
        <v>1677</v>
      </c>
      <c r="F6" s="3698"/>
      <c r="G6" s="3690" t="s">
        <v>1677</v>
      </c>
      <c r="H6" s="3691"/>
      <c r="I6" s="3690" t="s">
        <v>1677</v>
      </c>
      <c r="J6" s="3691"/>
      <c r="K6" s="1890" t="s">
        <v>1678</v>
      </c>
      <c r="L6" s="2715"/>
      <c r="M6" s="2716"/>
      <c r="N6" s="2716"/>
      <c r="O6" s="2716"/>
      <c r="P6" s="3681"/>
      <c r="Q6" s="3682"/>
      <c r="R6" s="3685"/>
      <c r="S6" s="3686"/>
      <c r="T6" s="3687"/>
      <c r="U6" s="3688"/>
      <c r="V6" s="3689"/>
      <c r="W6" s="3689"/>
      <c r="X6" s="1355"/>
      <c r="Y6" s="3687"/>
      <c r="Z6" s="3688"/>
      <c r="AA6" s="3672"/>
      <c r="AB6" s="3672"/>
      <c r="AC6" s="3672"/>
    </row>
    <row r="7" spans="1:29" s="108" customFormat="1" ht="15.75" thickBot="1">
      <c r="A7" s="362" t="s">
        <v>1679</v>
      </c>
      <c r="B7" s="363"/>
      <c r="C7" s="364">
        <f>'数据-取费表'!B2</f>
        <v>45257</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94" t="s">
        <v>1680</v>
      </c>
      <c r="Q7" s="3696"/>
      <c r="R7" s="701" t="s">
        <v>20</v>
      </c>
      <c r="S7" s="702">
        <f t="shared" ref="S7:S15" si="0">F7</f>
        <v>0</v>
      </c>
      <c r="T7" s="701" t="s">
        <v>20</v>
      </c>
      <c r="U7" s="702">
        <f t="shared" ref="U7:U15" si="1">H7</f>
        <v>0</v>
      </c>
      <c r="V7" s="701" t="s">
        <v>20</v>
      </c>
      <c r="W7" s="702">
        <f t="shared" ref="W7:W15"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94" t="s">
        <v>1683</v>
      </c>
      <c r="Q8" s="3695"/>
      <c r="R8" s="701" t="s">
        <v>20</v>
      </c>
      <c r="S8" s="702">
        <f t="shared" si="0"/>
        <v>100</v>
      </c>
      <c r="T8" s="701" t="s">
        <v>20</v>
      </c>
      <c r="U8" s="702">
        <f t="shared" si="1"/>
        <v>100</v>
      </c>
      <c r="V8" s="701" t="s">
        <v>20</v>
      </c>
      <c r="W8" s="702">
        <f t="shared" si="2"/>
        <v>100</v>
      </c>
      <c r="X8" s="703"/>
      <c r="Y8" s="3694" t="s">
        <v>1683</v>
      </c>
      <c r="Z8" s="369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69"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69"/>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69"/>
      <c r="Q11" s="1343" t="str">
        <f t="shared" si="6"/>
        <v>容积率</v>
      </c>
      <c r="R11" s="701" t="s">
        <v>18</v>
      </c>
      <c r="S11" s="702" t="e">
        <f t="shared" si="0"/>
        <v>#N/A</v>
      </c>
      <c r="T11" s="701" t="s">
        <v>18</v>
      </c>
      <c r="U11" s="702" t="e">
        <f t="shared" si="1"/>
        <v>#N/A</v>
      </c>
      <c r="V11" s="701" t="s">
        <v>18</v>
      </c>
      <c r="W11" s="702" t="e">
        <f t="shared" si="2"/>
        <v>#N/A</v>
      </c>
      <c r="X11" s="703"/>
      <c r="Y11" s="355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69"/>
      <c r="Q12" s="1343">
        <f t="shared" si="6"/>
        <v>111</v>
      </c>
      <c r="R12" s="701" t="s">
        <v>18</v>
      </c>
      <c r="S12" s="702">
        <f t="shared" si="0"/>
        <v>100</v>
      </c>
      <c r="T12" s="701" t="s">
        <v>18</v>
      </c>
      <c r="U12" s="702">
        <f t="shared" si="1"/>
        <v>100</v>
      </c>
      <c r="V12" s="701" t="s">
        <v>18</v>
      </c>
      <c r="W12" s="702">
        <f t="shared" si="2"/>
        <v>100</v>
      </c>
      <c r="X12" s="703"/>
      <c r="Y12" s="355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69"/>
      <c r="Q13" s="1343">
        <f t="shared" si="6"/>
        <v>111</v>
      </c>
      <c r="R13" s="701" t="s">
        <v>18</v>
      </c>
      <c r="S13" s="702">
        <f t="shared" si="0"/>
        <v>100</v>
      </c>
      <c r="T13" s="701" t="s">
        <v>18</v>
      </c>
      <c r="U13" s="702">
        <f t="shared" si="1"/>
        <v>100</v>
      </c>
      <c r="V13" s="701" t="s">
        <v>18</v>
      </c>
      <c r="W13" s="702">
        <f t="shared" si="2"/>
        <v>100</v>
      </c>
      <c r="X13" s="703"/>
      <c r="Y13" s="355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69"/>
      <c r="Q14" s="1343">
        <f t="shared" si="6"/>
        <v>111</v>
      </c>
      <c r="R14" s="701" t="s">
        <v>18</v>
      </c>
      <c r="S14" s="702">
        <f t="shared" si="0"/>
        <v>100</v>
      </c>
      <c r="T14" s="701" t="s">
        <v>18</v>
      </c>
      <c r="U14" s="702">
        <f t="shared" si="1"/>
        <v>100</v>
      </c>
      <c r="V14" s="701" t="s">
        <v>18</v>
      </c>
      <c r="W14" s="702">
        <f t="shared" si="2"/>
        <v>100</v>
      </c>
      <c r="X14" s="703"/>
      <c r="Y14" s="355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67" t="s">
        <v>1691</v>
      </c>
      <c r="Q15" s="1352" t="str">
        <f t="shared" si="6"/>
        <v>居住社区成熟度</v>
      </c>
      <c r="R15" s="705" t="s">
        <v>18</v>
      </c>
      <c r="S15" s="706">
        <f t="shared" si="0"/>
        <v>100</v>
      </c>
      <c r="T15" s="705" t="s">
        <v>18</v>
      </c>
      <c r="U15" s="706">
        <f t="shared" si="1"/>
        <v>100</v>
      </c>
      <c r="V15" s="705" t="s">
        <v>18</v>
      </c>
      <c r="W15" s="706">
        <f t="shared" si="2"/>
        <v>100</v>
      </c>
      <c r="X15" s="1355"/>
      <c r="Y15" s="366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68"/>
      <c r="Q16" s="1352"/>
      <c r="R16" s="705"/>
      <c r="S16" s="706"/>
      <c r="T16" s="705"/>
      <c r="U16" s="706"/>
      <c r="V16" s="705"/>
      <c r="W16" s="706"/>
      <c r="X16" s="1355"/>
      <c r="Y16" s="366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68"/>
      <c r="Q17" s="1352" t="str">
        <f>B17</f>
        <v>交通便捷度</v>
      </c>
      <c r="R17" s="705" t="s">
        <v>18</v>
      </c>
      <c r="S17" s="706">
        <f>F17</f>
        <v>100</v>
      </c>
      <c r="T17" s="705" t="s">
        <v>18</v>
      </c>
      <c r="U17" s="706">
        <f>H17</f>
        <v>100</v>
      </c>
      <c r="V17" s="705" t="s">
        <v>18</v>
      </c>
      <c r="W17" s="706">
        <f>J17</f>
        <v>100</v>
      </c>
      <c r="X17" s="1355"/>
      <c r="Y17" s="366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68"/>
      <c r="Q18" s="1352"/>
      <c r="R18" s="705"/>
      <c r="S18" s="706"/>
      <c r="T18" s="705"/>
      <c r="U18" s="706"/>
      <c r="V18" s="705"/>
      <c r="W18" s="706"/>
      <c r="X18" s="1355"/>
      <c r="Y18" s="366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68"/>
      <c r="Q19" s="1352" t="str">
        <f>B19</f>
        <v>公共配套设施</v>
      </c>
      <c r="R19" s="705" t="s">
        <v>18</v>
      </c>
      <c r="S19" s="706">
        <f>F19</f>
        <v>100</v>
      </c>
      <c r="T19" s="705" t="s">
        <v>18</v>
      </c>
      <c r="U19" s="706">
        <f>H19</f>
        <v>100</v>
      </c>
      <c r="V19" s="705" t="s">
        <v>18</v>
      </c>
      <c r="W19" s="706">
        <f>J19</f>
        <v>100</v>
      </c>
      <c r="X19" s="1355"/>
      <c r="Y19" s="366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68"/>
      <c r="Q20" s="1352"/>
      <c r="R20" s="705"/>
      <c r="S20" s="706"/>
      <c r="T20" s="705"/>
      <c r="U20" s="706"/>
      <c r="V20" s="705"/>
      <c r="W20" s="706"/>
      <c r="X20" s="1355"/>
      <c r="Y20" s="366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68"/>
      <c r="Q21" s="1352" t="str">
        <f>B21</f>
        <v>基础设施水平</v>
      </c>
      <c r="R21" s="705" t="s">
        <v>14</v>
      </c>
      <c r="S21" s="706">
        <f>F21</f>
        <v>100</v>
      </c>
      <c r="T21" s="705" t="s">
        <v>14</v>
      </c>
      <c r="U21" s="706">
        <f>H21</f>
        <v>100</v>
      </c>
      <c r="V21" s="705" t="s">
        <v>14</v>
      </c>
      <c r="W21" s="706">
        <f>J21</f>
        <v>100</v>
      </c>
      <c r="X21" s="1355"/>
      <c r="Y21" s="366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68"/>
      <c r="Q22" s="1352"/>
      <c r="R22" s="705"/>
      <c r="S22" s="706"/>
      <c r="T22" s="705"/>
      <c r="U22" s="706"/>
      <c r="V22" s="705"/>
      <c r="W22" s="706"/>
      <c r="X22" s="1355"/>
      <c r="Y22" s="366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68"/>
      <c r="Q23" s="1352" t="str">
        <f>B23</f>
        <v>自然及人文环境</v>
      </c>
      <c r="R23" s="705" t="s">
        <v>18</v>
      </c>
      <c r="S23" s="706">
        <f>F23</f>
        <v>100</v>
      </c>
      <c r="T23" s="705" t="s">
        <v>18</v>
      </c>
      <c r="U23" s="706">
        <f>H23</f>
        <v>100</v>
      </c>
      <c r="V23" s="705" t="s">
        <v>18</v>
      </c>
      <c r="W23" s="706">
        <f>J23</f>
        <v>100</v>
      </c>
      <c r="X23" s="1355"/>
      <c r="Y23" s="366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68"/>
      <c r="Q24" s="1352"/>
      <c r="R24" s="705"/>
      <c r="S24" s="706"/>
      <c r="T24" s="705"/>
      <c r="U24" s="706"/>
      <c r="V24" s="705"/>
      <c r="W24" s="706"/>
      <c r="X24" s="1355"/>
      <c r="Y24" s="366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6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68"/>
      <c r="Q26" s="1352" t="str">
        <f t="shared" si="11"/>
        <v>朝向</v>
      </c>
      <c r="R26" s="705" t="s">
        <v>18</v>
      </c>
      <c r="S26" s="706">
        <f t="shared" si="12"/>
        <v>100</v>
      </c>
      <c r="T26" s="705" t="s">
        <v>18</v>
      </c>
      <c r="U26" s="706">
        <f t="shared" si="13"/>
        <v>100</v>
      </c>
      <c r="V26" s="705" t="s">
        <v>18</v>
      </c>
      <c r="W26" s="706">
        <f t="shared" si="14"/>
        <v>100</v>
      </c>
      <c r="X26" s="1355"/>
      <c r="Y26" s="366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68"/>
      <c r="Q27" s="1343">
        <f t="shared" si="11"/>
        <v>111</v>
      </c>
      <c r="R27" s="701" t="s">
        <v>18</v>
      </c>
      <c r="S27" s="702">
        <f t="shared" si="12"/>
        <v>100</v>
      </c>
      <c r="T27" s="701" t="s">
        <v>18</v>
      </c>
      <c r="U27" s="702">
        <f t="shared" si="13"/>
        <v>100</v>
      </c>
      <c r="V27" s="701" t="s">
        <v>18</v>
      </c>
      <c r="W27" s="702">
        <f t="shared" si="14"/>
        <v>100</v>
      </c>
      <c r="X27" s="703"/>
      <c r="Y27" s="366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68"/>
      <c r="Q28" s="1352">
        <f t="shared" si="11"/>
        <v>111</v>
      </c>
      <c r="R28" s="705" t="s">
        <v>18</v>
      </c>
      <c r="S28" s="706">
        <f t="shared" si="12"/>
        <v>100</v>
      </c>
      <c r="T28" s="705" t="s">
        <v>18</v>
      </c>
      <c r="U28" s="706">
        <f t="shared" si="13"/>
        <v>100</v>
      </c>
      <c r="V28" s="705" t="s">
        <v>18</v>
      </c>
      <c r="W28" s="706">
        <f t="shared" si="14"/>
        <v>100</v>
      </c>
      <c r="X28" s="1355"/>
      <c r="Y28" s="366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68"/>
      <c r="Q29" s="1352">
        <f t="shared" si="11"/>
        <v>111</v>
      </c>
      <c r="R29" s="705" t="s">
        <v>18</v>
      </c>
      <c r="S29" s="706">
        <f t="shared" si="12"/>
        <v>100</v>
      </c>
      <c r="T29" s="705" t="s">
        <v>18</v>
      </c>
      <c r="U29" s="706">
        <f t="shared" si="13"/>
        <v>100</v>
      </c>
      <c r="V29" s="705" t="s">
        <v>18</v>
      </c>
      <c r="W29" s="706">
        <f t="shared" si="14"/>
        <v>100</v>
      </c>
      <c r="X29" s="1355"/>
      <c r="Y29" s="366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68"/>
      <c r="Q30" s="1352">
        <f t="shared" si="11"/>
        <v>111</v>
      </c>
      <c r="R30" s="705" t="s">
        <v>18</v>
      </c>
      <c r="S30" s="706">
        <f t="shared" si="12"/>
        <v>100</v>
      </c>
      <c r="T30" s="705" t="s">
        <v>18</v>
      </c>
      <c r="U30" s="706">
        <f t="shared" si="13"/>
        <v>100</v>
      </c>
      <c r="V30" s="705" t="s">
        <v>18</v>
      </c>
      <c r="W30" s="706">
        <f t="shared" si="14"/>
        <v>100</v>
      </c>
      <c r="X30" s="1355"/>
      <c r="Y30" s="366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68"/>
      <c r="Q31" s="1352">
        <f t="shared" si="11"/>
        <v>111</v>
      </c>
      <c r="R31" s="705" t="s">
        <v>18</v>
      </c>
      <c r="S31" s="706">
        <f t="shared" si="12"/>
        <v>100</v>
      </c>
      <c r="T31" s="705" t="s">
        <v>18</v>
      </c>
      <c r="U31" s="706">
        <f t="shared" si="13"/>
        <v>100</v>
      </c>
      <c r="V31" s="705" t="s">
        <v>18</v>
      </c>
      <c r="W31" s="706">
        <f t="shared" si="14"/>
        <v>100</v>
      </c>
      <c r="X31" s="1355"/>
      <c r="Y31" s="366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2" t="s">
        <v>1696</v>
      </c>
      <c r="Q32" s="1352" t="str">
        <f t="shared" si="11"/>
        <v>建筑类型</v>
      </c>
      <c r="R32" s="705" t="s">
        <v>18</v>
      </c>
      <c r="S32" s="706">
        <f t="shared" si="12"/>
        <v>100</v>
      </c>
      <c r="T32" s="705" t="s">
        <v>18</v>
      </c>
      <c r="U32" s="706">
        <f t="shared" si="13"/>
        <v>100</v>
      </c>
      <c r="V32" s="705" t="s">
        <v>18</v>
      </c>
      <c r="W32" s="706">
        <f t="shared" si="14"/>
        <v>100</v>
      </c>
      <c r="X32" s="1355"/>
      <c r="Y32" s="366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63"/>
      <c r="Q33" s="707" t="str">
        <f t="shared" si="11"/>
        <v>项目建筑规模</v>
      </c>
      <c r="R33" s="708" t="s">
        <v>18</v>
      </c>
      <c r="S33" s="709" t="e">
        <f t="shared" si="12"/>
        <v>#N/A</v>
      </c>
      <c r="T33" s="708" t="s">
        <v>18</v>
      </c>
      <c r="U33" s="709" t="e">
        <f t="shared" si="13"/>
        <v>#N/A</v>
      </c>
      <c r="V33" s="708" t="s">
        <v>18</v>
      </c>
      <c r="W33" s="709" t="e">
        <f t="shared" si="14"/>
        <v>#N/A</v>
      </c>
      <c r="X33" s="710"/>
      <c r="Y33" s="366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63"/>
      <c r="Q34" s="1352" t="str">
        <f t="shared" si="11"/>
        <v>建筑结构</v>
      </c>
      <c r="R34" s="705" t="s">
        <v>18</v>
      </c>
      <c r="S34" s="706">
        <f t="shared" si="12"/>
        <v>100</v>
      </c>
      <c r="T34" s="705" t="s">
        <v>18</v>
      </c>
      <c r="U34" s="706">
        <f t="shared" si="13"/>
        <v>100</v>
      </c>
      <c r="V34" s="705" t="s">
        <v>18</v>
      </c>
      <c r="W34" s="706">
        <f t="shared" si="14"/>
        <v>100</v>
      </c>
      <c r="X34" s="1355"/>
      <c r="Y34" s="366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63"/>
      <c r="Q35" s="1352" t="str">
        <f t="shared" si="11"/>
        <v>建筑品质</v>
      </c>
      <c r="R35" s="705" t="s">
        <v>18</v>
      </c>
      <c r="S35" s="706">
        <f t="shared" si="12"/>
        <v>100</v>
      </c>
      <c r="T35" s="705" t="s">
        <v>18</v>
      </c>
      <c r="U35" s="706">
        <f t="shared" si="13"/>
        <v>100</v>
      </c>
      <c r="V35" s="705" t="s">
        <v>18</v>
      </c>
      <c r="W35" s="706">
        <f t="shared" si="14"/>
        <v>100</v>
      </c>
      <c r="X35" s="1355"/>
      <c r="Y35" s="366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63"/>
      <c r="Q36" s="1352" t="str">
        <f t="shared" si="11"/>
        <v>公共部分装修</v>
      </c>
      <c r="R36" s="705" t="s">
        <v>18</v>
      </c>
      <c r="S36" s="706">
        <f t="shared" si="12"/>
        <v>100</v>
      </c>
      <c r="T36" s="705" t="s">
        <v>18</v>
      </c>
      <c r="U36" s="706">
        <f t="shared" si="13"/>
        <v>100</v>
      </c>
      <c r="V36" s="705" t="s">
        <v>18</v>
      </c>
      <c r="W36" s="706">
        <f t="shared" si="14"/>
        <v>100</v>
      </c>
      <c r="X36" s="1355"/>
      <c r="Y36" s="366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63"/>
      <c r="Q37" s="1343" t="str">
        <f t="shared" si="11"/>
        <v>成新度</v>
      </c>
      <c r="R37" s="701" t="s">
        <v>18</v>
      </c>
      <c r="S37" s="702" t="e">
        <f t="shared" si="12"/>
        <v>#N/A</v>
      </c>
      <c r="T37" s="701" t="s">
        <v>18</v>
      </c>
      <c r="U37" s="702" t="e">
        <f t="shared" si="13"/>
        <v>#N/A</v>
      </c>
      <c r="V37" s="701" t="s">
        <v>18</v>
      </c>
      <c r="W37" s="702" t="e">
        <f t="shared" si="14"/>
        <v>#N/A</v>
      </c>
      <c r="X37" s="703"/>
      <c r="Y37" s="366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63" t="s">
        <v>1696</v>
      </c>
      <c r="Q38" s="1352" t="str">
        <f t="shared" si="11"/>
        <v>物业管理</v>
      </c>
      <c r="R38" s="705" t="s">
        <v>18</v>
      </c>
      <c r="S38" s="706">
        <f t="shared" si="12"/>
        <v>100</v>
      </c>
      <c r="T38" s="705" t="s">
        <v>18</v>
      </c>
      <c r="U38" s="706">
        <f t="shared" si="13"/>
        <v>100</v>
      </c>
      <c r="V38" s="705" t="s">
        <v>18</v>
      </c>
      <c r="W38" s="706">
        <f t="shared" si="14"/>
        <v>100</v>
      </c>
      <c r="X38" s="1355"/>
      <c r="Y38" s="366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63"/>
      <c r="Q39" s="1352" t="str">
        <f t="shared" si="11"/>
        <v>市政基础设施</v>
      </c>
      <c r="R39" s="705" t="s">
        <v>18</v>
      </c>
      <c r="S39" s="706">
        <f t="shared" si="12"/>
        <v>100</v>
      </c>
      <c r="T39" s="705" t="s">
        <v>18</v>
      </c>
      <c r="U39" s="706">
        <f t="shared" si="13"/>
        <v>100</v>
      </c>
      <c r="V39" s="705" t="s">
        <v>18</v>
      </c>
      <c r="W39" s="706">
        <f t="shared" si="14"/>
        <v>100</v>
      </c>
      <c r="X39" s="1355"/>
      <c r="Y39" s="366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63"/>
      <c r="Q40" s="1352" t="str">
        <f t="shared" si="11"/>
        <v>房型</v>
      </c>
      <c r="R40" s="705" t="s">
        <v>18</v>
      </c>
      <c r="S40" s="706">
        <f t="shared" si="12"/>
        <v>100</v>
      </c>
      <c r="T40" s="705" t="s">
        <v>18</v>
      </c>
      <c r="U40" s="706">
        <f t="shared" si="13"/>
        <v>100</v>
      </c>
      <c r="V40" s="705" t="s">
        <v>18</v>
      </c>
      <c r="W40" s="706">
        <f t="shared" si="14"/>
        <v>100</v>
      </c>
      <c r="X40" s="1355"/>
      <c r="Y40" s="366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63"/>
      <c r="Q41" s="707" t="str">
        <f t="shared" si="11"/>
        <v>单套/主力户型建筑面积</v>
      </c>
      <c r="R41" s="708" t="s">
        <v>18</v>
      </c>
      <c r="S41" s="709">
        <f t="shared" si="12"/>
        <v>100</v>
      </c>
      <c r="T41" s="708" t="s">
        <v>18</v>
      </c>
      <c r="U41" s="709">
        <f t="shared" si="13"/>
        <v>100</v>
      </c>
      <c r="V41" s="708" t="s">
        <v>18</v>
      </c>
      <c r="W41" s="709">
        <f t="shared" si="14"/>
        <v>100</v>
      </c>
      <c r="X41" s="710"/>
      <c r="Y41" s="366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63"/>
      <c r="Q42" s="1352" t="str">
        <f t="shared" si="11"/>
        <v>内部装修</v>
      </c>
      <c r="R42" s="705" t="s">
        <v>18</v>
      </c>
      <c r="S42" s="706">
        <f t="shared" si="12"/>
        <v>100</v>
      </c>
      <c r="T42" s="705" t="s">
        <v>18</v>
      </c>
      <c r="U42" s="706">
        <f t="shared" si="13"/>
        <v>100</v>
      </c>
      <c r="V42" s="705" t="s">
        <v>18</v>
      </c>
      <c r="W42" s="706">
        <f t="shared" si="14"/>
        <v>100</v>
      </c>
      <c r="X42" s="1355"/>
      <c r="Y42" s="366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63"/>
      <c r="Q43" s="1352" t="str">
        <f t="shared" si="11"/>
        <v>内部装修维护情况</v>
      </c>
      <c r="R43" s="705" t="s">
        <v>18</v>
      </c>
      <c r="S43" s="706">
        <f t="shared" si="12"/>
        <v>100</v>
      </c>
      <c r="T43" s="705" t="s">
        <v>18</v>
      </c>
      <c r="U43" s="706">
        <f t="shared" si="13"/>
        <v>100</v>
      </c>
      <c r="V43" s="705" t="s">
        <v>18</v>
      </c>
      <c r="W43" s="706">
        <f t="shared" si="14"/>
        <v>100</v>
      </c>
      <c r="X43" s="1355"/>
      <c r="Y43" s="366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63"/>
      <c r="Q44" s="1343">
        <f t="shared" si="11"/>
        <v>111</v>
      </c>
      <c r="R44" s="701" t="s">
        <v>18</v>
      </c>
      <c r="S44" s="702">
        <f t="shared" si="12"/>
        <v>100</v>
      </c>
      <c r="T44" s="701" t="s">
        <v>18</v>
      </c>
      <c r="U44" s="702">
        <f t="shared" si="13"/>
        <v>100</v>
      </c>
      <c r="V44" s="701" t="s">
        <v>18</v>
      </c>
      <c r="W44" s="702">
        <f t="shared" si="14"/>
        <v>100</v>
      </c>
      <c r="X44" s="703"/>
      <c r="Y44" s="366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63"/>
      <c r="Q45" s="1352">
        <f t="shared" si="11"/>
        <v>111</v>
      </c>
      <c r="R45" s="705" t="s">
        <v>18</v>
      </c>
      <c r="S45" s="706">
        <f t="shared" si="12"/>
        <v>100</v>
      </c>
      <c r="T45" s="705" t="s">
        <v>18</v>
      </c>
      <c r="U45" s="706">
        <f t="shared" si="13"/>
        <v>100</v>
      </c>
      <c r="V45" s="705" t="s">
        <v>18</v>
      </c>
      <c r="W45" s="706">
        <f t="shared" si="14"/>
        <v>100</v>
      </c>
      <c r="X45" s="1355"/>
      <c r="Y45" s="366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64"/>
      <c r="Q46" s="1352">
        <f t="shared" si="11"/>
        <v>111</v>
      </c>
      <c r="R46" s="705" t="s">
        <v>17</v>
      </c>
      <c r="S46" s="706">
        <f t="shared" si="12"/>
        <v>100</v>
      </c>
      <c r="T46" s="705" t="s">
        <v>17</v>
      </c>
      <c r="U46" s="706">
        <f t="shared" si="13"/>
        <v>100</v>
      </c>
      <c r="V46" s="705" t="s">
        <v>17</v>
      </c>
      <c r="W46" s="706">
        <f t="shared" si="14"/>
        <v>100</v>
      </c>
      <c r="X46" s="1355"/>
      <c r="Y46" s="366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58" t="str">
        <f>A47</f>
        <v>成交单价（元/平方米）</v>
      </c>
      <c r="Q47" s="3658"/>
      <c r="R47" s="3659">
        <f>E47</f>
        <v>0</v>
      </c>
      <c r="S47" s="3659"/>
      <c r="T47" s="3659">
        <f>G47</f>
        <v>0</v>
      </c>
      <c r="U47" s="3659"/>
      <c r="V47" s="3659">
        <f>I47</f>
        <v>0</v>
      </c>
      <c r="W47" s="3659"/>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55" t="str">
        <f>A49</f>
        <v>估价对象XX用房的比较价值（楼面单价，元/平方米）</v>
      </c>
      <c r="Q49" s="3656"/>
      <c r="R49" s="3657" t="e">
        <f>IF(F1="售价",ROUND(IF(D48="简单平均",AVERAGE(R48:V48),R48*F48+T48*H48+V48*J48),0),ROUND(IF(D48="简单平均",AVERAGE(R48:V48),R48*F48+T48*H48+V48*J48),1))</f>
        <v>#DIV/0!</v>
      </c>
      <c r="S49" s="3657"/>
      <c r="T49" s="3657"/>
      <c r="U49" s="3657"/>
      <c r="V49" s="3657"/>
      <c r="W49" s="365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86" priority="19" stopIfTrue="1" operator="containsText" text="超过">
      <formula>NOT(ISERROR(SEARCH("超过",F52)))</formula>
    </cfRule>
  </conditionalFormatting>
  <conditionalFormatting sqref="J54">
    <cfRule type="containsText" dxfId="185" priority="18" stopIfTrue="1" operator="containsText" text="超过">
      <formula>NOT(ISERROR(SEARCH("超过",J54)))</formula>
    </cfRule>
  </conditionalFormatting>
  <conditionalFormatting sqref="H54">
    <cfRule type="containsText" dxfId="184" priority="17" stopIfTrue="1" operator="containsText" text="超过">
      <formula>NOT(ISERROR(SEARCH("超过",H54)))</formula>
    </cfRule>
  </conditionalFormatting>
  <conditionalFormatting sqref="F54">
    <cfRule type="containsText" dxfId="183" priority="16" stopIfTrue="1" operator="containsText" text="超过">
      <formula>NOT(ISERROR(SEARCH("超过",F54)))</formula>
    </cfRule>
  </conditionalFormatting>
  <conditionalFormatting sqref="F53 H53 J53">
    <cfRule type="containsText" dxfId="182" priority="15" stopIfTrue="1" operator="containsText" text="超过">
      <formula>NOT(ISERROR(SEARCH("超过",F53)))</formula>
    </cfRule>
  </conditionalFormatting>
  <conditionalFormatting sqref="E52">
    <cfRule type="expression" dxfId="181" priority="14" stopIfTrue="1">
      <formula>$F$52="超过30%"</formula>
    </cfRule>
  </conditionalFormatting>
  <conditionalFormatting sqref="G54">
    <cfRule type="expression" dxfId="180" priority="12" stopIfTrue="1">
      <formula>$H$54="超过30%"</formula>
    </cfRule>
  </conditionalFormatting>
  <conditionalFormatting sqref="E53">
    <cfRule type="expression" dxfId="179" priority="11" stopIfTrue="1">
      <formula>$F$53="超过20%"</formula>
    </cfRule>
  </conditionalFormatting>
  <conditionalFormatting sqref="E54">
    <cfRule type="expression" dxfId="178" priority="10" stopIfTrue="1">
      <formula>$F$54="超过30%"</formula>
    </cfRule>
  </conditionalFormatting>
  <conditionalFormatting sqref="G52">
    <cfRule type="expression" dxfId="177" priority="9" stopIfTrue="1">
      <formula>$H$52="超过30%"</formula>
    </cfRule>
  </conditionalFormatting>
  <conditionalFormatting sqref="G53">
    <cfRule type="expression" dxfId="176" priority="8" stopIfTrue="1">
      <formula>$H$53="超过20%"</formula>
    </cfRule>
  </conditionalFormatting>
  <conditionalFormatting sqref="I52">
    <cfRule type="expression" dxfId="175" priority="7" stopIfTrue="1">
      <formula>$J$52="超过30%"</formula>
    </cfRule>
  </conditionalFormatting>
  <conditionalFormatting sqref="I53">
    <cfRule type="expression" dxfId="174" priority="6" stopIfTrue="1">
      <formula>$J$53="超过20%"</formula>
    </cfRule>
  </conditionalFormatting>
  <conditionalFormatting sqref="I54">
    <cfRule type="expression" dxfId="173" priority="5" stopIfTrue="1">
      <formula>$J$54="超过30%"</formula>
    </cfRule>
  </conditionalFormatting>
  <conditionalFormatting sqref="F48">
    <cfRule type="expression" dxfId="172" priority="4">
      <formula>$D$48="简单平均"</formula>
    </cfRule>
  </conditionalFormatting>
  <conditionalFormatting sqref="H48">
    <cfRule type="expression" dxfId="171" priority="3">
      <formula>$D$48="简单平均"</formula>
    </cfRule>
  </conditionalFormatting>
  <conditionalFormatting sqref="J48">
    <cfRule type="expression" dxfId="170" priority="2">
      <formula>$D$48="简单平均"</formula>
    </cfRule>
  </conditionalFormatting>
  <conditionalFormatting sqref="F7:F46 H7:H46 J7:J46">
    <cfRule type="cellIs" dxfId="16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0" zoomScaleNormal="70" zoomScaleSheetLayoutView="80" workbookViewId="0">
      <selection activeCell="G15" sqref="G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20.125" style="357" customWidth="1"/>
    <col min="6" max="6" width="12.25" style="357" customWidth="1"/>
    <col min="7" max="7" width="19.25" style="357" customWidth="1"/>
    <col min="8" max="8" width="12.25" style="357" customWidth="1"/>
    <col min="9" max="9" width="17.62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3436</v>
      </c>
      <c r="F1" s="1879" t="s">
        <v>3428</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64.131</v>
      </c>
      <c r="C2" s="1881" t="s">
        <v>43</v>
      </c>
      <c r="D2" s="1115">
        <f ca="1">IF(E1="项目模式",SUMIF(INDIRECT("'"&amp;F2&amp;"'"&amp;"!A:A"),"承租人权益价值",INDIRECT("'"&amp;F2&amp;"'"&amp;"!c:c")),SUMIF(INDIRECT("'"&amp;F2&amp;"'"&amp;"!A:A"),"承租人权益价值（单套）",INDIRECT("'"&amp;F2&amp;"'"&amp;"!c:c")))</f>
        <v>-71.864800000000002</v>
      </c>
      <c r="E2" s="1882" t="s">
        <v>1463</v>
      </c>
      <c r="F2" s="1883" t="s">
        <v>3393</v>
      </c>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18659</v>
      </c>
      <c r="C3" s="354" t="s">
        <v>1768</v>
      </c>
      <c r="D3" s="353">
        <f>IF(D1="",'数据-汇总表'!E3,SUMIF('数据-汇总表'!$C19:$C33,D1,'数据-汇总表'!$E19:$E33))</f>
        <v>34.369999999999997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707" t="s">
        <v>1775</v>
      </c>
      <c r="Q4" s="3708"/>
      <c r="R4" s="3711" t="s">
        <v>1771</v>
      </c>
      <c r="S4" s="3712"/>
      <c r="T4" s="3711" t="s">
        <v>1772</v>
      </c>
      <c r="U4" s="3712"/>
      <c r="V4" s="3713" t="s">
        <v>1773</v>
      </c>
      <c r="W4" s="3713"/>
      <c r="X4" s="1958"/>
      <c r="Y4" s="3711" t="s">
        <v>1775</v>
      </c>
      <c r="Z4" s="3712"/>
      <c r="AA4" s="3715" t="s">
        <v>1771</v>
      </c>
      <c r="AB4" s="3715" t="s">
        <v>1772</v>
      </c>
      <c r="AC4" s="3704" t="s">
        <v>1773</v>
      </c>
    </row>
    <row r="5" spans="1:29" ht="15">
      <c r="A5" s="358"/>
      <c r="B5" s="359"/>
      <c r="C5" s="3692" t="str">
        <f>成交案例!C2</f>
        <v>旭辉E天地</v>
      </c>
      <c r="D5" s="3693"/>
      <c r="E5" s="3699" t="str">
        <f>成交案例!C2</f>
        <v>旭辉E天地</v>
      </c>
      <c r="F5" s="3700"/>
      <c r="G5" s="3692" t="str">
        <f>成交案例!C3</f>
        <v>旭辉E天地</v>
      </c>
      <c r="H5" s="3693"/>
      <c r="I5" s="3692" t="str">
        <f>成交案例!C2</f>
        <v>旭辉E天地</v>
      </c>
      <c r="J5" s="3693"/>
      <c r="K5" s="559"/>
      <c r="L5" s="2715"/>
      <c r="M5" s="2716"/>
      <c r="N5" s="2716"/>
      <c r="O5" s="2716"/>
      <c r="P5" s="3709"/>
      <c r="Q5" s="3680"/>
      <c r="R5" s="3685"/>
      <c r="S5" s="3686"/>
      <c r="T5" s="3685"/>
      <c r="U5" s="3686"/>
      <c r="V5" s="3689"/>
      <c r="W5" s="3689"/>
      <c r="X5" s="1355"/>
      <c r="Y5" s="3685"/>
      <c r="Z5" s="3686"/>
      <c r="AA5" s="3671"/>
      <c r="AB5" s="3671"/>
      <c r="AC5" s="3705"/>
    </row>
    <row r="6" spans="1:29" ht="15.75" thickBot="1">
      <c r="A6" s="360"/>
      <c r="B6" s="361"/>
      <c r="C6" s="3690" t="s">
        <v>1677</v>
      </c>
      <c r="D6" s="3691"/>
      <c r="E6" s="3697" t="s">
        <v>1677</v>
      </c>
      <c r="F6" s="3698"/>
      <c r="G6" s="3690" t="s">
        <v>1677</v>
      </c>
      <c r="H6" s="3691"/>
      <c r="I6" s="3690" t="s">
        <v>1677</v>
      </c>
      <c r="J6" s="3691"/>
      <c r="K6" s="559" t="s">
        <v>1678</v>
      </c>
      <c r="L6" s="2715"/>
      <c r="M6" s="2716"/>
      <c r="N6" s="2716"/>
      <c r="O6" s="2716"/>
      <c r="P6" s="3710"/>
      <c r="Q6" s="3682"/>
      <c r="R6" s="3685"/>
      <c r="S6" s="3686"/>
      <c r="T6" s="3687"/>
      <c r="U6" s="3688"/>
      <c r="V6" s="3689"/>
      <c r="W6" s="3689"/>
      <c r="X6" s="1355"/>
      <c r="Y6" s="3687"/>
      <c r="Z6" s="3688"/>
      <c r="AA6" s="3672"/>
      <c r="AB6" s="3672"/>
      <c r="AC6" s="3706"/>
    </row>
    <row r="7" spans="1:29" s="108" customFormat="1" ht="15.75" thickBot="1">
      <c r="A7" s="362" t="s">
        <v>1679</v>
      </c>
      <c r="B7" s="363"/>
      <c r="C7" s="364">
        <f>'数据-取费表'!B2</f>
        <v>45257</v>
      </c>
      <c r="D7" s="365">
        <v>100</v>
      </c>
      <c r="E7" s="366">
        <f>成交案例!O2</f>
        <v>45227</v>
      </c>
      <c r="F7" s="367">
        <f>SUMIF(59:59,YEAR(E7)&amp;"-"&amp;MONTH(E7),60:60)</f>
        <v>100</v>
      </c>
      <c r="G7" s="366">
        <f>成交案例!O3</f>
        <v>45226</v>
      </c>
      <c r="H7" s="365">
        <f>SUMIF(59:59,YEAR(G7)&amp;"-"&amp;MONTH(G7),60:60)</f>
        <v>100</v>
      </c>
      <c r="I7" s="366">
        <f>成交案例!O5</f>
        <v>45106</v>
      </c>
      <c r="J7" s="365">
        <f>SUMIF(59:59,YEAR(I7)&amp;"-"&amp;MONTH(I7),60:60)</f>
        <v>101</v>
      </c>
      <c r="K7" s="560"/>
      <c r="L7" s="2717"/>
      <c r="M7" s="2718"/>
      <c r="N7" s="2718"/>
      <c r="O7" s="2718"/>
      <c r="P7" s="3714" t="s">
        <v>1680</v>
      </c>
      <c r="Q7" s="3696"/>
      <c r="R7" s="701" t="s">
        <v>14</v>
      </c>
      <c r="S7" s="702">
        <f t="shared" ref="S7:S15" si="0">F7</f>
        <v>100</v>
      </c>
      <c r="T7" s="701" t="s">
        <v>14</v>
      </c>
      <c r="U7" s="702">
        <f t="shared" ref="U7:U15" si="1">H7</f>
        <v>100</v>
      </c>
      <c r="V7" s="701" t="s">
        <v>14</v>
      </c>
      <c r="W7" s="702">
        <f t="shared" ref="W7:W15" si="2">J7</f>
        <v>101</v>
      </c>
      <c r="X7" s="703"/>
      <c r="Y7" s="3694" t="s">
        <v>1680</v>
      </c>
      <c r="Z7" s="3695"/>
      <c r="AA7" s="704">
        <f>D7/F7</f>
        <v>1</v>
      </c>
      <c r="AB7" s="704">
        <f>D7/H7</f>
        <v>1</v>
      </c>
      <c r="AC7" s="1959">
        <f>D7/J7</f>
        <v>0.99009900990099009</v>
      </c>
    </row>
    <row r="8" spans="1:29" s="108" customFormat="1" ht="15.75" thickBot="1">
      <c r="A8" s="362" t="s">
        <v>1681</v>
      </c>
      <c r="B8" s="363"/>
      <c r="C8" s="368" t="s">
        <v>3429</v>
      </c>
      <c r="D8" s="365">
        <v>100</v>
      </c>
      <c r="E8" s="368" t="s">
        <v>3429</v>
      </c>
      <c r="F8" s="367">
        <f>SUMIF(62:62,E8,63:63)-SUMIF(62:62,C8,63:63)+100</f>
        <v>100</v>
      </c>
      <c r="G8" s="368" t="s">
        <v>3429</v>
      </c>
      <c r="H8" s="365">
        <f>SUMIF(62:62,G8,63:63)-SUMIF(62:62,C8,63:63)+100</f>
        <v>100</v>
      </c>
      <c r="I8" s="368" t="s">
        <v>3429</v>
      </c>
      <c r="J8" s="365">
        <f>SUMIF(62:62,I8,63:63)-SUMIF(62:62,C8,63:63)+100</f>
        <v>100</v>
      </c>
      <c r="K8" s="560"/>
      <c r="L8" s="2717"/>
      <c r="M8" s="2718"/>
      <c r="N8" s="2718"/>
      <c r="O8" s="2718"/>
      <c r="P8" s="3714" t="s">
        <v>1683</v>
      </c>
      <c r="Q8" s="3695"/>
      <c r="R8" s="701" t="s">
        <v>14</v>
      </c>
      <c r="S8" s="702">
        <f t="shared" si="0"/>
        <v>100</v>
      </c>
      <c r="T8" s="701" t="s">
        <v>14</v>
      </c>
      <c r="U8" s="702">
        <f t="shared" si="1"/>
        <v>100</v>
      </c>
      <c r="V8" s="701" t="s">
        <v>14</v>
      </c>
      <c r="W8" s="702">
        <f t="shared" si="2"/>
        <v>100</v>
      </c>
      <c r="X8" s="703"/>
      <c r="Y8" s="3694" t="s">
        <v>1683</v>
      </c>
      <c r="Z8" s="3695"/>
      <c r="AA8" s="704">
        <f t="shared" ref="AA8:AA47" si="3">D8/F8</f>
        <v>1</v>
      </c>
      <c r="AB8" s="704">
        <f t="shared" ref="AB8:AB47" si="4">D8/H8</f>
        <v>1</v>
      </c>
      <c r="AC8" s="1959">
        <f t="shared" ref="AC8:AC47" si="5">D8/J8</f>
        <v>1</v>
      </c>
    </row>
    <row r="9" spans="1:29" s="108" customFormat="1">
      <c r="A9" s="369" t="s">
        <v>1684</v>
      </c>
      <c r="B9" s="63" t="s">
        <v>1685</v>
      </c>
      <c r="C9" s="3463" t="s">
        <v>3430</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69"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69"/>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69"/>
      <c r="Q11" s="1343" t="str">
        <f t="shared" si="6"/>
        <v>容积率</v>
      </c>
      <c r="R11" s="701" t="s">
        <v>14</v>
      </c>
      <c r="S11" s="702">
        <f t="shared" si="0"/>
        <v>100</v>
      </c>
      <c r="T11" s="701" t="s">
        <v>14</v>
      </c>
      <c r="U11" s="702">
        <f t="shared" si="1"/>
        <v>100</v>
      </c>
      <c r="V11" s="701" t="s">
        <v>14</v>
      </c>
      <c r="W11" s="702">
        <f t="shared" si="2"/>
        <v>100</v>
      </c>
      <c r="X11" s="703"/>
      <c r="Y11" s="355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69"/>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69"/>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69"/>
      <c r="Q14" s="1343">
        <f t="shared" si="6"/>
        <v>111</v>
      </c>
      <c r="R14" s="701" t="s">
        <v>14</v>
      </c>
      <c r="S14" s="702">
        <f t="shared" si="0"/>
        <v>100</v>
      </c>
      <c r="T14" s="701" t="s">
        <v>14</v>
      </c>
      <c r="U14" s="702">
        <f t="shared" si="1"/>
        <v>100</v>
      </c>
      <c r="V14" s="701" t="s">
        <v>14</v>
      </c>
      <c r="W14" s="702">
        <f t="shared" si="2"/>
        <v>100</v>
      </c>
      <c r="X14" s="703"/>
      <c r="Y14" s="355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67" t="s">
        <v>1691</v>
      </c>
      <c r="Q15" s="1352" t="str">
        <f t="shared" si="6"/>
        <v>办公集聚程度</v>
      </c>
      <c r="R15" s="705" t="s">
        <v>14</v>
      </c>
      <c r="S15" s="706">
        <f t="shared" si="0"/>
        <v>100</v>
      </c>
      <c r="T15" s="705" t="s">
        <v>14</v>
      </c>
      <c r="U15" s="706">
        <f t="shared" si="1"/>
        <v>100</v>
      </c>
      <c r="V15" s="705" t="s">
        <v>14</v>
      </c>
      <c r="W15" s="706">
        <f t="shared" si="2"/>
        <v>100</v>
      </c>
      <c r="X15" s="1355"/>
      <c r="Y15" s="3660" t="s">
        <v>1691</v>
      </c>
      <c r="Z15" s="1356" t="str">
        <f t="shared" si="7"/>
        <v>办公集聚程度</v>
      </c>
      <c r="AA15" s="1353">
        <f t="shared" si="3"/>
        <v>1</v>
      </c>
      <c r="AB15" s="1353">
        <f t="shared" si="4"/>
        <v>1</v>
      </c>
      <c r="AC15" s="1962">
        <f t="shared" si="5"/>
        <v>1</v>
      </c>
    </row>
    <row r="16" spans="1:29" ht="15">
      <c r="A16" s="379"/>
      <c r="B16" s="578"/>
      <c r="C16" s="1904" t="s">
        <v>3432</v>
      </c>
      <c r="D16" s="399"/>
      <c r="E16" s="1904" t="s">
        <v>3432</v>
      </c>
      <c r="F16" s="399"/>
      <c r="G16" s="1904" t="s">
        <v>3432</v>
      </c>
      <c r="H16" s="401"/>
      <c r="I16" s="1904" t="s">
        <v>3432</v>
      </c>
      <c r="J16" s="399"/>
      <c r="K16" s="564"/>
      <c r="L16" s="2722"/>
      <c r="M16" s="2716"/>
      <c r="N16" s="2716"/>
      <c r="O16" s="2716"/>
      <c r="P16" s="3668"/>
      <c r="Q16" s="1352"/>
      <c r="R16" s="705"/>
      <c r="S16" s="706"/>
      <c r="T16" s="705"/>
      <c r="U16" s="706"/>
      <c r="V16" s="705"/>
      <c r="W16" s="706"/>
      <c r="X16" s="1355"/>
      <c r="Y16" s="366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68"/>
      <c r="Q17" s="1352" t="str">
        <f>B17</f>
        <v>交通便捷度</v>
      </c>
      <c r="R17" s="705" t="s">
        <v>14</v>
      </c>
      <c r="S17" s="706">
        <f>F17</f>
        <v>100</v>
      </c>
      <c r="T17" s="705" t="s">
        <v>14</v>
      </c>
      <c r="U17" s="706">
        <f>H17</f>
        <v>100</v>
      </c>
      <c r="V17" s="705" t="s">
        <v>14</v>
      </c>
      <c r="W17" s="706">
        <f>J17</f>
        <v>100</v>
      </c>
      <c r="X17" s="1355"/>
      <c r="Y17" s="3661"/>
      <c r="Z17" s="1356" t="str">
        <f>Q17</f>
        <v>交通便捷度</v>
      </c>
      <c r="AA17" s="1353">
        <f t="shared" si="3"/>
        <v>1</v>
      </c>
      <c r="AB17" s="1353">
        <f t="shared" si="4"/>
        <v>1</v>
      </c>
      <c r="AC17" s="1962">
        <f t="shared" si="5"/>
        <v>1</v>
      </c>
    </row>
    <row r="18" spans="1:29" ht="15">
      <c r="A18" s="379"/>
      <c r="B18" s="580"/>
      <c r="C18" s="1964" t="s">
        <v>3431</v>
      </c>
      <c r="D18" s="401"/>
      <c r="E18" s="1964" t="s">
        <v>3431</v>
      </c>
      <c r="F18" s="401"/>
      <c r="G18" s="1964" t="s">
        <v>3431</v>
      </c>
      <c r="H18" s="399"/>
      <c r="I18" s="1964" t="s">
        <v>3431</v>
      </c>
      <c r="J18" s="399"/>
      <c r="K18" s="564"/>
      <c r="L18" s="2722"/>
      <c r="M18" s="2716"/>
      <c r="N18" s="2716"/>
      <c r="O18" s="2716"/>
      <c r="P18" s="3668"/>
      <c r="Q18" s="1352"/>
      <c r="R18" s="705"/>
      <c r="S18" s="706"/>
      <c r="T18" s="705"/>
      <c r="U18" s="706"/>
      <c r="V18" s="705"/>
      <c r="W18" s="706"/>
      <c r="X18" s="1355"/>
      <c r="Y18" s="366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68"/>
      <c r="Q19" s="1352" t="str">
        <f>B19</f>
        <v>公共配套设施</v>
      </c>
      <c r="R19" s="705" t="s">
        <v>14</v>
      </c>
      <c r="S19" s="706">
        <f>F19</f>
        <v>100</v>
      </c>
      <c r="T19" s="705" t="s">
        <v>14</v>
      </c>
      <c r="U19" s="706">
        <f>H19</f>
        <v>100</v>
      </c>
      <c r="V19" s="705" t="s">
        <v>14</v>
      </c>
      <c r="W19" s="706">
        <f>J19</f>
        <v>100</v>
      </c>
      <c r="X19" s="1355"/>
      <c r="Y19" s="3661"/>
      <c r="Z19" s="1356" t="str">
        <f>Q19</f>
        <v>公共配套设施</v>
      </c>
      <c r="AA19" s="1353">
        <f t="shared" si="3"/>
        <v>1</v>
      </c>
      <c r="AB19" s="1353">
        <f t="shared" si="4"/>
        <v>1</v>
      </c>
      <c r="AC19" s="1962">
        <f t="shared" si="5"/>
        <v>1</v>
      </c>
    </row>
    <row r="20" spans="1:29" ht="15">
      <c r="A20" s="379"/>
      <c r="B20" s="580"/>
      <c r="C20" s="1904" t="s">
        <v>3432</v>
      </c>
      <c r="D20" s="399"/>
      <c r="E20" s="1904" t="s">
        <v>3432</v>
      </c>
      <c r="F20" s="399"/>
      <c r="G20" s="1904" t="s">
        <v>3432</v>
      </c>
      <c r="H20" s="399"/>
      <c r="I20" s="1904" t="s">
        <v>3432</v>
      </c>
      <c r="J20" s="399"/>
      <c r="K20" s="564"/>
      <c r="L20" s="2722"/>
      <c r="M20" s="2716"/>
      <c r="N20" s="2716"/>
      <c r="O20" s="2716"/>
      <c r="P20" s="3668"/>
      <c r="Q20" s="1352"/>
      <c r="R20" s="705"/>
      <c r="S20" s="706"/>
      <c r="T20" s="705"/>
      <c r="U20" s="706"/>
      <c r="V20" s="705"/>
      <c r="W20" s="706"/>
      <c r="X20" s="1355"/>
      <c r="Y20" s="366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68"/>
      <c r="Q21" s="1352" t="str">
        <f>B21</f>
        <v>基础设施水平</v>
      </c>
      <c r="R21" s="705" t="s">
        <v>14</v>
      </c>
      <c r="S21" s="706">
        <f>F21</f>
        <v>100</v>
      </c>
      <c r="T21" s="705" t="s">
        <v>14</v>
      </c>
      <c r="U21" s="706">
        <f>H21</f>
        <v>100</v>
      </c>
      <c r="V21" s="705" t="s">
        <v>14</v>
      </c>
      <c r="W21" s="706">
        <f>J21</f>
        <v>100</v>
      </c>
      <c r="X21" s="1355"/>
      <c r="Y21" s="3661"/>
      <c r="Z21" s="1356" t="str">
        <f>Q21</f>
        <v>基础设施水平</v>
      </c>
      <c r="AA21" s="1353">
        <f t="shared" ref="AA21" si="8">D21/F21</f>
        <v>1</v>
      </c>
      <c r="AB21" s="1353">
        <f t="shared" ref="AB21" si="9">D21/H21</f>
        <v>1</v>
      </c>
      <c r="AC21" s="1962">
        <f t="shared" ref="AC21" si="10">D21/J21</f>
        <v>1</v>
      </c>
    </row>
    <row r="22" spans="1:29" ht="15">
      <c r="A22" s="379"/>
      <c r="B22" s="581"/>
      <c r="C22" s="1964" t="s">
        <v>3433</v>
      </c>
      <c r="D22" s="399"/>
      <c r="E22" s="1964" t="s">
        <v>3433</v>
      </c>
      <c r="F22" s="399"/>
      <c r="G22" s="1964" t="s">
        <v>3433</v>
      </c>
      <c r="H22" s="399"/>
      <c r="I22" s="1964" t="s">
        <v>3433</v>
      </c>
      <c r="J22" s="399"/>
      <c r="K22" s="1130"/>
      <c r="L22" s="2722"/>
      <c r="M22" s="2716"/>
      <c r="N22" s="2716"/>
      <c r="O22" s="2716"/>
      <c r="P22" s="3668"/>
      <c r="Q22" s="1352"/>
      <c r="R22" s="705"/>
      <c r="S22" s="706"/>
      <c r="T22" s="705"/>
      <c r="U22" s="706"/>
      <c r="V22" s="705"/>
      <c r="W22" s="706"/>
      <c r="X22" s="1355"/>
      <c r="Y22" s="366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68"/>
      <c r="Q23" s="1352" t="str">
        <f>B23</f>
        <v>环境质量</v>
      </c>
      <c r="R23" s="705" t="s">
        <v>14</v>
      </c>
      <c r="S23" s="706">
        <f>F23</f>
        <v>100</v>
      </c>
      <c r="T23" s="705" t="s">
        <v>14</v>
      </c>
      <c r="U23" s="706">
        <f>H23</f>
        <v>100</v>
      </c>
      <c r="V23" s="705" t="s">
        <v>14</v>
      </c>
      <c r="W23" s="706">
        <f>J23</f>
        <v>100</v>
      </c>
      <c r="X23" s="1355"/>
      <c r="Y23" s="3661"/>
      <c r="Z23" s="1356" t="str">
        <f>Q23</f>
        <v>环境质量</v>
      </c>
      <c r="AA23" s="1353">
        <f t="shared" si="3"/>
        <v>1</v>
      </c>
      <c r="AB23" s="1353">
        <f t="shared" si="4"/>
        <v>1</v>
      </c>
      <c r="AC23" s="1962">
        <f t="shared" si="5"/>
        <v>1</v>
      </c>
    </row>
    <row r="24" spans="1:29" ht="15">
      <c r="A24" s="379"/>
      <c r="B24" s="581"/>
      <c r="C24" s="1904" t="s">
        <v>3431</v>
      </c>
      <c r="D24" s="399"/>
      <c r="E24" s="1904" t="s">
        <v>3431</v>
      </c>
      <c r="F24" s="399"/>
      <c r="G24" s="1904" t="s">
        <v>3431</v>
      </c>
      <c r="H24" s="399"/>
      <c r="I24" s="1904" t="s">
        <v>3431</v>
      </c>
      <c r="J24" s="399"/>
      <c r="K24" s="564"/>
      <c r="L24" s="2722"/>
      <c r="M24" s="2716"/>
      <c r="N24" s="2716"/>
      <c r="O24" s="2716"/>
      <c r="P24" s="3668"/>
      <c r="Q24" s="1352"/>
      <c r="R24" s="705"/>
      <c r="S24" s="706"/>
      <c r="T24" s="705"/>
      <c r="U24" s="706"/>
      <c r="V24" s="705"/>
      <c r="W24" s="706"/>
      <c r="X24" s="1355"/>
      <c r="Y24" s="3661"/>
      <c r="Z24" s="1356"/>
      <c r="AA24" s="1353">
        <v>1</v>
      </c>
      <c r="AB24" s="1353">
        <v>1</v>
      </c>
      <c r="AC24" s="1962">
        <v>1</v>
      </c>
    </row>
    <row r="25" spans="1:29" ht="27.75">
      <c r="A25" s="358"/>
      <c r="B25" s="579" t="s">
        <v>1815</v>
      </c>
      <c r="C25" s="1908" t="s">
        <v>3434</v>
      </c>
      <c r="D25" s="386">
        <v>100</v>
      </c>
      <c r="E25" s="1908" t="s">
        <v>3434</v>
      </c>
      <c r="F25" s="386">
        <f>SUMIF(87:87,E26,88:88)-SUMIF(87:87,C26,88:88)+100</f>
        <v>100</v>
      </c>
      <c r="G25" s="1908" t="s">
        <v>3434</v>
      </c>
      <c r="H25" s="386">
        <f>SUMIF(87:87,G26,88:88)-SUMIF(87:87,C26,88:88)+100</f>
        <v>100</v>
      </c>
      <c r="I25" s="1908" t="s">
        <v>3434</v>
      </c>
      <c r="J25" s="386">
        <f>SUMIF(87:87,I26,88:88)-SUMIF(87:87,C26,88:88)+100</f>
        <v>100</v>
      </c>
      <c r="K25" s="563"/>
      <c r="L25" s="2722"/>
      <c r="M25" s="2716"/>
      <c r="N25" s="2716"/>
      <c r="O25" s="2716"/>
      <c r="P25" s="3668"/>
      <c r="Q25" s="1352" t="str">
        <f>B25</f>
        <v>毗邻道路的类型与等级</v>
      </c>
      <c r="R25" s="705" t="s">
        <v>14</v>
      </c>
      <c r="S25" s="706">
        <f>F25</f>
        <v>100</v>
      </c>
      <c r="T25" s="705" t="s">
        <v>14</v>
      </c>
      <c r="U25" s="706">
        <f>H25</f>
        <v>100</v>
      </c>
      <c r="V25" s="705" t="s">
        <v>14</v>
      </c>
      <c r="W25" s="706">
        <f>J25</f>
        <v>100</v>
      </c>
      <c r="X25" s="1355"/>
      <c r="Y25" s="366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68"/>
      <c r="Q26" s="1352"/>
      <c r="R26" s="705"/>
      <c r="S26" s="706"/>
      <c r="T26" s="705"/>
      <c r="U26" s="706"/>
      <c r="V26" s="705"/>
      <c r="W26" s="706"/>
      <c r="X26" s="1355"/>
      <c r="Y26" s="366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68"/>
      <c r="Q27" s="1352" t="str">
        <f t="shared" ref="Q27:Q47" si="11">B27</f>
        <v>楼层</v>
      </c>
      <c r="R27" s="705" t="s">
        <v>14</v>
      </c>
      <c r="S27" s="706">
        <f>F27</f>
        <v>100</v>
      </c>
      <c r="T27" s="705" t="s">
        <v>14</v>
      </c>
      <c r="U27" s="706">
        <f>H27</f>
        <v>100</v>
      </c>
      <c r="V27" s="705" t="s">
        <v>14</v>
      </c>
      <c r="W27" s="706">
        <f>J27</f>
        <v>100</v>
      </c>
      <c r="X27" s="1355"/>
      <c r="Y27" s="3661"/>
      <c r="Z27" s="1356" t="str">
        <f>Q27</f>
        <v>楼层</v>
      </c>
      <c r="AA27" s="1353">
        <f t="shared" si="3"/>
        <v>1</v>
      </c>
      <c r="AB27" s="1353">
        <f t="shared" si="4"/>
        <v>1</v>
      </c>
      <c r="AC27" s="1962">
        <f t="shared" si="5"/>
        <v>1</v>
      </c>
    </row>
    <row r="28" spans="1:29" s="108" customFormat="1" ht="15">
      <c r="A28" s="382"/>
      <c r="B28" s="579" t="s">
        <v>1816</v>
      </c>
      <c r="C28" s="1965" t="s">
        <v>3456</v>
      </c>
      <c r="D28" s="413">
        <v>100</v>
      </c>
      <c r="E28" s="1956" t="s">
        <v>3458</v>
      </c>
      <c r="F28" s="413">
        <f>SUMIF(91:91,E28,92:92)-SUMIF(91:91,C28,92:92)+100</f>
        <v>93</v>
      </c>
      <c r="G28" s="1965" t="s">
        <v>3458</v>
      </c>
      <c r="H28" s="413">
        <f>SUMIF(91:91,G28,92:92)-SUMIF(91:91,C28,92:92)+100</f>
        <v>93</v>
      </c>
      <c r="I28" s="1965" t="s">
        <v>3456</v>
      </c>
      <c r="J28" s="413">
        <f>SUMIF(91:91,I28,92:92)-SUMIF(91:91,C28,92:92)+100</f>
        <v>100</v>
      </c>
      <c r="K28" s="561">
        <v>1</v>
      </c>
      <c r="L28" s="2717"/>
      <c r="M28" s="2718"/>
      <c r="N28" s="2718"/>
      <c r="O28" s="2718"/>
      <c r="P28" s="3668"/>
      <c r="Q28" s="1343" t="str">
        <f t="shared" si="11"/>
        <v>朝向</v>
      </c>
      <c r="R28" s="701" t="s">
        <v>14</v>
      </c>
      <c r="S28" s="702">
        <f>F28</f>
        <v>93</v>
      </c>
      <c r="T28" s="701" t="s">
        <v>14</v>
      </c>
      <c r="U28" s="702">
        <f>H28</f>
        <v>93</v>
      </c>
      <c r="V28" s="701" t="s">
        <v>14</v>
      </c>
      <c r="W28" s="702">
        <f>J28</f>
        <v>100</v>
      </c>
      <c r="X28" s="703"/>
      <c r="Y28" s="3661"/>
      <c r="Z28" s="52" t="str">
        <f>Q28</f>
        <v>朝向</v>
      </c>
      <c r="AA28" s="1353">
        <f>D28/F28</f>
        <v>1.075268817204301</v>
      </c>
      <c r="AB28" s="1353">
        <f>D28/H28</f>
        <v>1.075268817204301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68"/>
      <c r="Q29" s="1352">
        <f t="shared" si="11"/>
        <v>111</v>
      </c>
      <c r="R29" s="705" t="s">
        <v>14</v>
      </c>
      <c r="S29" s="706">
        <f t="shared" ref="S29:S47" si="12">F29</f>
        <v>100</v>
      </c>
      <c r="T29" s="705" t="s">
        <v>14</v>
      </c>
      <c r="U29" s="706">
        <f t="shared" ref="U29:U47" si="13">H29</f>
        <v>100</v>
      </c>
      <c r="V29" s="705" t="s">
        <v>14</v>
      </c>
      <c r="W29" s="706">
        <f t="shared" ref="W29:W47" si="14">J29</f>
        <v>100</v>
      </c>
      <c r="X29" s="1355"/>
      <c r="Y29" s="366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68"/>
      <c r="Q30" s="1352">
        <f t="shared" si="11"/>
        <v>111</v>
      </c>
      <c r="R30" s="705" t="s">
        <v>14</v>
      </c>
      <c r="S30" s="706">
        <f t="shared" si="12"/>
        <v>100</v>
      </c>
      <c r="T30" s="705" t="s">
        <v>14</v>
      </c>
      <c r="U30" s="706">
        <f t="shared" si="13"/>
        <v>100</v>
      </c>
      <c r="V30" s="705" t="s">
        <v>14</v>
      </c>
      <c r="W30" s="706">
        <f t="shared" si="14"/>
        <v>100</v>
      </c>
      <c r="X30" s="1355"/>
      <c r="Y30" s="366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68"/>
      <c r="Q31" s="1352">
        <f t="shared" si="11"/>
        <v>111</v>
      </c>
      <c r="R31" s="705" t="s">
        <v>14</v>
      </c>
      <c r="S31" s="706">
        <f t="shared" si="12"/>
        <v>100</v>
      </c>
      <c r="T31" s="705" t="s">
        <v>14</v>
      </c>
      <c r="U31" s="706">
        <f t="shared" si="13"/>
        <v>100</v>
      </c>
      <c r="V31" s="705" t="s">
        <v>14</v>
      </c>
      <c r="W31" s="706">
        <f t="shared" si="14"/>
        <v>100</v>
      </c>
      <c r="X31" s="1355"/>
      <c r="Y31" s="366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68"/>
      <c r="Q32" s="1352">
        <f t="shared" si="11"/>
        <v>111</v>
      </c>
      <c r="R32" s="705" t="s">
        <v>14</v>
      </c>
      <c r="S32" s="706">
        <f t="shared" si="12"/>
        <v>100</v>
      </c>
      <c r="T32" s="705" t="s">
        <v>14</v>
      </c>
      <c r="U32" s="706">
        <f t="shared" si="13"/>
        <v>100</v>
      </c>
      <c r="V32" s="705" t="s">
        <v>14</v>
      </c>
      <c r="W32" s="706">
        <f t="shared" si="14"/>
        <v>100</v>
      </c>
      <c r="X32" s="1355"/>
      <c r="Y32" s="366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2" t="s">
        <v>1696</v>
      </c>
      <c r="Q33" s="1352" t="str">
        <f t="shared" si="11"/>
        <v>建筑类型</v>
      </c>
      <c r="R33" s="705" t="s">
        <v>14</v>
      </c>
      <c r="S33" s="706">
        <f t="shared" si="12"/>
        <v>100</v>
      </c>
      <c r="T33" s="705" t="s">
        <v>14</v>
      </c>
      <c r="U33" s="706">
        <f t="shared" si="13"/>
        <v>100</v>
      </c>
      <c r="V33" s="705" t="s">
        <v>14</v>
      </c>
      <c r="W33" s="706">
        <f t="shared" si="14"/>
        <v>100</v>
      </c>
      <c r="X33" s="1355"/>
      <c r="Y33" s="3665"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34.369999999999997</v>
      </c>
      <c r="D34" s="127">
        <v>100</v>
      </c>
      <c r="E34" s="381">
        <f>成交案例!E2</f>
        <v>32.729999999999997</v>
      </c>
      <c r="F34" s="376">
        <f>LOOKUP(E34,104:104,105:105)-LOOKUP(C34,104:104,105:105)+100</f>
        <v>100</v>
      </c>
      <c r="G34" s="380">
        <f>成交案例!E3</f>
        <v>31.29</v>
      </c>
      <c r="H34" s="127">
        <f>LOOKUP(G34,104:104,105:105)-LOOKUP(C34,104:104,105:105)+100</f>
        <v>100</v>
      </c>
      <c r="I34" s="380">
        <f>成交案例!E5</f>
        <v>35.53</v>
      </c>
      <c r="J34" s="127">
        <f>LOOKUP(I34,104:104,105:105)-LOOKUP(C34,104:104,105:105)+100</f>
        <v>100</v>
      </c>
      <c r="K34" s="562"/>
      <c r="L34" s="2721"/>
      <c r="M34" s="2723"/>
      <c r="N34" s="2723"/>
      <c r="O34" s="2723"/>
      <c r="P34" s="3663"/>
      <c r="Q34" s="707" t="str">
        <f t="shared" si="11"/>
        <v>项目建筑规模</v>
      </c>
      <c r="R34" s="708" t="s">
        <v>14</v>
      </c>
      <c r="S34" s="709">
        <f t="shared" si="12"/>
        <v>100</v>
      </c>
      <c r="T34" s="708" t="s">
        <v>14</v>
      </c>
      <c r="U34" s="709">
        <f t="shared" si="13"/>
        <v>100</v>
      </c>
      <c r="V34" s="708" t="s">
        <v>14</v>
      </c>
      <c r="W34" s="709">
        <f t="shared" si="14"/>
        <v>100</v>
      </c>
      <c r="X34" s="710"/>
      <c r="Y34" s="3665"/>
      <c r="Z34" s="711" t="str">
        <f t="shared" si="15"/>
        <v>项目建筑规模</v>
      </c>
      <c r="AA34" s="1353">
        <f t="shared" si="3"/>
        <v>1</v>
      </c>
      <c r="AB34" s="1353">
        <f t="shared" si="4"/>
        <v>1</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63"/>
      <c r="Q35" s="1352" t="str">
        <f t="shared" si="11"/>
        <v>建筑结构</v>
      </c>
      <c r="R35" s="705" t="s">
        <v>14</v>
      </c>
      <c r="S35" s="706">
        <f t="shared" si="12"/>
        <v>100</v>
      </c>
      <c r="T35" s="705" t="s">
        <v>14</v>
      </c>
      <c r="U35" s="706">
        <f t="shared" si="13"/>
        <v>100</v>
      </c>
      <c r="V35" s="705" t="s">
        <v>14</v>
      </c>
      <c r="W35" s="706">
        <f t="shared" si="14"/>
        <v>100</v>
      </c>
      <c r="X35" s="1355"/>
      <c r="Y35" s="366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63"/>
      <c r="Q36" s="1352" t="str">
        <f t="shared" si="11"/>
        <v>公共部分装修</v>
      </c>
      <c r="R36" s="705" t="s">
        <v>14</v>
      </c>
      <c r="S36" s="706">
        <f t="shared" si="12"/>
        <v>100</v>
      </c>
      <c r="T36" s="705" t="s">
        <v>14</v>
      </c>
      <c r="U36" s="706">
        <f t="shared" si="13"/>
        <v>100</v>
      </c>
      <c r="V36" s="705" t="s">
        <v>14</v>
      </c>
      <c r="W36" s="706">
        <f t="shared" si="14"/>
        <v>100</v>
      </c>
      <c r="X36" s="1355"/>
      <c r="Y36" s="3665"/>
      <c r="Z36" s="1356" t="str">
        <f t="shared" si="15"/>
        <v>公共部分装修</v>
      </c>
      <c r="AA36" s="1353">
        <f t="shared" si="3"/>
        <v>1</v>
      </c>
      <c r="AB36" s="1353">
        <f t="shared" si="4"/>
        <v>1</v>
      </c>
      <c r="AC36" s="1962">
        <f t="shared" si="5"/>
        <v>1</v>
      </c>
    </row>
    <row r="37" spans="1:29" ht="15">
      <c r="A37" s="423"/>
      <c r="B37" s="375" t="s">
        <v>1786</v>
      </c>
      <c r="C37" s="425">
        <f>'数据-取费表'!N6</f>
        <v>0.89</v>
      </c>
      <c r="D37" s="386">
        <v>100</v>
      </c>
      <c r="E37" s="425">
        <f>C37</f>
        <v>0.89</v>
      </c>
      <c r="F37" s="412">
        <f>LOOKUP(E37,111:111,112:112)-LOOKUP(C37,111:111,112:112)+100</f>
        <v>100</v>
      </c>
      <c r="G37" s="425">
        <f>C37</f>
        <v>0.89</v>
      </c>
      <c r="H37" s="412">
        <f>LOOKUP(G37,111:111,112:112)-LOOKUP(C37,111:111,112:112)+100</f>
        <v>100</v>
      </c>
      <c r="I37" s="425">
        <f>C37</f>
        <v>0.89</v>
      </c>
      <c r="J37" s="386">
        <f>LOOKUP(I37,111:111,112:112)-LOOKUP(C37,111:111,112:112)+100</f>
        <v>100</v>
      </c>
      <c r="K37" s="561"/>
      <c r="L37" s="2722"/>
      <c r="M37" s="2716"/>
      <c r="N37" s="2716"/>
      <c r="O37" s="2716"/>
      <c r="P37" s="3663"/>
      <c r="Q37" s="1352" t="str">
        <f t="shared" si="11"/>
        <v>成新度</v>
      </c>
      <c r="R37" s="705" t="s">
        <v>14</v>
      </c>
      <c r="S37" s="706">
        <f t="shared" si="12"/>
        <v>100</v>
      </c>
      <c r="T37" s="705" t="s">
        <v>14</v>
      </c>
      <c r="U37" s="706">
        <f t="shared" si="13"/>
        <v>100</v>
      </c>
      <c r="V37" s="705" t="s">
        <v>14</v>
      </c>
      <c r="W37" s="706">
        <f t="shared" si="14"/>
        <v>100</v>
      </c>
      <c r="X37" s="1355"/>
      <c r="Y37" s="3665"/>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3"/>
      <c r="Q38" s="1343" t="str">
        <f t="shared" si="11"/>
        <v>写字楼等级</v>
      </c>
      <c r="R38" s="701" t="s">
        <v>14</v>
      </c>
      <c r="S38" s="702">
        <f t="shared" si="12"/>
        <v>100</v>
      </c>
      <c r="T38" s="701" t="s">
        <v>14</v>
      </c>
      <c r="U38" s="702">
        <f t="shared" si="13"/>
        <v>100</v>
      </c>
      <c r="V38" s="701" t="s">
        <v>14</v>
      </c>
      <c r="W38" s="702">
        <f t="shared" si="14"/>
        <v>100</v>
      </c>
      <c r="X38" s="703"/>
      <c r="Y38" s="366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3" t="s">
        <v>1696</v>
      </c>
      <c r="Q39" s="1352" t="str">
        <f t="shared" si="11"/>
        <v>物业管理</v>
      </c>
      <c r="R39" s="705" t="s">
        <v>14</v>
      </c>
      <c r="S39" s="706">
        <f t="shared" si="12"/>
        <v>100</v>
      </c>
      <c r="T39" s="705" t="s">
        <v>14</v>
      </c>
      <c r="U39" s="706">
        <f t="shared" si="13"/>
        <v>100</v>
      </c>
      <c r="V39" s="705" t="s">
        <v>14</v>
      </c>
      <c r="W39" s="706">
        <f t="shared" si="14"/>
        <v>100</v>
      </c>
      <c r="X39" s="1355"/>
      <c r="Y39" s="366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3"/>
      <c r="Q40" s="1352" t="str">
        <f t="shared" si="11"/>
        <v>市政基础设施</v>
      </c>
      <c r="R40" s="705" t="s">
        <v>14</v>
      </c>
      <c r="S40" s="706">
        <f t="shared" si="12"/>
        <v>100</v>
      </c>
      <c r="T40" s="705" t="s">
        <v>14</v>
      </c>
      <c r="U40" s="706">
        <f t="shared" si="13"/>
        <v>100</v>
      </c>
      <c r="V40" s="705" t="s">
        <v>14</v>
      </c>
      <c r="W40" s="706">
        <f t="shared" si="14"/>
        <v>100</v>
      </c>
      <c r="X40" s="1355"/>
      <c r="Y40" s="366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3"/>
      <c r="Q41" s="1352" t="str">
        <f t="shared" si="11"/>
        <v>层高</v>
      </c>
      <c r="R41" s="705" t="s">
        <v>14</v>
      </c>
      <c r="S41" s="706">
        <f t="shared" si="12"/>
        <v>100</v>
      </c>
      <c r="T41" s="705" t="s">
        <v>14</v>
      </c>
      <c r="U41" s="706">
        <f t="shared" si="13"/>
        <v>100</v>
      </c>
      <c r="V41" s="705" t="s">
        <v>14</v>
      </c>
      <c r="W41" s="706">
        <f t="shared" si="14"/>
        <v>100</v>
      </c>
      <c r="X41" s="1355"/>
      <c r="Y41" s="366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3"/>
      <c r="Q42" s="707" t="str">
        <f t="shared" si="11"/>
        <v>单套建筑面积</v>
      </c>
      <c r="R42" s="708" t="s">
        <v>14</v>
      </c>
      <c r="S42" s="709">
        <f t="shared" si="12"/>
        <v>100</v>
      </c>
      <c r="T42" s="708" t="s">
        <v>14</v>
      </c>
      <c r="U42" s="709">
        <f t="shared" si="13"/>
        <v>100</v>
      </c>
      <c r="V42" s="708" t="s">
        <v>14</v>
      </c>
      <c r="W42" s="709">
        <f t="shared" si="14"/>
        <v>100</v>
      </c>
      <c r="X42" s="710"/>
      <c r="Y42" s="366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63"/>
      <c r="Q43" s="1352" t="str">
        <f t="shared" si="11"/>
        <v>内部装修</v>
      </c>
      <c r="R43" s="705" t="s">
        <v>14</v>
      </c>
      <c r="S43" s="706">
        <f t="shared" si="12"/>
        <v>100</v>
      </c>
      <c r="T43" s="705" t="s">
        <v>14</v>
      </c>
      <c r="U43" s="706">
        <f t="shared" si="13"/>
        <v>100</v>
      </c>
      <c r="V43" s="705" t="s">
        <v>14</v>
      </c>
      <c r="W43" s="706">
        <f t="shared" si="14"/>
        <v>100</v>
      </c>
      <c r="X43" s="1355"/>
      <c r="Y43" s="366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3"/>
      <c r="Q44" s="1352" t="str">
        <f t="shared" si="11"/>
        <v>内部装修维护情况</v>
      </c>
      <c r="R44" s="705" t="s">
        <v>14</v>
      </c>
      <c r="S44" s="706">
        <f t="shared" si="12"/>
        <v>100</v>
      </c>
      <c r="T44" s="705" t="s">
        <v>14</v>
      </c>
      <c r="U44" s="706">
        <f t="shared" si="13"/>
        <v>100</v>
      </c>
      <c r="V44" s="705" t="s">
        <v>14</v>
      </c>
      <c r="W44" s="706">
        <f t="shared" si="14"/>
        <v>100</v>
      </c>
      <c r="X44" s="1355"/>
      <c r="Y44" s="366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3"/>
      <c r="Q45" s="1343">
        <f t="shared" si="11"/>
        <v>111</v>
      </c>
      <c r="R45" s="701" t="s">
        <v>14</v>
      </c>
      <c r="S45" s="702">
        <f t="shared" si="12"/>
        <v>100</v>
      </c>
      <c r="T45" s="701" t="s">
        <v>14</v>
      </c>
      <c r="U45" s="702">
        <f t="shared" si="13"/>
        <v>100</v>
      </c>
      <c r="V45" s="701" t="s">
        <v>14</v>
      </c>
      <c r="W45" s="702">
        <f t="shared" si="14"/>
        <v>100</v>
      </c>
      <c r="X45" s="703"/>
      <c r="Y45" s="366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3"/>
      <c r="Q46" s="1352">
        <f t="shared" si="11"/>
        <v>111</v>
      </c>
      <c r="R46" s="705" t="s">
        <v>14</v>
      </c>
      <c r="S46" s="706">
        <f t="shared" si="12"/>
        <v>100</v>
      </c>
      <c r="T46" s="705" t="s">
        <v>14</v>
      </c>
      <c r="U46" s="706">
        <f t="shared" si="13"/>
        <v>100</v>
      </c>
      <c r="V46" s="705" t="s">
        <v>14</v>
      </c>
      <c r="W46" s="706">
        <f t="shared" si="14"/>
        <v>100</v>
      </c>
      <c r="X46" s="1355"/>
      <c r="Y46" s="366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64"/>
      <c r="Q47" s="1352">
        <f t="shared" si="11"/>
        <v>111</v>
      </c>
      <c r="R47" s="705" t="s">
        <v>14</v>
      </c>
      <c r="S47" s="706">
        <f t="shared" si="12"/>
        <v>100</v>
      </c>
      <c r="T47" s="705" t="s">
        <v>14</v>
      </c>
      <c r="U47" s="706">
        <f t="shared" si="13"/>
        <v>100</v>
      </c>
      <c r="V47" s="705" t="s">
        <v>14</v>
      </c>
      <c r="W47" s="706">
        <f t="shared" si="14"/>
        <v>100</v>
      </c>
      <c r="X47" s="1355"/>
      <c r="Y47" s="3666"/>
      <c r="Z47" s="1356">
        <f t="shared" si="15"/>
        <v>111</v>
      </c>
      <c r="AA47" s="1353">
        <f t="shared" si="3"/>
        <v>1</v>
      </c>
      <c r="AB47" s="1353">
        <f t="shared" si="4"/>
        <v>1</v>
      </c>
      <c r="AC47" s="1962">
        <f t="shared" si="5"/>
        <v>1</v>
      </c>
    </row>
    <row r="48" spans="1:29" ht="15">
      <c r="A48" s="430" t="s">
        <v>1708</v>
      </c>
      <c r="B48" s="431"/>
      <c r="C48" s="1154" t="s">
        <v>0</v>
      </c>
      <c r="D48" s="1155"/>
      <c r="E48" s="1156">
        <f>成交案例!M2</f>
        <v>17110</v>
      </c>
      <c r="F48" s="1157"/>
      <c r="G48" s="1158">
        <f>成交案例!M3</f>
        <v>16938</v>
      </c>
      <c r="H48" s="1159"/>
      <c r="I48" s="1156">
        <f>成交案例!M5</f>
        <v>19561</v>
      </c>
      <c r="J48" s="436"/>
      <c r="K48" s="714"/>
      <c r="L48" s="2724"/>
      <c r="M48" s="2716"/>
      <c r="N48" s="2716"/>
      <c r="O48" s="2716"/>
      <c r="P48" s="3669" t="str">
        <f>A48</f>
        <v>成交单价（元/平方米）</v>
      </c>
      <c r="Q48" s="3658"/>
      <c r="R48" s="3659">
        <f>E48</f>
        <v>17110</v>
      </c>
      <c r="S48" s="3659"/>
      <c r="T48" s="3659">
        <f>G48</f>
        <v>16938</v>
      </c>
      <c r="U48" s="3659"/>
      <c r="V48" s="3659">
        <f>I48</f>
        <v>19561</v>
      </c>
      <c r="W48" s="3659"/>
      <c r="X48" s="397"/>
      <c r="Y48" s="712"/>
      <c r="Z48" s="397"/>
      <c r="AA48" s="397"/>
      <c r="AB48" s="397"/>
      <c r="AC48" s="578"/>
    </row>
    <row r="49" spans="1:29" ht="15.75" thickBot="1">
      <c r="A49" s="437" t="s">
        <v>1793</v>
      </c>
      <c r="B49" s="438"/>
      <c r="C49" s="1160">
        <f>R50</f>
        <v>18659</v>
      </c>
      <c r="D49" s="2317" t="s">
        <v>2138</v>
      </c>
      <c r="E49" s="1161">
        <f>R49</f>
        <v>18398</v>
      </c>
      <c r="F49" s="2318"/>
      <c r="G49" s="1160">
        <f>T49</f>
        <v>18213</v>
      </c>
      <c r="H49" s="2318"/>
      <c r="I49" s="1161">
        <f>V49</f>
        <v>19367</v>
      </c>
      <c r="J49" s="2318"/>
      <c r="K49" s="2320">
        <f>F49+H49+J49</f>
        <v>0</v>
      </c>
      <c r="L49" s="2724"/>
      <c r="M49" s="2716"/>
      <c r="N49" s="2716"/>
      <c r="O49" s="2716"/>
      <c r="P49" s="3669" t="str">
        <f>A49</f>
        <v>比较价值（元/平方米）</v>
      </c>
      <c r="Q49" s="3658"/>
      <c r="R49" s="3659">
        <f>IF(F1="售价",ROUND(PRODUCT(R48,AA7:AA47),0),ROUND(PRODUCT(R48,AA7:AA47),1))</f>
        <v>18398</v>
      </c>
      <c r="S49" s="3659"/>
      <c r="T49" s="3659">
        <f>IF(F1="售价",ROUND(PRODUCT(T48,AB7:AB47),0),ROUND(PRODUCT(T48,AB7:AB47),1))</f>
        <v>18213</v>
      </c>
      <c r="U49" s="3659"/>
      <c r="V49" s="3659">
        <f>IF(F1="售价",ROUND(PRODUCT(V48,AC7:AC47),0),ROUND(PRODUCT(V48,AC7:AC47),1))</f>
        <v>19367</v>
      </c>
      <c r="W49" s="3659"/>
      <c r="X49" s="397"/>
      <c r="Y49" s="397"/>
      <c r="Z49" s="397"/>
      <c r="AA49" s="397"/>
      <c r="AB49" s="397"/>
      <c r="AC49" s="578"/>
    </row>
    <row r="50" spans="1:29" ht="15.75" thickBot="1">
      <c r="A50" s="441" t="s">
        <v>1794</v>
      </c>
      <c r="B50" s="442"/>
      <c r="C50" s="1163">
        <f>R50</f>
        <v>18659</v>
      </c>
      <c r="D50" s="1163"/>
      <c r="E50" s="1163"/>
      <c r="F50" s="1163"/>
      <c r="G50" s="1163"/>
      <c r="H50" s="1163"/>
      <c r="I50" s="1163"/>
      <c r="J50" s="443"/>
      <c r="K50" s="715"/>
      <c r="L50" s="2724"/>
      <c r="M50" s="2716"/>
      <c r="N50" s="2716"/>
      <c r="O50" s="2716"/>
      <c r="P50" s="3701" t="str">
        <f>A50</f>
        <v>估价对象XX用房的比较价值（楼面单价，元/平方米）</v>
      </c>
      <c r="Q50" s="3702"/>
      <c r="R50" s="3703">
        <f>IF(F1="售价",ROUND(IF(D49="简单平均",AVERAGE(R49:V49),R49*F49+T49*H49+V49*J49),0),ROUND(IF(D49="简单平均",AVERAGE(R49:V49),R49*F49+T49*H49+V49*J49),1))</f>
        <v>18659</v>
      </c>
      <c r="S50" s="3703"/>
      <c r="T50" s="3703"/>
      <c r="U50" s="3703"/>
      <c r="V50" s="3703"/>
      <c r="W50" s="370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7.5277615429573341E-2</v>
      </c>
      <c r="F53" s="449" t="str">
        <f>IF(OR(E53&gt;=0.3,E53&lt;=-0.3),"超过30%","")</f>
        <v/>
      </c>
      <c r="G53" s="448">
        <f>IF(G48&lt;G49,G49/G48-1,G48/G49-1)</f>
        <v>7.5274530641161963E-2</v>
      </c>
      <c r="H53" s="449" t="str">
        <f>IF(OR(G53&gt;=0.3,G53&lt;=-0.3),"超过30%","")</f>
        <v/>
      </c>
      <c r="I53" s="448">
        <f>IF(I48&lt;I49,I49/I48-1,I48/I49-1)</f>
        <v>1.0017039293643837E-2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1.0157579750727397E-2</v>
      </c>
      <c r="F54" s="449" t="str">
        <f>IF(OR(E54&gt;=0.2,E54&lt;=-0.2),"超过20%","")</f>
        <v/>
      </c>
      <c r="G54" s="448">
        <f>IF(G49&lt;I49,I49/G49-1,G49/I49-1)</f>
        <v>6.3361335309943367E-2</v>
      </c>
      <c r="H54" s="449" t="str">
        <f>IF(OR(G54&gt;=0.2,G54&lt;=-0.2),"超过20%","")</f>
        <v/>
      </c>
      <c r="I54" s="448">
        <f>IF(I49&lt;E49,E49/I49-1,I49/E49-1)</f>
        <v>5.2668768344385164E-2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1.0154681780611741E-2</v>
      </c>
      <c r="F55" s="449" t="str">
        <f>IF(OR(E55&gt;=0.3,E55&lt;=-0.3),"超过30%","")</f>
        <v/>
      </c>
      <c r="G55" s="448">
        <f>IF(G48&lt;I48,I48/G48-1,G48/I48-1)</f>
        <v>0.15485889715432766</v>
      </c>
      <c r="H55" s="449" t="str">
        <f>IF(OR(G55&gt;=0.3,G55&lt;=-0.3),"超过30%","")</f>
        <v/>
      </c>
      <c r="I55" s="448">
        <f>IF(I48&lt;E48,E48/I48-1,I48/E48-1)</f>
        <v>0.14324956165984815</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v>100</v>
      </c>
      <c r="F60" s="461">
        <v>100</v>
      </c>
      <c r="G60" s="461">
        <v>100</v>
      </c>
      <c r="H60" s="461">
        <v>101</v>
      </c>
      <c r="I60" s="461">
        <v>101</v>
      </c>
      <c r="J60" s="461">
        <v>101</v>
      </c>
      <c r="K60" s="461">
        <v>101</v>
      </c>
      <c r="L60" s="461">
        <v>101</v>
      </c>
      <c r="M60" s="462">
        <v>101</v>
      </c>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3464" t="s">
        <v>3437</v>
      </c>
      <c r="D91" s="3465" t="s">
        <v>3438</v>
      </c>
      <c r="E91" s="3465" t="s">
        <v>3439</v>
      </c>
      <c r="F91" s="3465" t="s">
        <v>3440</v>
      </c>
      <c r="G91" s="3465" t="s">
        <v>3441</v>
      </c>
      <c r="H91" s="3465" t="s">
        <v>3442</v>
      </c>
      <c r="I91" s="3466" t="s">
        <v>3443</v>
      </c>
      <c r="J91" s="3466" t="s">
        <v>3444</v>
      </c>
      <c r="K91" s="3465" t="s">
        <v>3445</v>
      </c>
      <c r="L91" s="3465" t="s">
        <v>3446</v>
      </c>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99</v>
      </c>
      <c r="E92" s="493">
        <f t="shared" si="21"/>
        <v>98</v>
      </c>
      <c r="F92" s="493">
        <f t="shared" si="21"/>
        <v>97</v>
      </c>
      <c r="G92" s="493">
        <f t="shared" si="21"/>
        <v>96</v>
      </c>
      <c r="H92" s="493">
        <f t="shared" si="21"/>
        <v>95</v>
      </c>
      <c r="I92" s="493">
        <f t="shared" si="21"/>
        <v>94</v>
      </c>
      <c r="J92" s="493">
        <f t="shared" si="21"/>
        <v>93</v>
      </c>
      <c r="K92" s="493">
        <f t="shared" si="21"/>
        <v>92</v>
      </c>
      <c r="L92" s="493">
        <f t="shared" si="21"/>
        <v>91</v>
      </c>
      <c r="M92" s="493">
        <f t="shared" si="21"/>
        <v>90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0(含)-30</v>
      </c>
      <c r="D103" s="527" t="str">
        <f t="shared" ref="D103:L103" si="23">D104&amp;"(含)"&amp;"-"&amp;E104</f>
        <v>30(含)-60</v>
      </c>
      <c r="E103" s="527" t="str">
        <f t="shared" si="23"/>
        <v>60(含)-90</v>
      </c>
      <c r="F103" s="527" t="str">
        <f t="shared" si="23"/>
        <v>90(含)-120</v>
      </c>
      <c r="G103" s="527" t="str">
        <f t="shared" si="23"/>
        <v>120(含)-150</v>
      </c>
      <c r="H103" s="527" t="str">
        <f t="shared" si="23"/>
        <v>150(含)-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v>
      </c>
      <c r="E104" s="544">
        <v>60</v>
      </c>
      <c r="F104" s="544">
        <v>90</v>
      </c>
      <c r="G104" s="544">
        <v>120</v>
      </c>
      <c r="H104" s="544">
        <v>150</v>
      </c>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98</v>
      </c>
      <c r="E105" s="485">
        <v>96</v>
      </c>
      <c r="F105" s="485">
        <v>94</v>
      </c>
      <c r="G105" s="485">
        <v>92</v>
      </c>
      <c r="H105" s="485">
        <v>90</v>
      </c>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67" t="s">
        <v>3447</v>
      </c>
      <c r="D106" s="3467" t="s">
        <v>3396</v>
      </c>
      <c r="E106" s="3468" t="s">
        <v>3448</v>
      </c>
      <c r="F106" s="3468" t="s">
        <v>3449</v>
      </c>
      <c r="G106" s="3465" t="s">
        <v>3450</v>
      </c>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67" t="s">
        <v>3451</v>
      </c>
      <c r="D108" s="3467" t="s">
        <v>3452</v>
      </c>
      <c r="E108" s="3467" t="s">
        <v>3453</v>
      </c>
      <c r="F108" s="3468" t="s">
        <v>3454</v>
      </c>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67" t="s">
        <v>3451</v>
      </c>
      <c r="D123" s="3467" t="s">
        <v>3452</v>
      </c>
      <c r="E123" s="3467" t="s">
        <v>3455</v>
      </c>
      <c r="F123" s="3468" t="s">
        <v>3454</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8" priority="20" stopIfTrue="1" operator="containsText" text="超过">
      <formula>NOT(ISERROR(SEARCH("超过",F53)))</formula>
    </cfRule>
  </conditionalFormatting>
  <conditionalFormatting sqref="H55">
    <cfRule type="containsText" dxfId="167" priority="19" stopIfTrue="1" operator="containsText" text="超过">
      <formula>NOT(ISERROR(SEARCH("超过",H55)))</formula>
    </cfRule>
  </conditionalFormatting>
  <conditionalFormatting sqref="F55">
    <cfRule type="containsText" dxfId="166" priority="18" stopIfTrue="1" operator="containsText" text="超过">
      <formula>NOT(ISERROR(SEARCH("超过",F55)))</formula>
    </cfRule>
  </conditionalFormatting>
  <conditionalFormatting sqref="F54 H54">
    <cfRule type="containsText" dxfId="165" priority="17" stopIfTrue="1" operator="containsText" text="超过">
      <formula>NOT(ISERROR(SEARCH("超过",F54)))</formula>
    </cfRule>
  </conditionalFormatting>
  <conditionalFormatting sqref="E53">
    <cfRule type="expression" dxfId="164" priority="16" stopIfTrue="1">
      <formula>$F$53="超过30%"</formula>
    </cfRule>
  </conditionalFormatting>
  <conditionalFormatting sqref="E54">
    <cfRule type="expression" dxfId="163" priority="15" stopIfTrue="1">
      <formula>$F$54="超过20%"</formula>
    </cfRule>
  </conditionalFormatting>
  <conditionalFormatting sqref="E55">
    <cfRule type="expression" dxfId="162" priority="14" stopIfTrue="1">
      <formula>$F$55="超过30%"</formula>
    </cfRule>
  </conditionalFormatting>
  <conditionalFormatting sqref="G55">
    <cfRule type="expression" dxfId="161" priority="13" stopIfTrue="1">
      <formula>$H$55="超过30%"</formula>
    </cfRule>
  </conditionalFormatting>
  <conditionalFormatting sqref="G53">
    <cfRule type="expression" dxfId="160" priority="12" stopIfTrue="1">
      <formula>$H$53="超过30%"</formula>
    </cfRule>
  </conditionalFormatting>
  <conditionalFormatting sqref="G54">
    <cfRule type="expression" dxfId="159" priority="11" stopIfTrue="1">
      <formula>$H$54="超过20%"</formula>
    </cfRule>
  </conditionalFormatting>
  <conditionalFormatting sqref="J53">
    <cfRule type="containsText" dxfId="158" priority="10" stopIfTrue="1" operator="containsText" text="超过">
      <formula>NOT(ISERROR(SEARCH("超过",J53)))</formula>
    </cfRule>
  </conditionalFormatting>
  <conditionalFormatting sqref="J55">
    <cfRule type="containsText" dxfId="157" priority="9" stopIfTrue="1" operator="containsText" text="超过">
      <formula>NOT(ISERROR(SEARCH("超过",J55)))</formula>
    </cfRule>
  </conditionalFormatting>
  <conditionalFormatting sqref="J54">
    <cfRule type="containsText" dxfId="156" priority="8" stopIfTrue="1" operator="containsText" text="超过">
      <formula>NOT(ISERROR(SEARCH("超过",J54)))</formula>
    </cfRule>
  </conditionalFormatting>
  <conditionalFormatting sqref="I53">
    <cfRule type="expression" dxfId="155" priority="7" stopIfTrue="1">
      <formula>$J$53="超过30%"</formula>
    </cfRule>
  </conditionalFormatting>
  <conditionalFormatting sqref="I54">
    <cfRule type="expression" dxfId="154" priority="6" stopIfTrue="1">
      <formula>$J$53+$J$54="超过20%"</formula>
    </cfRule>
  </conditionalFormatting>
  <conditionalFormatting sqref="I55">
    <cfRule type="expression" dxfId="153" priority="5" stopIfTrue="1">
      <formula>$J$55="超过30%"</formula>
    </cfRule>
  </conditionalFormatting>
  <conditionalFormatting sqref="F49">
    <cfRule type="expression" dxfId="152" priority="4">
      <formula>$D$49="简单平均"</formula>
    </cfRule>
  </conditionalFormatting>
  <conditionalFormatting sqref="H49">
    <cfRule type="expression" dxfId="151" priority="3">
      <formula>$D$49="简单平均"</formula>
    </cfRule>
  </conditionalFormatting>
  <conditionalFormatting sqref="J49">
    <cfRule type="expression" dxfId="150" priority="2">
      <formula>$D$49="简单平均"</formula>
    </cfRule>
  </conditionalFormatting>
  <conditionalFormatting sqref="F7:F47 H7:H47 J7:J47">
    <cfRule type="cellIs" dxfId="14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election activeCell="P2" sqref="P2"/>
    </sheetView>
  </sheetViews>
  <sheetFormatPr defaultRowHeight="13.5"/>
  <cols>
    <col min="1" max="1" width="3.75" customWidth="1"/>
    <col min="2" max="2" width="10.75" customWidth="1"/>
  </cols>
  <sheetData>
    <row r="1" spans="1:15" ht="15.75" customHeight="1">
      <c r="A1" s="3459" t="s">
        <v>3399</v>
      </c>
      <c r="B1" s="3459" t="s">
        <v>3404</v>
      </c>
      <c r="C1" s="3459" t="s">
        <v>3405</v>
      </c>
      <c r="D1" s="3459" t="s">
        <v>3406</v>
      </c>
      <c r="E1" s="3459" t="s">
        <v>3407</v>
      </c>
      <c r="F1" s="3459" t="s">
        <v>3408</v>
      </c>
      <c r="G1" s="3459" t="s">
        <v>3409</v>
      </c>
      <c r="H1" s="3459" t="s">
        <v>3410</v>
      </c>
      <c r="I1" s="3459" t="s">
        <v>3411</v>
      </c>
      <c r="J1" s="3459" t="s">
        <v>3400</v>
      </c>
      <c r="K1" s="3459" t="s">
        <v>3412</v>
      </c>
      <c r="L1" s="3459" t="s">
        <v>3413</v>
      </c>
      <c r="M1" s="3459" t="s">
        <v>3414</v>
      </c>
      <c r="N1" s="3459" t="s">
        <v>3415</v>
      </c>
      <c r="O1" s="3459" t="s">
        <v>3416</v>
      </c>
    </row>
    <row r="2" spans="1:15" ht="15" customHeight="1">
      <c r="A2" s="3461">
        <v>1</v>
      </c>
      <c r="B2" s="3461" t="s">
        <v>3417</v>
      </c>
      <c r="C2" s="3461" t="s">
        <v>3403</v>
      </c>
      <c r="D2" s="3461" t="s">
        <v>3418</v>
      </c>
      <c r="E2" s="3461">
        <v>32.729999999999997</v>
      </c>
      <c r="F2" s="3461" t="s">
        <v>3419</v>
      </c>
      <c r="G2" s="3461">
        <v>14</v>
      </c>
      <c r="H2" s="3461" t="s">
        <v>3421</v>
      </c>
      <c r="I2" s="3461" t="s">
        <v>3425</v>
      </c>
      <c r="J2" s="3461" t="s">
        <v>3401</v>
      </c>
      <c r="K2" s="3461" t="s">
        <v>3427</v>
      </c>
      <c r="L2" s="3461">
        <v>2015</v>
      </c>
      <c r="M2" s="3461">
        <v>17110</v>
      </c>
      <c r="N2" s="3461">
        <f>ROUND(E2*M2/10000,0)</f>
        <v>56</v>
      </c>
      <c r="O2" s="3462">
        <v>45227</v>
      </c>
    </row>
    <row r="3" spans="1:15">
      <c r="A3" s="3461">
        <v>2</v>
      </c>
      <c r="B3" s="3461" t="s">
        <v>3417</v>
      </c>
      <c r="C3" s="3461" t="s">
        <v>3403</v>
      </c>
      <c r="D3" s="3461" t="s">
        <v>3418</v>
      </c>
      <c r="E3" s="3461">
        <v>31.29</v>
      </c>
      <c r="F3" s="3461" t="s">
        <v>2555</v>
      </c>
      <c r="G3" s="3461">
        <v>14</v>
      </c>
      <c r="H3" s="3461" t="s">
        <v>3422</v>
      </c>
      <c r="I3" s="3461" t="s">
        <v>3425</v>
      </c>
      <c r="J3" s="3461" t="s">
        <v>3401</v>
      </c>
      <c r="K3" s="3461" t="s">
        <v>3427</v>
      </c>
      <c r="L3" s="3461">
        <v>2015</v>
      </c>
      <c r="M3" s="3461">
        <v>16938</v>
      </c>
      <c r="N3" s="3461">
        <f t="shared" ref="N3:N6" si="0">ROUND(E3*M3/10000,0)</f>
        <v>53</v>
      </c>
      <c r="O3" s="3462">
        <v>45226</v>
      </c>
    </row>
    <row r="4" spans="1:15">
      <c r="A4" s="3459">
        <v>3</v>
      </c>
      <c r="B4" s="3459" t="s">
        <v>3417</v>
      </c>
      <c r="C4" s="3459" t="s">
        <v>3403</v>
      </c>
      <c r="D4" s="3459" t="s">
        <v>3418</v>
      </c>
      <c r="E4" s="3459">
        <v>37.08</v>
      </c>
      <c r="F4" s="3459" t="s">
        <v>3419</v>
      </c>
      <c r="G4" s="3459">
        <v>14</v>
      </c>
      <c r="H4" s="3459" t="s">
        <v>3423</v>
      </c>
      <c r="I4" s="3459" t="s">
        <v>3425</v>
      </c>
      <c r="J4" s="3459" t="s">
        <v>3401</v>
      </c>
      <c r="K4" s="3459" t="s">
        <v>3427</v>
      </c>
      <c r="L4" s="3459">
        <v>2015</v>
      </c>
      <c r="M4" s="3459">
        <v>15777</v>
      </c>
      <c r="N4" s="3459">
        <f t="shared" si="0"/>
        <v>59</v>
      </c>
      <c r="O4" s="3460">
        <v>45130</v>
      </c>
    </row>
    <row r="5" spans="1:15">
      <c r="A5" s="3461">
        <v>4</v>
      </c>
      <c r="B5" s="3461" t="s">
        <v>3420</v>
      </c>
      <c r="C5" s="3461" t="s">
        <v>3403</v>
      </c>
      <c r="D5" s="3461" t="s">
        <v>3418</v>
      </c>
      <c r="E5" s="3461">
        <v>35.53</v>
      </c>
      <c r="F5" s="3461" t="s">
        <v>3419</v>
      </c>
      <c r="G5" s="3461">
        <v>14</v>
      </c>
      <c r="H5" s="3461" t="s">
        <v>3424</v>
      </c>
      <c r="I5" s="3461" t="s">
        <v>3426</v>
      </c>
      <c r="J5" s="3461" t="s">
        <v>3401</v>
      </c>
      <c r="K5" s="3461" t="s">
        <v>3427</v>
      </c>
      <c r="L5" s="3461">
        <v>2015</v>
      </c>
      <c r="M5" s="3461">
        <v>19561</v>
      </c>
      <c r="N5" s="3461">
        <f t="shared" si="0"/>
        <v>70</v>
      </c>
      <c r="O5" s="3462">
        <v>45106</v>
      </c>
    </row>
    <row r="6" spans="1:15">
      <c r="A6" s="3459">
        <v>5</v>
      </c>
      <c r="B6" s="3459" t="s">
        <v>3420</v>
      </c>
      <c r="C6" s="3459" t="s">
        <v>3403</v>
      </c>
      <c r="D6" s="3459" t="s">
        <v>3418</v>
      </c>
      <c r="E6" s="3459">
        <v>30.65</v>
      </c>
      <c r="F6" s="3459" t="s">
        <v>3419</v>
      </c>
      <c r="G6" s="3459">
        <v>14</v>
      </c>
      <c r="H6" s="3459" t="s">
        <v>3424</v>
      </c>
      <c r="I6" s="3459" t="s">
        <v>3402</v>
      </c>
      <c r="J6" s="3459" t="s">
        <v>3401</v>
      </c>
      <c r="K6" s="3459" t="s">
        <v>3427</v>
      </c>
      <c r="L6" s="3459">
        <v>2015</v>
      </c>
      <c r="M6" s="3459">
        <v>19576</v>
      </c>
      <c r="N6" s="3459">
        <f t="shared" si="0"/>
        <v>60</v>
      </c>
      <c r="O6" s="3460">
        <v>45077</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D18" sqref="D1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39.380000000000003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63.839599999999997</v>
      </c>
      <c r="C2" s="1387" t="s">
        <v>879</v>
      </c>
      <c r="D2" s="1471">
        <f ca="1">C40+J29+L46</f>
        <v>638396</v>
      </c>
      <c r="E2" s="1388" t="s">
        <v>880</v>
      </c>
      <c r="F2" s="1389"/>
      <c r="G2" s="2706"/>
      <c r="H2" s="2695"/>
      <c r="I2" s="2695"/>
      <c r="J2" s="2695"/>
      <c r="K2" s="2696"/>
      <c r="L2" s="2695"/>
      <c r="M2" s="2695"/>
    </row>
    <row r="3" spans="1:37" ht="18" customHeight="1" thickBot="1">
      <c r="A3" s="1390" t="s">
        <v>881</v>
      </c>
      <c r="B3" s="1391">
        <f ca="1">IF(ISERROR(D2/F43),0,ROUND(D2/F43,0))</f>
        <v>18574</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30853</v>
      </c>
      <c r="D5" s="1364" t="s">
        <v>889</v>
      </c>
      <c r="E5" s="1071"/>
      <c r="F5" s="1072"/>
      <c r="G5" s="1384"/>
      <c r="H5" s="299">
        <v>1</v>
      </c>
      <c r="I5" s="300" t="s">
        <v>888</v>
      </c>
      <c r="J5" s="1070">
        <f ca="1">J6+J10+J12</f>
        <v>0</v>
      </c>
      <c r="K5" s="1364" t="s">
        <v>889</v>
      </c>
      <c r="L5" s="1071"/>
      <c r="M5" s="1072"/>
    </row>
    <row r="6" spans="1:37" ht="18" customHeight="1">
      <c r="A6" s="1069" t="s">
        <v>398</v>
      </c>
      <c r="B6" s="3716" t="s">
        <v>694</v>
      </c>
      <c r="C6" s="1074">
        <f ca="1">ROUND(F6*F8*F7*(1-F9),0)</f>
        <v>30814</v>
      </c>
      <c r="D6" s="155" t="s">
        <v>2106</v>
      </c>
      <c r="E6" s="302" t="s">
        <v>696</v>
      </c>
      <c r="F6" s="303">
        <f ca="1">INDIRECT("'数据-取费表'!u"&amp;$G$1)</f>
        <v>3021</v>
      </c>
      <c r="G6" s="1384"/>
      <c r="H6" s="1069" t="s">
        <v>398</v>
      </c>
      <c r="I6" s="3716" t="s">
        <v>694</v>
      </c>
      <c r="J6" s="301">
        <f ca="1">ROUND(M6*M8*M7*(1-M9),0)</f>
        <v>0</v>
      </c>
      <c r="K6" s="1376" t="s">
        <v>2107</v>
      </c>
      <c r="L6" s="302" t="s">
        <v>696</v>
      </c>
      <c r="M6" s="303">
        <f ca="1">INDIRECT("'数据-取费表'!z"&amp;$G$1)</f>
        <v>0</v>
      </c>
    </row>
    <row r="7" spans="1:37" ht="18" customHeight="1">
      <c r="A7" s="1073"/>
      <c r="B7" s="3717"/>
      <c r="C7" s="1075"/>
      <c r="D7" s="307"/>
      <c r="E7" s="1076" t="s">
        <v>697</v>
      </c>
      <c r="F7" s="303">
        <f ca="1">IF(INDIRECT("'数据-取费表'!ah"&amp;$G$1)="",INDIRECT("'数据-取费表'!k"&amp;$G$1),INDIRECT("'数据-取费表'!ah"&amp;$G$1))</f>
        <v>1</v>
      </c>
      <c r="G7" s="1384"/>
      <c r="H7" s="304"/>
      <c r="I7" s="3717"/>
      <c r="J7" s="306"/>
      <c r="K7" s="307"/>
      <c r="L7" s="302" t="s">
        <v>697</v>
      </c>
      <c r="M7" s="303">
        <f ca="1">F7</f>
        <v>1</v>
      </c>
    </row>
    <row r="8" spans="1:37" ht="18" customHeight="1">
      <c r="A8" s="304"/>
      <c r="B8" s="3717"/>
      <c r="C8" s="306"/>
      <c r="D8" s="307"/>
      <c r="E8" s="302" t="s">
        <v>698</v>
      </c>
      <c r="F8" s="303">
        <f ca="1">INDIRECT("'数据-取费表'!ai"&amp;$G$1)</f>
        <v>12</v>
      </c>
      <c r="G8" s="1384"/>
      <c r="H8" s="304"/>
      <c r="I8" s="3717"/>
      <c r="J8" s="306"/>
      <c r="K8" s="307"/>
      <c r="L8" s="302" t="s">
        <v>698</v>
      </c>
      <c r="M8" s="303">
        <f ca="1">INDIRECT("'数据-取费表'!ai"&amp;$G$1)</f>
        <v>12</v>
      </c>
    </row>
    <row r="9" spans="1:37" ht="18" customHeight="1">
      <c r="A9" s="304"/>
      <c r="B9" s="3718"/>
      <c r="C9" s="306"/>
      <c r="D9" s="307"/>
      <c r="E9" s="302" t="s">
        <v>699</v>
      </c>
      <c r="F9" s="312">
        <f ca="1">INDIRECT("'数据-取费表'!w"&amp;$G$1)</f>
        <v>0.15</v>
      </c>
      <c r="G9" s="1384"/>
      <c r="H9" s="304"/>
      <c r="I9" s="3718"/>
      <c r="J9" s="306"/>
      <c r="K9" s="307"/>
      <c r="L9" s="313" t="s">
        <v>699</v>
      </c>
      <c r="M9" s="314">
        <f ca="1">INDIRECT("'数据-取费表'!ab"&amp;$G$1)</f>
        <v>0</v>
      </c>
    </row>
    <row r="10" spans="1:37" ht="18" customHeight="1">
      <c r="A10" s="1069" t="s">
        <v>402</v>
      </c>
      <c r="B10" s="1365" t="s">
        <v>700</v>
      </c>
      <c r="C10" s="316">
        <f ca="1">ROUND(IF(F10="押一",C6/12*F11,IF(F10="押二",C6/12*2*F11,IF(F10="押三",C6/12*3*F11,C11*F11))),0)</f>
        <v>39</v>
      </c>
      <c r="D10" s="1366" t="s">
        <v>2116</v>
      </c>
      <c r="E10" s="313" t="s">
        <v>701</v>
      </c>
      <c r="F10" s="1116" t="s">
        <v>3394</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143232</v>
      </c>
      <c r="D13" s="1081" t="s">
        <v>705</v>
      </c>
      <c r="E13" s="1081" t="s">
        <v>706</v>
      </c>
      <c r="F13" s="1082">
        <f ca="1">INDIRECT("'数据-取费表'!y"&amp;$G$1)</f>
        <v>0.89</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103110</v>
      </c>
      <c r="D14" s="1345" t="s">
        <v>708</v>
      </c>
      <c r="E14" s="1342"/>
      <c r="F14" s="319"/>
      <c r="G14" s="1384"/>
      <c r="H14" s="982" t="s">
        <v>398</v>
      </c>
      <c r="I14" s="302" t="s">
        <v>709</v>
      </c>
      <c r="J14" s="21">
        <f ca="1">C29</f>
        <v>160935</v>
      </c>
      <c r="K14" s="12"/>
      <c r="L14" s="807"/>
      <c r="M14" s="808"/>
    </row>
    <row r="15" spans="1:37" s="1397" customFormat="1" ht="18" customHeight="1" thickBot="1">
      <c r="A15" s="982" t="s">
        <v>399</v>
      </c>
      <c r="B15" s="302" t="s">
        <v>710</v>
      </c>
      <c r="C15" s="21">
        <f ca="1">ROUND(C14*F15,0)</f>
        <v>5156</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4023</v>
      </c>
      <c r="K16" s="1087" t="s">
        <v>715</v>
      </c>
      <c r="L16" s="1088"/>
      <c r="M16" s="1072"/>
    </row>
    <row r="17" spans="1:37" s="1397" customFormat="1" ht="18" customHeight="1">
      <c r="A17" s="982" t="s">
        <v>681</v>
      </c>
      <c r="B17" s="302" t="s">
        <v>716</v>
      </c>
      <c r="C17" s="21">
        <f ca="1">ROUND(F17*(F43+INDIRECT("'数据-取费表'!S"&amp;$G$1)),0)</f>
        <v>6874</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1547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116687</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2334</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4023</v>
      </c>
      <c r="K22" s="1344" t="s">
        <v>739</v>
      </c>
      <c r="L22" s="302" t="s">
        <v>712</v>
      </c>
      <c r="M22" s="328">
        <f ca="1">INDIRECT("'数据-取费表'!Ak"&amp;$G$1)</f>
        <v>2.5000000000000001E-2</v>
      </c>
    </row>
    <row r="23" spans="1:37" s="1397" customFormat="1" ht="18" customHeight="1">
      <c r="A23" s="982" t="s">
        <v>397</v>
      </c>
      <c r="B23" s="302" t="s">
        <v>740</v>
      </c>
      <c r="C23" s="21">
        <f ca="1">IF('数据-取费表'!B22&lt;=1,ROUND(C19*F24*F23/2,0)+ROUND(C20*F24*F23/2,0),ROUND(C19*(POWER((1+F24),F23/2)-1),0)+ROUND(C20*(POWER((1+F24),F23/2)-1),0))</f>
        <v>5654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2E-3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2.5000000000000001E-2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-4023</v>
      </c>
      <c r="K25" s="1095" t="s">
        <v>753</v>
      </c>
      <c r="L25" s="1096"/>
      <c r="M25" s="1097"/>
    </row>
    <row r="26" spans="1:37" ht="18" customHeight="1">
      <c r="A26" s="982" t="s">
        <v>397</v>
      </c>
      <c r="B26" s="302" t="s">
        <v>754</v>
      </c>
      <c r="C26" s="21">
        <f ca="1">ROUND((C19+C20)*F26,0)</f>
        <v>23804</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160935</v>
      </c>
      <c r="D29" s="1092"/>
      <c r="E29" s="1090"/>
      <c r="F29" s="1093"/>
      <c r="G29" s="1396"/>
      <c r="H29" s="334" t="s">
        <v>396</v>
      </c>
      <c r="I29" s="335" t="s">
        <v>768</v>
      </c>
      <c r="J29" s="336">
        <f ca="1">ROUND(J26/(1+F40)^F41,0)</f>
        <v>0</v>
      </c>
      <c r="K29" s="337" t="s">
        <v>769</v>
      </c>
      <c r="L29" s="338"/>
      <c r="M29" s="339">
        <f ca="1">INDIRECT("'数据-取费表'!k"&amp;$G$1)</f>
        <v>34.369999999999997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7134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2054</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4023</v>
      </c>
      <c r="D36" s="1344" t="s">
        <v>771</v>
      </c>
      <c r="E36" s="302" t="s">
        <v>712</v>
      </c>
      <c r="F36" s="328">
        <f ca="1">INDIRECT("'数据-取费表'!Ak"&amp;$G$1)</f>
        <v>2.5000000000000001E-2</v>
      </c>
      <c r="G36" s="1384"/>
      <c r="H36" s="2700"/>
      <c r="I36" s="1398"/>
      <c r="J36" s="1399"/>
      <c r="K36" s="2544"/>
      <c r="L36" s="2700"/>
      <c r="M36" s="2700"/>
    </row>
    <row r="37" spans="1:18" ht="18" customHeight="1">
      <c r="A37" s="982" t="s">
        <v>437</v>
      </c>
      <c r="B37" s="302" t="s">
        <v>742</v>
      </c>
      <c r="C37" s="21">
        <f ca="1">ROUND(C13*F37,0)</f>
        <v>286</v>
      </c>
      <c r="D37" s="1344" t="s">
        <v>743</v>
      </c>
      <c r="E37" s="302" t="s">
        <v>744</v>
      </c>
      <c r="F37" s="330">
        <f ca="1">INDIRECT("'数据-取费表'!Al"&amp;$G$1)</f>
        <v>2E-3</v>
      </c>
      <c r="G37" s="1384"/>
      <c r="H37" s="2700"/>
      <c r="I37" s="1398"/>
      <c r="J37" s="1399"/>
      <c r="K37" s="2544"/>
      <c r="L37" s="2700"/>
      <c r="M37" s="2700"/>
    </row>
    <row r="38" spans="1:18" ht="18" customHeight="1" thickBot="1">
      <c r="A38" s="1089" t="s">
        <v>684</v>
      </c>
      <c r="B38" s="1090" t="s">
        <v>728</v>
      </c>
      <c r="C38" s="1091">
        <f ca="1">ROUND(C5*F38,0)</f>
        <v>771</v>
      </c>
      <c r="D38" s="1092" t="s">
        <v>748</v>
      </c>
      <c r="E38" s="1090" t="s">
        <v>744</v>
      </c>
      <c r="F38" s="1086">
        <f ca="1">INDIRECT("'数据-取费表'!Am"&amp;$G$1)</f>
        <v>2.5000000000000001E-2</v>
      </c>
      <c r="G38" s="1384"/>
      <c r="H38" s="2700"/>
      <c r="I38" s="1398"/>
      <c r="J38" s="1399"/>
      <c r="K38" s="2704"/>
      <c r="L38" s="2700"/>
      <c r="M38" s="2700"/>
    </row>
    <row r="39" spans="1:18" ht="24.6" customHeight="1" thickTop="1">
      <c r="A39" s="1079" t="s">
        <v>394</v>
      </c>
      <c r="B39" s="1094" t="s">
        <v>772</v>
      </c>
      <c r="C39" s="310">
        <f ca="1">C5-C30</f>
        <v>23719</v>
      </c>
      <c r="D39" s="1095" t="s">
        <v>773</v>
      </c>
      <c r="E39" s="1096"/>
      <c r="F39" s="1097"/>
      <c r="G39" s="1384"/>
      <c r="H39" s="2700"/>
      <c r="I39" s="1398"/>
      <c r="J39" s="1399"/>
      <c r="K39" s="2704"/>
      <c r="L39" s="2700"/>
      <c r="M39" s="2700"/>
    </row>
    <row r="40" spans="1:18" ht="18" customHeight="1">
      <c r="A40" s="299" t="s">
        <v>395</v>
      </c>
      <c r="B40" s="300" t="s">
        <v>774</v>
      </c>
      <c r="C40" s="301">
        <f ca="1">ROUND(C39*(1-((1+F42)/(1+F40))^F41)/(F40-F42),0)</f>
        <v>633913</v>
      </c>
      <c r="D40" s="324" t="s">
        <v>758</v>
      </c>
      <c r="E40" s="302" t="s">
        <v>759</v>
      </c>
      <c r="F40" s="312">
        <f ca="1">INDIRECT("'数据-取费表'!I"&amp;$G$1)</f>
        <v>0.04</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39.380000000000003</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18444</v>
      </c>
      <c r="D43" s="337" t="s">
        <v>777</v>
      </c>
      <c r="E43" s="338" t="s">
        <v>778</v>
      </c>
      <c r="F43" s="339">
        <f ca="1">INDIRECT("'数据-取费表'!k"&amp;$G$1)</f>
        <v>34.369999999999997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3355</v>
      </c>
      <c r="B45" s="1400"/>
      <c r="C45" s="1472">
        <f ca="1">ROUND((C68-C40)/10000,4)</f>
        <v>-71.864800000000002</v>
      </c>
      <c r="D45" s="3432" t="s">
        <v>3356</v>
      </c>
      <c r="E45" s="1400"/>
      <c r="F45" s="1400"/>
      <c r="O45" s="1403" t="s">
        <v>808</v>
      </c>
      <c r="P45" s="1461"/>
      <c r="Q45" s="1461"/>
      <c r="R45" s="1461"/>
    </row>
    <row r="46" spans="1:18" s="1384" customFormat="1" ht="13.5" thickBot="1">
      <c r="A46" s="1404" t="s">
        <v>809</v>
      </c>
      <c r="C46" s="1405">
        <f ca="1">ROUND(C45,0)</f>
        <v>-72</v>
      </c>
      <c r="D46" s="1406" t="str">
        <f>C2</f>
        <v>万元</v>
      </c>
      <c r="I46" s="1407" t="s">
        <v>810</v>
      </c>
      <c r="J46" s="1408"/>
      <c r="K46" s="1409"/>
      <c r="L46" s="1410">
        <f ca="1">IF(M47="住宅",0,IF(L48&gt;J51,L60,J60))</f>
        <v>4483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633913</v>
      </c>
      <c r="R47" s="1420" t="s">
        <v>818</v>
      </c>
    </row>
    <row r="48" spans="1:18" s="1384" customFormat="1" ht="28.5" thickBot="1">
      <c r="A48" s="1110" t="s">
        <v>438</v>
      </c>
      <c r="B48" s="300" t="s">
        <v>692</v>
      </c>
      <c r="C48" s="1359">
        <f ca="1">C49+C53+C55</f>
        <v>0</v>
      </c>
      <c r="D48" s="1112"/>
      <c r="E48" s="1113"/>
      <c r="F48" s="962"/>
      <c r="G48" s="722"/>
      <c r="H48" s="723"/>
      <c r="I48" s="1421" t="s">
        <v>819</v>
      </c>
      <c r="J48" s="1422" t="s">
        <v>3397</v>
      </c>
      <c r="K48" s="1423" t="s">
        <v>820</v>
      </c>
      <c r="L48" s="1424">
        <f ca="1">INDIRECT("'数据-取费表'!f"&amp;$G$1)</f>
        <v>39.380000000000003</v>
      </c>
      <c r="O48" s="1418" t="s">
        <v>404</v>
      </c>
      <c r="P48" s="1419" t="s">
        <v>821</v>
      </c>
      <c r="Q48" s="1420">
        <f ca="1">J60</f>
        <v>4483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160935</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52</v>
      </c>
      <c r="K51" s="1434" t="s">
        <v>830</v>
      </c>
      <c r="L51" s="1435">
        <f ca="1">ROUND(-PV(INDIRECT("'数据-取费表'!h"&amp;$G$1),J51,(C39-C13*C76),0),0)</f>
        <v>313359</v>
      </c>
      <c r="M51" s="1436"/>
      <c r="O51" s="1428" t="s">
        <v>407</v>
      </c>
      <c r="P51" s="1419" t="s">
        <v>831</v>
      </c>
      <c r="Q51" s="1431">
        <f>J52</f>
        <v>7.0000000000000007E-2</v>
      </c>
      <c r="R51" s="1420"/>
    </row>
    <row r="52" spans="1:18" s="1384" customFormat="1" ht="13.5" thickBot="1">
      <c r="A52" s="977"/>
      <c r="B52" s="979"/>
      <c r="C52" s="980"/>
      <c r="D52" s="953"/>
      <c r="E52" s="981" t="s">
        <v>699</v>
      </c>
      <c r="F52" s="1054"/>
      <c r="I52" s="1437" t="s">
        <v>832</v>
      </c>
      <c r="J52" s="1438">
        <v>7.0000000000000007E-2</v>
      </c>
      <c r="K52" s="1437" t="s">
        <v>833</v>
      </c>
      <c r="L52" s="1438"/>
      <c r="O52" s="1428" t="s">
        <v>408</v>
      </c>
      <c r="P52" s="1419" t="s">
        <v>834</v>
      </c>
      <c r="Q52" s="1420">
        <f ca="1">J53</f>
        <v>39.380000000000003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39.380000000000003</v>
      </c>
      <c r="K53" s="3719" t="s">
        <v>837</v>
      </c>
      <c r="L53" s="3720"/>
      <c r="O53" s="1418" t="s">
        <v>409</v>
      </c>
      <c r="P53" s="1419" t="s">
        <v>838</v>
      </c>
      <c r="Q53" s="1420">
        <f ca="1">Q47+Q48</f>
        <v>638396</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0.21</v>
      </c>
      <c r="K55" s="1445" t="s">
        <v>841</v>
      </c>
      <c r="L55" s="1446" t="s">
        <v>3398</v>
      </c>
      <c r="O55" s="1411" t="s">
        <v>811</v>
      </c>
      <c r="P55" s="1412" t="s">
        <v>812</v>
      </c>
      <c r="Q55" s="1413" t="s">
        <v>813</v>
      </c>
      <c r="R55" s="1413" t="s">
        <v>814</v>
      </c>
    </row>
    <row r="56" spans="1:18" s="1384" customFormat="1" ht="36" customHeight="1" thickTop="1" thickBot="1">
      <c r="A56" s="957">
        <v>2</v>
      </c>
      <c r="B56" s="958" t="s">
        <v>704</v>
      </c>
      <c r="C56" s="232">
        <f ca="1">C13</f>
        <v>143232</v>
      </c>
      <c r="D56" s="1447"/>
      <c r="E56" s="1448"/>
      <c r="F56" s="1440"/>
      <c r="I56" s="1449" t="s">
        <v>842</v>
      </c>
      <c r="J56" s="1450" t="s">
        <v>3459</v>
      </c>
      <c r="K56" s="1421" t="s">
        <v>843</v>
      </c>
      <c r="L56" s="1424" t="str">
        <f ca="1">IF(L48&lt;J51,"——",L48-J51)</f>
        <v>——</v>
      </c>
      <c r="O56" s="1418" t="s">
        <v>403</v>
      </c>
      <c r="P56" s="1419" t="s">
        <v>817</v>
      </c>
      <c r="Q56" s="1420">
        <f ca="1">C40+J29</f>
        <v>633913</v>
      </c>
      <c r="R56" s="1420" t="s">
        <v>818</v>
      </c>
    </row>
    <row r="57" spans="1:18" s="1384" customFormat="1" ht="24.75" thickBot="1">
      <c r="A57" s="1451"/>
      <c r="B57" s="950" t="s">
        <v>767</v>
      </c>
      <c r="C57" s="238">
        <f ca="1">C29</f>
        <v>160935</v>
      </c>
      <c r="D57" s="1452"/>
      <c r="E57" s="1453"/>
      <c r="F57" s="1454"/>
      <c r="I57" s="1455" t="s">
        <v>844</v>
      </c>
      <c r="J57" s="1456">
        <f ca="1">IF(OR(M47="住宅",J51&lt;L48,J56="是"),"——",J51-L48)</f>
        <v>12.619999999999997</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4309</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64374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4483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633913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4023</v>
      </c>
      <c r="D64" s="964" t="s">
        <v>791</v>
      </c>
      <c r="E64" s="950" t="s">
        <v>783</v>
      </c>
      <c r="F64" s="328">
        <f t="shared" ca="1" si="0"/>
        <v>2.5000000000000001E-2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286</v>
      </c>
      <c r="D65" s="964" t="s">
        <v>743</v>
      </c>
      <c r="E65" s="950" t="s">
        <v>744</v>
      </c>
      <c r="F65" s="330">
        <f t="shared" ca="1" si="0"/>
        <v>2E-3</v>
      </c>
      <c r="I65" s="1462" t="s">
        <v>867</v>
      </c>
      <c r="J65" s="1463">
        <v>40</v>
      </c>
      <c r="K65" s="1463">
        <v>30</v>
      </c>
      <c r="L65" s="1463">
        <v>50</v>
      </c>
      <c r="M65" s="1465">
        <v>0.02</v>
      </c>
      <c r="O65" s="1418" t="s">
        <v>403</v>
      </c>
      <c r="P65" s="1419" t="s">
        <v>868</v>
      </c>
      <c r="Q65" s="1420">
        <f ca="1">C40+J29</f>
        <v>633913</v>
      </c>
      <c r="R65" s="1420" t="s">
        <v>818</v>
      </c>
    </row>
    <row r="66" spans="1:18" s="1384" customFormat="1" ht="16.5" thickBot="1">
      <c r="A66" s="982" t="s">
        <v>793</v>
      </c>
      <c r="B66" s="950" t="s">
        <v>728</v>
      </c>
      <c r="C66" s="21">
        <f ca="1">ROUND(C48*F66,0)</f>
        <v>0</v>
      </c>
      <c r="D66" s="964" t="s">
        <v>794</v>
      </c>
      <c r="E66" s="950" t="s">
        <v>712</v>
      </c>
      <c r="F66" s="312">
        <f t="shared" ca="1" si="0"/>
        <v>2.5000000000000001E-2</v>
      </c>
      <c r="O66" s="1418" t="s">
        <v>404</v>
      </c>
      <c r="P66" s="1419" t="s">
        <v>846</v>
      </c>
      <c r="Q66" s="1420">
        <f ca="1">L60</f>
        <v>0</v>
      </c>
      <c r="R66" s="1420" t="s">
        <v>869</v>
      </c>
    </row>
    <row r="67" spans="1:18" s="1384" customFormat="1" ht="16.5" thickBot="1">
      <c r="A67" s="957" t="s">
        <v>394</v>
      </c>
      <c r="B67" s="967" t="s">
        <v>752</v>
      </c>
      <c r="C67" s="316">
        <f ca="1">C48-C58</f>
        <v>-4309</v>
      </c>
      <c r="D67" s="963" t="s">
        <v>753</v>
      </c>
      <c r="E67" s="968"/>
      <c r="F67" s="969"/>
      <c r="O67" s="1428" t="s">
        <v>405</v>
      </c>
      <c r="P67" s="1419" t="s">
        <v>850</v>
      </c>
      <c r="Q67" s="1466">
        <f ca="1">L51</f>
        <v>313359</v>
      </c>
      <c r="R67" s="1420" t="s">
        <v>870</v>
      </c>
    </row>
    <row r="68" spans="1:18" s="1384" customFormat="1" ht="16.5" thickBot="1">
      <c r="A68" s="947" t="s">
        <v>395</v>
      </c>
      <c r="B68" s="948" t="s">
        <v>774</v>
      </c>
      <c r="C68" s="301">
        <f ca="1">ROUND(C67*(1-((1+F70)/(1+F68))^F69)/(F68-F70),0)</f>
        <v>-84735</v>
      </c>
      <c r="D68" s="965" t="s">
        <v>758</v>
      </c>
      <c r="E68" s="950" t="s">
        <v>759</v>
      </c>
      <c r="F68" s="312">
        <f ca="1">F40</f>
        <v>0.04</v>
      </c>
      <c r="O68" s="1428" t="s">
        <v>406</v>
      </c>
      <c r="P68" s="1467" t="s">
        <v>871</v>
      </c>
      <c r="Q68" s="1420">
        <f ca="1">ROUND(Q69-Q70*Q71,0)</f>
        <v>14409</v>
      </c>
      <c r="R68" s="1420" t="s">
        <v>414</v>
      </c>
    </row>
    <row r="69" spans="1:18" s="1384" customFormat="1" ht="13.5" thickBot="1">
      <c r="A69" s="951"/>
      <c r="B69" s="952"/>
      <c r="C69" s="306"/>
      <c r="D69" s="970" t="s">
        <v>762</v>
      </c>
      <c r="E69" s="950" t="s">
        <v>763</v>
      </c>
      <c r="F69" s="333">
        <f ca="1">F41</f>
        <v>39.380000000000003</v>
      </c>
      <c r="O69" s="1428" t="s">
        <v>411</v>
      </c>
      <c r="P69" s="1467" t="s">
        <v>872</v>
      </c>
      <c r="Q69" s="1420">
        <f ca="1">C39</f>
        <v>23719</v>
      </c>
      <c r="R69" s="1420" t="s">
        <v>818</v>
      </c>
    </row>
    <row r="70" spans="1:18" s="1384" customFormat="1" ht="13.5" thickBot="1">
      <c r="A70" s="954"/>
      <c r="B70" s="955"/>
      <c r="C70" s="310"/>
      <c r="D70" s="966"/>
      <c r="E70" s="950" t="s">
        <v>766</v>
      </c>
      <c r="F70" s="1054"/>
      <c r="O70" s="1428" t="s">
        <v>412</v>
      </c>
      <c r="P70" s="1467" t="s">
        <v>873</v>
      </c>
      <c r="Q70" s="1420">
        <f ca="1">C13</f>
        <v>143232</v>
      </c>
      <c r="R70" s="1420" t="s">
        <v>818</v>
      </c>
    </row>
    <row r="71" spans="1:18" s="1384" customFormat="1" ht="13.5" thickBot="1">
      <c r="A71" s="971" t="s">
        <v>396</v>
      </c>
      <c r="B71" s="972" t="s">
        <v>776</v>
      </c>
      <c r="C71" s="336">
        <f ca="1">ROUND(C68/F71,0)</f>
        <v>-2465</v>
      </c>
      <c r="D71" s="973" t="s">
        <v>777</v>
      </c>
      <c r="E71" s="974" t="s">
        <v>778</v>
      </c>
      <c r="F71" s="339">
        <f ca="1">F43</f>
        <v>34.369999999999997</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9310</v>
      </c>
      <c r="D75" s="1384"/>
      <c r="E75" s="1384"/>
      <c r="F75" s="1384"/>
      <c r="K75" s="1402"/>
      <c r="L75" s="1384"/>
      <c r="O75" s="1418" t="s">
        <v>409</v>
      </c>
      <c r="P75" s="1419" t="s">
        <v>838</v>
      </c>
      <c r="Q75" s="1420">
        <f ca="1">Q65+Q66</f>
        <v>633913</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0.60699999999999998</v>
      </c>
    </row>
    <row r="80" spans="1:18">
      <c r="B80" s="340" t="s">
        <v>800</v>
      </c>
      <c r="C80" s="274">
        <f ca="1">ROUND(C75/C39,3)</f>
        <v>0.39300000000000002</v>
      </c>
    </row>
    <row r="81" spans="2:3">
      <c r="B81" s="270" t="s">
        <v>801</v>
      </c>
      <c r="C81" s="238"/>
    </row>
    <row r="82" spans="2:3">
      <c r="B82" s="273" t="s">
        <v>802</v>
      </c>
      <c r="C82" s="275">
        <f ca="1">1-C83</f>
        <v>0.77400000000000002</v>
      </c>
    </row>
    <row r="83" spans="2:3">
      <c r="B83" s="273" t="s">
        <v>803</v>
      </c>
      <c r="C83" s="274">
        <f ca="1">ROUND(C13/C40,3)</f>
        <v>0.22600000000000001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16.293600000000001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4741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6874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6874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6874</v>
      </c>
      <c r="D10" s="845">
        <f ca="1">IF(B1="",'数据-汇总表'!E6,IF(INDIRECT("'数据-取费表'!c"&amp;$G$1)="住宅",INDIRECT("'数据-取费表'!s"&amp;$G$1),INDIRECT("'数据-取费表'!k"&amp;$G$1)+INDIRECT("'数据-取费表'!s"&amp;$G$1)))</f>
        <v>34.369999999999997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6874</v>
      </c>
      <c r="D19" s="849">
        <f ca="1">D9+D10</f>
        <v>34.369999999999997</v>
      </c>
      <c r="E19" s="211">
        <f>'数据-取费表'!B31</f>
        <v>200</v>
      </c>
      <c r="F19" s="231"/>
      <c r="G19" s="1856"/>
    </row>
    <row r="20" spans="1:7" s="214" customFormat="1" ht="13.5" customHeight="1">
      <c r="A20" s="255" t="s">
        <v>1574</v>
      </c>
      <c r="B20" s="210" t="s">
        <v>1575</v>
      </c>
      <c r="C20" s="232">
        <f ca="1">ROUND((C5+C19)*F20,0)</f>
        <v>275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1351</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669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669</v>
      </c>
      <c r="D24" s="238"/>
      <c r="E24" s="238"/>
      <c r="F24" s="239"/>
      <c r="G24" s="240" t="s">
        <v>1586</v>
      </c>
    </row>
    <row r="25" spans="1:7" s="214" customFormat="1" ht="24">
      <c r="A25" s="780" t="s">
        <v>1476</v>
      </c>
      <c r="B25" s="215" t="s">
        <v>1587</v>
      </c>
      <c r="C25" s="1128">
        <f ca="1">ROUND(IF('数据-取费表'!B22&lt;=1,C20*F22*'数据-取费表'!B22/2,C20*(POWER((1+F22),'数据-取费表'!B22/2)-1)),0)</f>
        <v>13</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2805</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2805</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19704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116687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103110</v>
      </c>
      <c r="D34" s="217"/>
      <c r="E34" s="220"/>
      <c r="F34" s="257"/>
      <c r="G34" s="219"/>
    </row>
    <row r="35" spans="1:7" ht="13.5" customHeight="1">
      <c r="A35" s="780" t="s">
        <v>351</v>
      </c>
      <c r="B35" s="215" t="s">
        <v>1527</v>
      </c>
      <c r="C35" s="220">
        <f ca="1">ROUND(C34*F35,0)</f>
        <v>5156</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6874</v>
      </c>
      <c r="D37" s="217">
        <f ca="1">D19</f>
        <v>34.369999999999997</v>
      </c>
      <c r="E37" s="249">
        <f>'数据-取费表'!B35</f>
        <v>200</v>
      </c>
      <c r="F37" s="259"/>
      <c r="G37" s="261"/>
    </row>
    <row r="38" spans="1:7" ht="13.5" customHeight="1">
      <c r="A38" s="780" t="s">
        <v>354</v>
      </c>
      <c r="B38" s="215" t="s">
        <v>1533</v>
      </c>
      <c r="C38" s="220">
        <f ca="1">ROUND(C34*F38,0)</f>
        <v>1547</v>
      </c>
      <c r="D38" s="220"/>
      <c r="E38" s="220"/>
      <c r="F38" s="259">
        <f>'数据-取费表'!B36</f>
        <v>1.4999999999999999E-2</v>
      </c>
      <c r="G38" s="219" t="s">
        <v>1528</v>
      </c>
    </row>
    <row r="39" spans="1:7" s="214" customFormat="1" ht="13.5" customHeight="1">
      <c r="A39" s="255" t="s">
        <v>1534</v>
      </c>
      <c r="B39" s="210" t="s">
        <v>1535</v>
      </c>
      <c r="C39" s="232">
        <f ca="1">ROUND(C33*F20,0)</f>
        <v>2334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5654</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5543</v>
      </c>
      <c r="D42" s="238"/>
      <c r="E42" s="238"/>
      <c r="F42" s="239"/>
      <c r="G42" s="3652" t="s">
        <v>1591</v>
      </c>
    </row>
    <row r="43" spans="1:7" ht="13.5" customHeight="1">
      <c r="A43" s="780" t="s">
        <v>347</v>
      </c>
      <c r="B43" s="215" t="s">
        <v>1545</v>
      </c>
      <c r="C43" s="238">
        <f ca="1">ROUND(IF('数据-取费表'!B22&lt;=1,C39*F22*'数据-取费表'!B20/2,C39*(POWER((1+F22),'数据-取费表'!B20/2)-1)),0)</f>
        <v>111</v>
      </c>
      <c r="D43" s="238"/>
      <c r="E43" s="238"/>
      <c r="F43" s="239"/>
      <c r="G43" s="3653"/>
    </row>
    <row r="44" spans="1:7" ht="13.5" customHeight="1">
      <c r="A44" s="780" t="s">
        <v>348</v>
      </c>
      <c r="B44" s="215" t="s">
        <v>1546</v>
      </c>
      <c r="C44" s="238">
        <f ca="1">ROUND(IF('数据-取费表'!B22&lt;=1,C40*F22*'数据-取费表'!B20/2,C40*(POWER((1+F22),'数据-取费表'!B20/2)-1)),4)</f>
        <v>1E-3</v>
      </c>
      <c r="D44" s="238"/>
      <c r="E44" s="238"/>
      <c r="F44" s="239"/>
      <c r="G44" s="3654"/>
    </row>
    <row r="45" spans="1:7" s="214" customFormat="1" ht="13.5" customHeight="1">
      <c r="A45" s="255" t="s">
        <v>1547</v>
      </c>
      <c r="B45" s="244" t="s">
        <v>1513</v>
      </c>
      <c r="C45" s="245">
        <f ca="1">C46</f>
        <v>23804</v>
      </c>
      <c r="D45" s="235">
        <f ca="1">C47</f>
        <v>4.0000000000000001E-3</v>
      </c>
      <c r="E45" s="236" t="s">
        <v>1539</v>
      </c>
      <c r="F45" s="246">
        <f ca="1">F27</f>
        <v>0.2</v>
      </c>
      <c r="G45" s="247" t="s">
        <v>1548</v>
      </c>
    </row>
    <row r="46" spans="1:7" s="214" customFormat="1" ht="13.5" customHeight="1">
      <c r="A46" s="780" t="s">
        <v>346</v>
      </c>
      <c r="B46" s="248" t="s">
        <v>1549</v>
      </c>
      <c r="C46" s="249">
        <f ca="1">ROUND((C33+C39)*F27,0)</f>
        <v>23804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160935</v>
      </c>
      <c r="D49" s="232"/>
      <c r="E49" s="232"/>
      <c r="F49" s="264"/>
      <c r="G49" s="234" t="s">
        <v>1554</v>
      </c>
    </row>
    <row r="50" spans="1:7" s="258" customFormat="1">
      <c r="A50" s="255" t="s">
        <v>1555</v>
      </c>
      <c r="B50" s="210" t="s">
        <v>1556</v>
      </c>
      <c r="C50" s="232"/>
      <c r="D50" s="232"/>
      <c r="E50" s="232"/>
      <c r="F50" s="264">
        <f>IF('数据-取费表'!B24=0,'数据-取费表'!N16,1)</f>
        <v>0.89</v>
      </c>
      <c r="G50" s="247"/>
    </row>
    <row r="51" spans="1:7" ht="16.5" customHeight="1">
      <c r="A51" s="255" t="s">
        <v>1558</v>
      </c>
      <c r="B51" s="210" t="s">
        <v>1593</v>
      </c>
      <c r="C51" s="232">
        <f ca="1">ROUND(C49*F50,0)</f>
        <v>143232</v>
      </c>
      <c r="D51" s="232"/>
      <c r="E51" s="232"/>
      <c r="F51" s="264"/>
      <c r="G51" s="234" t="s">
        <v>1560</v>
      </c>
    </row>
    <row r="52" spans="1:7" s="208" customFormat="1" ht="16.5" thickBot="1">
      <c r="A52" s="265" t="s">
        <v>1561</v>
      </c>
      <c r="B52" s="266"/>
      <c r="C52" s="267">
        <f ca="1">C31+C51</f>
        <v>162936</v>
      </c>
      <c r="D52" s="266"/>
      <c r="E52" s="266"/>
      <c r="F52" s="266"/>
      <c r="G52" s="268"/>
    </row>
    <row r="55" spans="1:7" ht="15">
      <c r="B55" s="270" t="s">
        <v>1562</v>
      </c>
      <c r="C55" s="271"/>
    </row>
    <row r="56" spans="1:7">
      <c r="B56" s="273" t="s">
        <v>802</v>
      </c>
      <c r="C56" s="275">
        <f ca="1">1-C57</f>
        <v>0.121</v>
      </c>
    </row>
    <row r="57" spans="1:7">
      <c r="B57" s="273" t="s">
        <v>803</v>
      </c>
      <c r="C57" s="274">
        <f ca="1">ROUND(C51/C52,3)</f>
        <v>0.879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237</v>
      </c>
      <c r="C2" s="276" t="s">
        <v>1595</v>
      </c>
      <c r="D2" s="276"/>
      <c r="E2" s="2806"/>
      <c r="F2" s="2806"/>
      <c r="G2" s="2806"/>
      <c r="H2" s="2806"/>
      <c r="I2" s="2806"/>
      <c r="J2" s="2806"/>
      <c r="K2" s="2806"/>
    </row>
    <row r="3" spans="1:33" ht="18" customHeight="1" thickBot="1">
      <c r="A3" s="203" t="s">
        <v>1464</v>
      </c>
      <c r="B3" s="204">
        <f ca="1">ROUND(B2*10000/IF(C1="",'数据-汇总表'!E3,INDIRECT("'数据-取费表'!K"&amp;$K$1)),0)</f>
        <v>68955</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34.369999999999997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34.369999999999997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-199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v>
      </c>
      <c r="D20" s="846">
        <f ca="1">IF(C1="",'数据-汇总表'!E6,IF(INDIRECT("'数据-取费表'!c"&amp;$K$1)="住宅",INDIRECT("'数据-取费表'!s"&amp;$K$1),INDIRECT("'数据-取费表'!k"&amp;$K$1)+INDIRECT("'数据-取费表'!s"&amp;$K$1)))</f>
        <v>34.369999999999997</v>
      </c>
      <c r="E20" s="21">
        <f>'数据-取费表'!B28</f>
        <v>200</v>
      </c>
      <c r="F20" s="804"/>
      <c r="G20" s="12"/>
      <c r="H20" s="809"/>
      <c r="I20" s="809"/>
      <c r="J20" s="809"/>
      <c r="K20" s="810"/>
    </row>
    <row r="21" spans="1:33" s="803" customFormat="1" ht="13.5" customHeight="1">
      <c r="A21" s="790" t="s">
        <v>357</v>
      </c>
      <c r="B21" s="813" t="s">
        <v>1628</v>
      </c>
      <c r="C21" s="814">
        <f ca="1">C16+C17+C18</f>
        <v>-199</v>
      </c>
      <c r="D21" s="815"/>
      <c r="E21" s="281"/>
      <c r="F21" s="281"/>
      <c r="G21" s="131" t="s">
        <v>1629</v>
      </c>
      <c r="H21" s="807"/>
      <c r="I21" s="807"/>
      <c r="J21" s="807"/>
      <c r="K21" s="808"/>
    </row>
    <row r="22" spans="1:33" s="803" customFormat="1" ht="13.5" customHeight="1">
      <c r="A22" s="790" t="s">
        <v>1601</v>
      </c>
      <c r="B22" s="813" t="s">
        <v>1630</v>
      </c>
      <c r="C22" s="814">
        <f ca="1">ROUND(C21*F22,0)</f>
        <v>-4</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-41</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-41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237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16" t="s">
        <v>694</v>
      </c>
      <c r="C6" s="1074">
        <f ca="1">ROUND(F6*F8*F7*(1-F9)/10000,0)</f>
        <v>0</v>
      </c>
      <c r="D6" s="155" t="s">
        <v>2109</v>
      </c>
      <c r="E6" s="302" t="s">
        <v>696</v>
      </c>
      <c r="F6" s="303">
        <f ca="1">INDIRECT("'数据-取费表'!u"&amp;$G$1)</f>
        <v>0</v>
      </c>
      <c r="G6" s="1384"/>
      <c r="H6" s="1069" t="s">
        <v>398</v>
      </c>
      <c r="I6" s="3716" t="s">
        <v>694</v>
      </c>
      <c r="J6" s="301">
        <f ca="1">ROUND(M6*M8*M7*(1-M9)/10000,0)</f>
        <v>0</v>
      </c>
      <c r="K6" s="155" t="s">
        <v>2108</v>
      </c>
      <c r="L6" s="302" t="s">
        <v>696</v>
      </c>
      <c r="M6" s="303">
        <f ca="1">INDIRECT("'数据-取费表'!z"&amp;$G$1)</f>
        <v>0</v>
      </c>
    </row>
    <row r="7" spans="1:37" ht="18" customHeight="1">
      <c r="A7" s="1073"/>
      <c r="B7" s="3717"/>
      <c r="C7" s="1075"/>
      <c r="D7" s="307"/>
      <c r="E7" s="1076" t="s">
        <v>697</v>
      </c>
      <c r="F7" s="303">
        <f ca="1">IF(INDIRECT("'数据-取费表'!ah"&amp;$G$1)="",INDIRECT("'数据-取费表'!k"&amp;$G$1),INDIRECT("'数据-取费表'!ah"&amp;$G$1))</f>
        <v>0</v>
      </c>
      <c r="G7" s="1384"/>
      <c r="H7" s="304"/>
      <c r="I7" s="3717"/>
      <c r="J7" s="306"/>
      <c r="K7" s="307"/>
      <c r="L7" s="302" t="s">
        <v>697</v>
      </c>
      <c r="M7" s="303">
        <f ca="1">F7</f>
        <v>0</v>
      </c>
    </row>
    <row r="8" spans="1:37" ht="18" customHeight="1">
      <c r="A8" s="304"/>
      <c r="B8" s="3717"/>
      <c r="C8" s="306"/>
      <c r="D8" s="307"/>
      <c r="E8" s="302" t="s">
        <v>698</v>
      </c>
      <c r="F8" s="303">
        <f ca="1">INDIRECT("'数据-取费表'!ai"&amp;$G$1)</f>
        <v>0</v>
      </c>
      <c r="G8" s="1384"/>
      <c r="H8" s="304"/>
      <c r="I8" s="3717"/>
      <c r="J8" s="306"/>
      <c r="K8" s="307"/>
      <c r="L8" s="302" t="s">
        <v>698</v>
      </c>
      <c r="M8" s="303">
        <f ca="1">INDIRECT("'数据-取费表'!ai"&amp;$G$1)</f>
        <v>0</v>
      </c>
    </row>
    <row r="9" spans="1:37" ht="18" customHeight="1">
      <c r="A9" s="304"/>
      <c r="B9" s="3718"/>
      <c r="C9" s="306"/>
      <c r="D9" s="307"/>
      <c r="E9" s="302" t="s">
        <v>699</v>
      </c>
      <c r="F9" s="312">
        <f ca="1">INDIRECT("'数据-取费表'!w"&amp;$G$1)</f>
        <v>0</v>
      </c>
      <c r="G9" s="1384"/>
      <c r="H9" s="304"/>
      <c r="I9" s="371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719" t="s">
        <v>837</v>
      </c>
      <c r="L53" s="3720"/>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3362</v>
      </c>
      <c r="E2" s="3444"/>
      <c r="F2" s="2846"/>
      <c r="G2" s="2847"/>
      <c r="H2" s="2848"/>
      <c r="I2" s="2849"/>
      <c r="J2" s="3727" t="s">
        <v>2320</v>
      </c>
      <c r="K2" s="3728"/>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29" t="s">
        <v>2330</v>
      </c>
      <c r="K3" s="3730"/>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29" t="s">
        <v>2332</v>
      </c>
      <c r="K4" s="3730"/>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35" t="s">
        <v>2336</v>
      </c>
      <c r="B6" s="3736"/>
      <c r="C6" s="3737"/>
      <c r="D6" s="2870"/>
      <c r="E6" s="2871"/>
      <c r="F6" s="2872"/>
      <c r="G6" s="2873"/>
      <c r="H6" s="2848"/>
      <c r="I6" s="2849"/>
      <c r="J6" s="3721">
        <v>1</v>
      </c>
      <c r="K6" s="3722"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21"/>
      <c r="K7" s="3723"/>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38" t="s">
        <v>2350</v>
      </c>
      <c r="C8" s="3739"/>
      <c r="D8" s="2889" t="s">
        <v>2351</v>
      </c>
      <c r="E8" s="2890" t="s">
        <v>2352</v>
      </c>
      <c r="F8" s="2891" t="s">
        <v>2353</v>
      </c>
      <c r="G8" s="2892"/>
      <c r="H8" s="2848"/>
      <c r="I8" s="2849"/>
      <c r="J8" s="3721"/>
      <c r="K8" s="3723"/>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38" t="s">
        <v>2356</v>
      </c>
      <c r="C9" s="3739"/>
      <c r="D9" s="2889">
        <f>ROUND(D6*E9,0)</f>
        <v>0</v>
      </c>
      <c r="E9" s="2893"/>
      <c r="F9" s="2894" t="s">
        <v>2357</v>
      </c>
      <c r="G9" s="2873"/>
      <c r="H9" s="2848"/>
      <c r="I9" s="2849"/>
      <c r="J9" s="3721"/>
      <c r="K9" s="3723"/>
      <c r="L9" s="2883" t="s">
        <v>2358</v>
      </c>
      <c r="M9" s="2884"/>
      <c r="N9" s="2860"/>
      <c r="O9" s="2885"/>
      <c r="P9" s="2885"/>
      <c r="Q9" s="2886">
        <v>365</v>
      </c>
      <c r="R9" s="2887">
        <f t="shared" si="0"/>
        <v>0</v>
      </c>
      <c r="S9" s="2841"/>
      <c r="T9" s="2841"/>
      <c r="U9" s="2841"/>
      <c r="V9" s="2849"/>
    </row>
    <row r="10" spans="1:22" s="2853" customFormat="1" ht="13.15" customHeight="1">
      <c r="A10" s="2888">
        <v>2</v>
      </c>
      <c r="B10" s="3738" t="s">
        <v>2359</v>
      </c>
      <c r="C10" s="3739"/>
      <c r="D10" s="2889">
        <f>ROUND(D6*E10,0)</f>
        <v>0</v>
      </c>
      <c r="E10" s="2893"/>
      <c r="F10" s="2894" t="s">
        <v>2360</v>
      </c>
      <c r="G10" s="2873"/>
      <c r="H10" s="2848"/>
      <c r="I10" s="2849"/>
      <c r="J10" s="3721"/>
      <c r="K10" s="3723"/>
      <c r="L10" s="2883" t="s">
        <v>2361</v>
      </c>
      <c r="M10" s="2884"/>
      <c r="N10" s="2860"/>
      <c r="O10" s="2885"/>
      <c r="P10" s="2885"/>
      <c r="Q10" s="2886">
        <v>365</v>
      </c>
      <c r="R10" s="2887">
        <f t="shared" si="0"/>
        <v>0</v>
      </c>
      <c r="S10" s="2841"/>
      <c r="T10" s="2841"/>
      <c r="U10" s="2841"/>
      <c r="V10" s="2849"/>
    </row>
    <row r="11" spans="1:22" s="2853" customFormat="1" ht="13.15" customHeight="1">
      <c r="A11" s="2888">
        <v>3</v>
      </c>
      <c r="B11" s="3738" t="s">
        <v>2362</v>
      </c>
      <c r="C11" s="3739"/>
      <c r="D11" s="2889">
        <f>D12+D14+D15+D16</f>
        <v>0</v>
      </c>
      <c r="E11" s="2895" t="e">
        <f>D11/D6</f>
        <v>#DIV/0!</v>
      </c>
      <c r="F11" s="2891"/>
      <c r="G11" s="2892"/>
      <c r="H11" s="2848"/>
      <c r="I11" s="2849"/>
      <c r="J11" s="3721"/>
      <c r="K11" s="3723"/>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31" t="s">
        <v>2365</v>
      </c>
      <c r="C12" s="3732"/>
      <c r="D12" s="2897">
        <f>ROUND(D13*1.2%*(1-30%),0)</f>
        <v>0</v>
      </c>
      <c r="E12" s="2898">
        <v>1.2E-2</v>
      </c>
      <c r="F12" s="2891" t="s">
        <v>2366</v>
      </c>
      <c r="G12" s="2892"/>
      <c r="H12" s="2848"/>
      <c r="I12" s="2849"/>
      <c r="J12" s="3721"/>
      <c r="K12" s="3723"/>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21"/>
      <c r="K13" s="3723"/>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31" t="s">
        <v>2371</v>
      </c>
      <c r="C14" s="3732"/>
      <c r="D14" s="2897">
        <f>ROUND(E14*B5/10000,0)</f>
        <v>0</v>
      </c>
      <c r="E14" s="2886"/>
      <c r="F14" s="2891" t="s">
        <v>2372</v>
      </c>
      <c r="G14" s="2892"/>
      <c r="H14" s="2848"/>
      <c r="I14" s="2849"/>
      <c r="J14" s="3721"/>
      <c r="K14" s="3724"/>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31" t="s">
        <v>2375</v>
      </c>
      <c r="C15" s="3732"/>
      <c r="D15" s="2897">
        <f>ROUND(D6*E15,0)</f>
        <v>0</v>
      </c>
      <c r="E15" s="2898">
        <v>5.5E-2</v>
      </c>
      <c r="F15" s="2891" t="s">
        <v>2376</v>
      </c>
      <c r="G15" s="2873"/>
      <c r="H15" s="2848"/>
      <c r="I15" s="2849"/>
      <c r="J15" s="3721">
        <v>2</v>
      </c>
      <c r="K15" s="3722"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31" t="s">
        <v>2384</v>
      </c>
      <c r="C16" s="3732"/>
      <c r="D16" s="2908">
        <f>D6*E16</f>
        <v>0</v>
      </c>
      <c r="E16" s="2909"/>
      <c r="F16" s="2894" t="s">
        <v>2385</v>
      </c>
      <c r="G16" s="2873"/>
      <c r="H16" s="2848"/>
      <c r="I16" s="2849"/>
      <c r="J16" s="3721"/>
      <c r="K16" s="3723"/>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33" t="s">
        <v>2387</v>
      </c>
      <c r="C17" s="3734"/>
      <c r="D17" s="2911">
        <f>ROUND(D6*E17,0)</f>
        <v>0</v>
      </c>
      <c r="E17" s="2912"/>
      <c r="F17" s="2913" t="s">
        <v>2388</v>
      </c>
      <c r="G17" s="2873"/>
      <c r="H17" s="2848"/>
      <c r="I17" s="2849"/>
      <c r="J17" s="3721"/>
      <c r="K17" s="3723"/>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21"/>
      <c r="K18" s="3723"/>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21"/>
      <c r="K19" s="3724"/>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21">
        <v>3</v>
      </c>
      <c r="K20" s="3722"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21"/>
      <c r="K21" s="3723"/>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21"/>
      <c r="K22" s="3723"/>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21"/>
      <c r="K23" s="3723"/>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21"/>
      <c r="K24" s="3724"/>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25">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2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27" t="s">
        <v>2320</v>
      </c>
      <c r="K32" s="3728"/>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29" t="s">
        <v>2330</v>
      </c>
      <c r="K33" s="3730"/>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29" t="s">
        <v>2332</v>
      </c>
      <c r="K34" s="373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21">
        <v>1</v>
      </c>
      <c r="K36" s="3722"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21"/>
      <c r="K37" s="3723"/>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21"/>
      <c r="K38" s="3723"/>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21"/>
      <c r="K39" s="3723"/>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21"/>
      <c r="K40" s="3724"/>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25">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2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63.839599999999997</v>
      </c>
      <c r="C2" s="1872" t="s">
        <v>1651</v>
      </c>
      <c r="D2" s="1873" t="s">
        <v>1652</v>
      </c>
      <c r="E2" s="2607">
        <f>SUM(E6:E13)</f>
        <v>34.369999999999997</v>
      </c>
      <c r="F2" s="2707"/>
      <c r="G2" s="1489"/>
      <c r="H2" s="1489"/>
      <c r="I2" s="1489"/>
      <c r="J2" s="1489"/>
      <c r="K2" s="1489"/>
      <c r="L2" s="1489"/>
      <c r="M2" s="1489"/>
      <c r="N2" s="1489"/>
      <c r="O2" s="1489"/>
      <c r="P2" s="1489"/>
      <c r="Q2" s="1489"/>
      <c r="R2" s="1489"/>
      <c r="S2" s="1489"/>
    </row>
    <row r="3" spans="1:22" ht="15.75">
      <c r="A3" s="1870" t="s">
        <v>686</v>
      </c>
      <c r="B3" s="2601">
        <f ca="1">ROUND(B2*10000/E2,0)</f>
        <v>18574</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40" t="s">
        <v>1654</v>
      </c>
      <c r="C5" s="374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63.839599999999997</v>
      </c>
      <c r="C6" s="1872" t="s">
        <v>1651</v>
      </c>
      <c r="D6" s="2709"/>
      <c r="E6" s="2606">
        <f>IF(OR(A6=0,F6="否"),0,'数据-取费表'!K6+'数据-取费表'!S6)</f>
        <v>34.369999999999997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34.369999999999997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83" t="s">
        <v>1771</v>
      </c>
      <c r="S4" s="3684"/>
      <c r="T4" s="3683" t="s">
        <v>1772</v>
      </c>
      <c r="U4" s="3684"/>
      <c r="V4" s="3689" t="s">
        <v>1773</v>
      </c>
      <c r="W4" s="3689"/>
      <c r="X4" s="1355"/>
      <c r="Y4" s="3683" t="s">
        <v>1775</v>
      </c>
      <c r="Z4" s="3684"/>
      <c r="AA4" s="3670" t="s">
        <v>1771</v>
      </c>
      <c r="AB4" s="3689" t="s">
        <v>1772</v>
      </c>
      <c r="AC4" s="3670" t="s">
        <v>1773</v>
      </c>
    </row>
    <row r="5" spans="1:29" ht="15">
      <c r="A5" s="358"/>
      <c r="B5" s="359"/>
      <c r="C5" s="3692" t="s">
        <v>1673</v>
      </c>
      <c r="D5" s="3693"/>
      <c r="E5" s="3699" t="s">
        <v>1674</v>
      </c>
      <c r="F5" s="3700"/>
      <c r="G5" s="3692" t="s">
        <v>1675</v>
      </c>
      <c r="H5" s="3693"/>
      <c r="I5" s="3692" t="s">
        <v>1676</v>
      </c>
      <c r="J5" s="3693"/>
      <c r="K5" s="559"/>
      <c r="L5" s="2715"/>
      <c r="M5" s="2716"/>
      <c r="N5" s="2716"/>
      <c r="O5" s="2716"/>
      <c r="P5" s="3679"/>
      <c r="Q5" s="3680"/>
      <c r="R5" s="3685"/>
      <c r="S5" s="3686"/>
      <c r="T5" s="3685"/>
      <c r="U5" s="3686"/>
      <c r="V5" s="3689"/>
      <c r="W5" s="3689"/>
      <c r="X5" s="1355"/>
      <c r="Y5" s="3685"/>
      <c r="Z5" s="3686"/>
      <c r="AA5" s="3671"/>
      <c r="AB5" s="3689"/>
      <c r="AC5" s="3671"/>
    </row>
    <row r="6" spans="1:29" ht="15.75" thickBot="1">
      <c r="A6" s="360"/>
      <c r="B6" s="361"/>
      <c r="C6" s="3690" t="s">
        <v>1677</v>
      </c>
      <c r="D6" s="3691"/>
      <c r="E6" s="3697" t="s">
        <v>1677</v>
      </c>
      <c r="F6" s="3698"/>
      <c r="G6" s="3690" t="s">
        <v>1677</v>
      </c>
      <c r="H6" s="3691"/>
      <c r="I6" s="3690" t="s">
        <v>1677</v>
      </c>
      <c r="J6" s="3691"/>
      <c r="K6" s="559" t="s">
        <v>1678</v>
      </c>
      <c r="L6" s="2715"/>
      <c r="M6" s="2716"/>
      <c r="N6" s="2716"/>
      <c r="O6" s="2716"/>
      <c r="P6" s="3681"/>
      <c r="Q6" s="3682"/>
      <c r="R6" s="3685"/>
      <c r="S6" s="3686"/>
      <c r="T6" s="3687"/>
      <c r="U6" s="3688"/>
      <c r="V6" s="3689"/>
      <c r="W6" s="3689"/>
      <c r="X6" s="1355"/>
      <c r="Y6" s="3687"/>
      <c r="Z6" s="3688"/>
      <c r="AA6" s="3672"/>
      <c r="AB6" s="3689"/>
      <c r="AC6" s="3672"/>
    </row>
    <row r="7" spans="1:29" s="108" customFormat="1" ht="15.75" thickBot="1">
      <c r="A7" s="362" t="s">
        <v>1679</v>
      </c>
      <c r="B7" s="363"/>
      <c r="C7" s="364">
        <f>'数据-取费表'!B2</f>
        <v>45257</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94" t="s">
        <v>1680</v>
      </c>
      <c r="Q7" s="3696"/>
      <c r="R7" s="701" t="s">
        <v>14</v>
      </c>
      <c r="S7" s="702">
        <f t="shared" ref="S7:S15" si="0">F7</f>
        <v>0</v>
      </c>
      <c r="T7" s="701" t="s">
        <v>14</v>
      </c>
      <c r="U7" s="702">
        <f t="shared" ref="U7:U15" si="1">H7</f>
        <v>0</v>
      </c>
      <c r="V7" s="701" t="s">
        <v>14</v>
      </c>
      <c r="W7" s="702">
        <f t="shared" ref="W7:W15"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94" t="s">
        <v>1683</v>
      </c>
      <c r="Q8" s="3695"/>
      <c r="R8" s="701" t="s">
        <v>14</v>
      </c>
      <c r="S8" s="702">
        <f t="shared" si="0"/>
        <v>100</v>
      </c>
      <c r="T8" s="701" t="s">
        <v>14</v>
      </c>
      <c r="U8" s="702">
        <f t="shared" si="1"/>
        <v>100</v>
      </c>
      <c r="V8" s="701" t="s">
        <v>14</v>
      </c>
      <c r="W8" s="702">
        <f t="shared" si="2"/>
        <v>100</v>
      </c>
      <c r="X8" s="703"/>
      <c r="Y8" s="3694" t="s">
        <v>1683</v>
      </c>
      <c r="Z8" s="369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69"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69"/>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69"/>
      <c r="Q11" s="1343" t="str">
        <f t="shared" si="6"/>
        <v>容积率</v>
      </c>
      <c r="R11" s="701" t="s">
        <v>14</v>
      </c>
      <c r="S11" s="702" t="e">
        <f t="shared" si="0"/>
        <v>#N/A</v>
      </c>
      <c r="T11" s="701" t="s">
        <v>14</v>
      </c>
      <c r="U11" s="702" t="e">
        <f t="shared" si="1"/>
        <v>#N/A</v>
      </c>
      <c r="V11" s="701" t="s">
        <v>14</v>
      </c>
      <c r="W11" s="702" t="e">
        <f t="shared" si="2"/>
        <v>#N/A</v>
      </c>
      <c r="X11" s="703"/>
      <c r="Y11" s="355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69"/>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69"/>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69"/>
      <c r="Q14" s="1343">
        <f t="shared" si="6"/>
        <v>111</v>
      </c>
      <c r="R14" s="701" t="s">
        <v>14</v>
      </c>
      <c r="S14" s="702">
        <f t="shared" si="0"/>
        <v>100</v>
      </c>
      <c r="T14" s="701" t="s">
        <v>14</v>
      </c>
      <c r="U14" s="702">
        <f t="shared" si="1"/>
        <v>100</v>
      </c>
      <c r="V14" s="701" t="s">
        <v>14</v>
      </c>
      <c r="W14" s="702">
        <f t="shared" si="2"/>
        <v>100</v>
      </c>
      <c r="X14" s="703"/>
      <c r="Y14" s="355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67" t="s">
        <v>1691</v>
      </c>
      <c r="Q15" s="1352" t="str">
        <f t="shared" si="6"/>
        <v>商业繁华度</v>
      </c>
      <c r="R15" s="705" t="s">
        <v>14</v>
      </c>
      <c r="S15" s="706">
        <f t="shared" si="0"/>
        <v>100</v>
      </c>
      <c r="T15" s="705" t="s">
        <v>14</v>
      </c>
      <c r="U15" s="706">
        <f t="shared" si="1"/>
        <v>100</v>
      </c>
      <c r="V15" s="705" t="s">
        <v>14</v>
      </c>
      <c r="W15" s="706">
        <f t="shared" si="2"/>
        <v>100</v>
      </c>
      <c r="X15" s="1355"/>
      <c r="Y15" s="366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68"/>
      <c r="Q16" s="1352"/>
      <c r="R16" s="705"/>
      <c r="S16" s="706"/>
      <c r="T16" s="705"/>
      <c r="U16" s="706"/>
      <c r="V16" s="705"/>
      <c r="W16" s="706"/>
      <c r="X16" s="1355"/>
      <c r="Y16" s="366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68"/>
      <c r="Q17" s="1352" t="str">
        <f>B17</f>
        <v>交通便捷度</v>
      </c>
      <c r="R17" s="705" t="s">
        <v>14</v>
      </c>
      <c r="S17" s="706">
        <f>F17</f>
        <v>100</v>
      </c>
      <c r="T17" s="705" t="s">
        <v>14</v>
      </c>
      <c r="U17" s="706">
        <f>H17</f>
        <v>100</v>
      </c>
      <c r="V17" s="705" t="s">
        <v>14</v>
      </c>
      <c r="W17" s="706">
        <f>J17</f>
        <v>100</v>
      </c>
      <c r="X17" s="1355"/>
      <c r="Y17" s="366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68"/>
      <c r="Q18" s="1352"/>
      <c r="R18" s="705"/>
      <c r="S18" s="706"/>
      <c r="T18" s="705"/>
      <c r="U18" s="706"/>
      <c r="V18" s="705"/>
      <c r="W18" s="706"/>
      <c r="X18" s="1355"/>
      <c r="Y18" s="366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68"/>
      <c r="Q19" s="1352" t="str">
        <f>B19</f>
        <v>公共配套设施</v>
      </c>
      <c r="R19" s="705" t="s">
        <v>14</v>
      </c>
      <c r="S19" s="706">
        <f>F19</f>
        <v>100</v>
      </c>
      <c r="T19" s="705" t="s">
        <v>14</v>
      </c>
      <c r="U19" s="706">
        <f>H19</f>
        <v>100</v>
      </c>
      <c r="V19" s="705" t="s">
        <v>14</v>
      </c>
      <c r="W19" s="706">
        <f>J19</f>
        <v>100</v>
      </c>
      <c r="X19" s="1355"/>
      <c r="Y19" s="366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68"/>
      <c r="Q20" s="1352"/>
      <c r="R20" s="705"/>
      <c r="S20" s="706"/>
      <c r="T20" s="705"/>
      <c r="U20" s="706"/>
      <c r="V20" s="705"/>
      <c r="W20" s="706"/>
      <c r="X20" s="1355"/>
      <c r="Y20" s="366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68"/>
      <c r="Q21" s="1352" t="str">
        <f>B21</f>
        <v>基础设施水平</v>
      </c>
      <c r="R21" s="705" t="s">
        <v>14</v>
      </c>
      <c r="S21" s="706">
        <f>F21</f>
        <v>100</v>
      </c>
      <c r="T21" s="705" t="s">
        <v>14</v>
      </c>
      <c r="U21" s="706">
        <f>H21</f>
        <v>100</v>
      </c>
      <c r="V21" s="705" t="s">
        <v>14</v>
      </c>
      <c r="W21" s="706">
        <f>J21</f>
        <v>100</v>
      </c>
      <c r="X21" s="1355"/>
      <c r="Y21" s="366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68"/>
      <c r="Q22" s="1352"/>
      <c r="R22" s="705"/>
      <c r="S22" s="706"/>
      <c r="T22" s="705"/>
      <c r="U22" s="706"/>
      <c r="V22" s="705"/>
      <c r="W22" s="706"/>
      <c r="X22" s="1355"/>
      <c r="Y22" s="366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68"/>
      <c r="Q23" s="1352" t="str">
        <f>B23</f>
        <v>自然及人文环境</v>
      </c>
      <c r="R23" s="705" t="s">
        <v>14</v>
      </c>
      <c r="S23" s="706">
        <f>F23</f>
        <v>100</v>
      </c>
      <c r="T23" s="705" t="s">
        <v>14</v>
      </c>
      <c r="U23" s="706">
        <f>H23</f>
        <v>100</v>
      </c>
      <c r="V23" s="705" t="s">
        <v>14</v>
      </c>
      <c r="W23" s="706">
        <f>J23</f>
        <v>100</v>
      </c>
      <c r="X23" s="1355"/>
      <c r="Y23" s="366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68"/>
      <c r="Q24" s="1352"/>
      <c r="R24" s="705"/>
      <c r="S24" s="706"/>
      <c r="T24" s="705"/>
      <c r="U24" s="706"/>
      <c r="V24" s="705"/>
      <c r="W24" s="706"/>
      <c r="X24" s="1355"/>
      <c r="Y24" s="366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68"/>
      <c r="Q25" s="1352" t="str">
        <f t="shared" ref="Q25:Q46" si="11">B25</f>
        <v>临街状况</v>
      </c>
      <c r="R25" s="705" t="s">
        <v>14</v>
      </c>
      <c r="S25" s="706">
        <f>F25</f>
        <v>100</v>
      </c>
      <c r="T25" s="705" t="s">
        <v>14</v>
      </c>
      <c r="U25" s="706">
        <f>H25</f>
        <v>100</v>
      </c>
      <c r="V25" s="705" t="s">
        <v>14</v>
      </c>
      <c r="W25" s="706">
        <f>J25</f>
        <v>100</v>
      </c>
      <c r="X25" s="1355"/>
      <c r="Y25" s="366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68"/>
      <c r="Q26" s="1352" t="str">
        <f t="shared" si="11"/>
        <v>平面位置/可视性</v>
      </c>
      <c r="R26" s="705" t="s">
        <v>14</v>
      </c>
      <c r="S26" s="706">
        <f>F26</f>
        <v>100</v>
      </c>
      <c r="T26" s="705" t="s">
        <v>14</v>
      </c>
      <c r="U26" s="706">
        <f>H26</f>
        <v>100</v>
      </c>
      <c r="V26" s="705" t="s">
        <v>14</v>
      </c>
      <c r="W26" s="706">
        <f>J26</f>
        <v>100</v>
      </c>
      <c r="X26" s="1355"/>
      <c r="Y26" s="366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68"/>
      <c r="Q27" s="1343" t="str">
        <f t="shared" si="11"/>
        <v>人流量</v>
      </c>
      <c r="R27" s="701" t="s">
        <v>14</v>
      </c>
      <c r="S27" s="702">
        <f>F27</f>
        <v>100</v>
      </c>
      <c r="T27" s="701" t="s">
        <v>14</v>
      </c>
      <c r="U27" s="702">
        <f>H27</f>
        <v>100</v>
      </c>
      <c r="V27" s="701" t="s">
        <v>14</v>
      </c>
      <c r="W27" s="702">
        <f>J27</f>
        <v>100</v>
      </c>
      <c r="X27" s="703"/>
      <c r="Y27" s="366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6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68"/>
      <c r="Q29" s="1352">
        <f t="shared" si="11"/>
        <v>111</v>
      </c>
      <c r="R29" s="705" t="s">
        <v>14</v>
      </c>
      <c r="S29" s="706">
        <f t="shared" si="12"/>
        <v>100</v>
      </c>
      <c r="T29" s="705" t="s">
        <v>14</v>
      </c>
      <c r="U29" s="706">
        <f t="shared" si="13"/>
        <v>100</v>
      </c>
      <c r="V29" s="705" t="s">
        <v>14</v>
      </c>
      <c r="W29" s="706">
        <f t="shared" si="14"/>
        <v>100</v>
      </c>
      <c r="X29" s="1355"/>
      <c r="Y29" s="366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68"/>
      <c r="Q30" s="1352">
        <f t="shared" si="11"/>
        <v>111</v>
      </c>
      <c r="R30" s="705" t="s">
        <v>14</v>
      </c>
      <c r="S30" s="706">
        <f t="shared" si="12"/>
        <v>100</v>
      </c>
      <c r="T30" s="705" t="s">
        <v>14</v>
      </c>
      <c r="U30" s="706">
        <f t="shared" si="13"/>
        <v>100</v>
      </c>
      <c r="V30" s="705" t="s">
        <v>14</v>
      </c>
      <c r="W30" s="706">
        <f t="shared" si="14"/>
        <v>100</v>
      </c>
      <c r="X30" s="1355"/>
      <c r="Y30" s="366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68"/>
      <c r="Q31" s="1352">
        <f t="shared" si="11"/>
        <v>111</v>
      </c>
      <c r="R31" s="705" t="s">
        <v>14</v>
      </c>
      <c r="S31" s="706">
        <f t="shared" si="12"/>
        <v>100</v>
      </c>
      <c r="T31" s="705" t="s">
        <v>14</v>
      </c>
      <c r="U31" s="706">
        <f t="shared" si="13"/>
        <v>100</v>
      </c>
      <c r="V31" s="705" t="s">
        <v>14</v>
      </c>
      <c r="W31" s="706">
        <f t="shared" si="14"/>
        <v>100</v>
      </c>
      <c r="X31" s="1355"/>
      <c r="Y31" s="366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2" t="s">
        <v>1696</v>
      </c>
      <c r="Q32" s="1352" t="str">
        <f t="shared" si="11"/>
        <v>商业类型</v>
      </c>
      <c r="R32" s="705" t="s">
        <v>14</v>
      </c>
      <c r="S32" s="706">
        <f t="shared" si="12"/>
        <v>100</v>
      </c>
      <c r="T32" s="705" t="s">
        <v>14</v>
      </c>
      <c r="U32" s="706">
        <f t="shared" si="13"/>
        <v>100</v>
      </c>
      <c r="V32" s="705" t="s">
        <v>14</v>
      </c>
      <c r="W32" s="706">
        <f t="shared" si="14"/>
        <v>100</v>
      </c>
      <c r="X32" s="1355"/>
      <c r="Y32" s="366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63"/>
      <c r="Q33" s="707" t="str">
        <f t="shared" si="11"/>
        <v>项目建筑规模</v>
      </c>
      <c r="R33" s="708" t="s">
        <v>14</v>
      </c>
      <c r="S33" s="709" t="e">
        <f t="shared" si="12"/>
        <v>#N/A</v>
      </c>
      <c r="T33" s="708" t="s">
        <v>14</v>
      </c>
      <c r="U33" s="709" t="e">
        <f t="shared" si="13"/>
        <v>#N/A</v>
      </c>
      <c r="V33" s="708" t="s">
        <v>14</v>
      </c>
      <c r="W33" s="709" t="e">
        <f t="shared" si="14"/>
        <v>#N/A</v>
      </c>
      <c r="X33" s="710"/>
      <c r="Y33" s="366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63"/>
      <c r="Q34" s="1352" t="str">
        <f t="shared" si="11"/>
        <v>建筑结构</v>
      </c>
      <c r="R34" s="705" t="s">
        <v>14</v>
      </c>
      <c r="S34" s="706">
        <f t="shared" si="12"/>
        <v>100</v>
      </c>
      <c r="T34" s="705" t="s">
        <v>14</v>
      </c>
      <c r="U34" s="706">
        <f t="shared" si="13"/>
        <v>100</v>
      </c>
      <c r="V34" s="705" t="s">
        <v>14</v>
      </c>
      <c r="W34" s="706">
        <f t="shared" si="14"/>
        <v>100</v>
      </c>
      <c r="X34" s="1355"/>
      <c r="Y34" s="366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63"/>
      <c r="Q35" s="1352" t="str">
        <f t="shared" si="11"/>
        <v>公共部分装修</v>
      </c>
      <c r="R35" s="705" t="s">
        <v>14</v>
      </c>
      <c r="S35" s="706">
        <f t="shared" si="12"/>
        <v>100</v>
      </c>
      <c r="T35" s="705" t="s">
        <v>14</v>
      </c>
      <c r="U35" s="706">
        <f t="shared" si="13"/>
        <v>100</v>
      </c>
      <c r="V35" s="705" t="s">
        <v>14</v>
      </c>
      <c r="W35" s="706">
        <f t="shared" si="14"/>
        <v>100</v>
      </c>
      <c r="X35" s="1355"/>
      <c r="Y35" s="366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63"/>
      <c r="Q36" s="1352" t="str">
        <f t="shared" si="11"/>
        <v>成新度</v>
      </c>
      <c r="R36" s="705" t="s">
        <v>14</v>
      </c>
      <c r="S36" s="706" t="e">
        <f t="shared" si="12"/>
        <v>#N/A</v>
      </c>
      <c r="T36" s="705" t="s">
        <v>14</v>
      </c>
      <c r="U36" s="706" t="e">
        <f t="shared" si="13"/>
        <v>#N/A</v>
      </c>
      <c r="V36" s="705" t="s">
        <v>14</v>
      </c>
      <c r="W36" s="706" t="e">
        <f t="shared" si="14"/>
        <v>#N/A</v>
      </c>
      <c r="X36" s="1355"/>
      <c r="Y36" s="366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63"/>
      <c r="Q37" s="1343" t="str">
        <f t="shared" si="11"/>
        <v>市政基础设施</v>
      </c>
      <c r="R37" s="701" t="s">
        <v>14</v>
      </c>
      <c r="S37" s="702">
        <f t="shared" si="12"/>
        <v>100</v>
      </c>
      <c r="T37" s="701" t="s">
        <v>14</v>
      </c>
      <c r="U37" s="702">
        <f t="shared" si="13"/>
        <v>100</v>
      </c>
      <c r="V37" s="701" t="s">
        <v>14</v>
      </c>
      <c r="W37" s="702">
        <f t="shared" si="14"/>
        <v>100</v>
      </c>
      <c r="X37" s="703"/>
      <c r="Y37" s="366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63" t="s">
        <v>1696</v>
      </c>
      <c r="Q38" s="1352" t="str">
        <f t="shared" si="11"/>
        <v>业态</v>
      </c>
      <c r="R38" s="705" t="s">
        <v>14</v>
      </c>
      <c r="S38" s="706">
        <f t="shared" si="12"/>
        <v>100</v>
      </c>
      <c r="T38" s="705" t="s">
        <v>14</v>
      </c>
      <c r="U38" s="706">
        <f t="shared" si="13"/>
        <v>100</v>
      </c>
      <c r="V38" s="705" t="s">
        <v>14</v>
      </c>
      <c r="W38" s="706">
        <f t="shared" si="14"/>
        <v>100</v>
      </c>
      <c r="X38" s="1355"/>
      <c r="Y38" s="366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63"/>
      <c r="Q39" s="1352" t="str">
        <f t="shared" si="11"/>
        <v>层高</v>
      </c>
      <c r="R39" s="705" t="s">
        <v>14</v>
      </c>
      <c r="S39" s="706">
        <f t="shared" si="12"/>
        <v>100</v>
      </c>
      <c r="T39" s="705" t="s">
        <v>14</v>
      </c>
      <c r="U39" s="706">
        <f t="shared" si="13"/>
        <v>100</v>
      </c>
      <c r="V39" s="705" t="s">
        <v>14</v>
      </c>
      <c r="W39" s="706">
        <f t="shared" si="14"/>
        <v>100</v>
      </c>
      <c r="X39" s="1355"/>
      <c r="Y39" s="366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63"/>
      <c r="Q40" s="1352" t="str">
        <f t="shared" si="11"/>
        <v>单套建筑面积</v>
      </c>
      <c r="R40" s="705" t="s">
        <v>14</v>
      </c>
      <c r="S40" s="706">
        <f t="shared" si="12"/>
        <v>100</v>
      </c>
      <c r="T40" s="705" t="s">
        <v>14</v>
      </c>
      <c r="U40" s="706">
        <f t="shared" si="13"/>
        <v>100</v>
      </c>
      <c r="V40" s="705" t="s">
        <v>14</v>
      </c>
      <c r="W40" s="706">
        <f t="shared" si="14"/>
        <v>100</v>
      </c>
      <c r="X40" s="1355"/>
      <c r="Y40" s="366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63"/>
      <c r="Q41" s="707" t="str">
        <f t="shared" si="11"/>
        <v>进深比</v>
      </c>
      <c r="R41" s="708" t="s">
        <v>14</v>
      </c>
      <c r="S41" s="709">
        <f t="shared" si="12"/>
        <v>100</v>
      </c>
      <c r="T41" s="708" t="s">
        <v>14</v>
      </c>
      <c r="U41" s="709">
        <f t="shared" si="13"/>
        <v>100</v>
      </c>
      <c r="V41" s="708" t="s">
        <v>14</v>
      </c>
      <c r="W41" s="709">
        <f t="shared" si="14"/>
        <v>100</v>
      </c>
      <c r="X41" s="710"/>
      <c r="Y41" s="366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63"/>
      <c r="Q42" s="1352" t="str">
        <f t="shared" si="11"/>
        <v>内部装修</v>
      </c>
      <c r="R42" s="705" t="s">
        <v>14</v>
      </c>
      <c r="S42" s="706">
        <f t="shared" si="12"/>
        <v>100</v>
      </c>
      <c r="T42" s="705" t="s">
        <v>14</v>
      </c>
      <c r="U42" s="706">
        <f t="shared" si="13"/>
        <v>100</v>
      </c>
      <c r="V42" s="705" t="s">
        <v>14</v>
      </c>
      <c r="W42" s="706">
        <f t="shared" si="14"/>
        <v>100</v>
      </c>
      <c r="X42" s="1355"/>
      <c r="Y42" s="366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63"/>
      <c r="Q43" s="1352" t="str">
        <f t="shared" si="11"/>
        <v>内部装修维护情况</v>
      </c>
      <c r="R43" s="705" t="s">
        <v>14</v>
      </c>
      <c r="S43" s="706">
        <f t="shared" si="12"/>
        <v>100</v>
      </c>
      <c r="T43" s="705" t="s">
        <v>14</v>
      </c>
      <c r="U43" s="706">
        <f t="shared" si="13"/>
        <v>100</v>
      </c>
      <c r="V43" s="705" t="s">
        <v>14</v>
      </c>
      <c r="W43" s="706">
        <f t="shared" si="14"/>
        <v>100</v>
      </c>
      <c r="X43" s="1355"/>
      <c r="Y43" s="366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63"/>
      <c r="Q44" s="1343">
        <f t="shared" si="11"/>
        <v>111</v>
      </c>
      <c r="R44" s="701" t="s">
        <v>14</v>
      </c>
      <c r="S44" s="702">
        <f t="shared" si="12"/>
        <v>100</v>
      </c>
      <c r="T44" s="701" t="s">
        <v>14</v>
      </c>
      <c r="U44" s="702">
        <f t="shared" si="13"/>
        <v>100</v>
      </c>
      <c r="V44" s="701" t="s">
        <v>14</v>
      </c>
      <c r="W44" s="702">
        <f t="shared" si="14"/>
        <v>100</v>
      </c>
      <c r="X44" s="703"/>
      <c r="Y44" s="366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63"/>
      <c r="Q45" s="1352">
        <f t="shared" si="11"/>
        <v>111</v>
      </c>
      <c r="R45" s="705" t="s">
        <v>14</v>
      </c>
      <c r="S45" s="706">
        <f t="shared" si="12"/>
        <v>100</v>
      </c>
      <c r="T45" s="705" t="s">
        <v>14</v>
      </c>
      <c r="U45" s="706">
        <f t="shared" si="13"/>
        <v>100</v>
      </c>
      <c r="V45" s="705" t="s">
        <v>14</v>
      </c>
      <c r="W45" s="706">
        <f t="shared" si="14"/>
        <v>100</v>
      </c>
      <c r="X45" s="1355"/>
      <c r="Y45" s="366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64"/>
      <c r="Q46" s="1352">
        <f t="shared" si="11"/>
        <v>111</v>
      </c>
      <c r="R46" s="705" t="s">
        <v>14</v>
      </c>
      <c r="S46" s="706">
        <f t="shared" si="12"/>
        <v>100</v>
      </c>
      <c r="T46" s="705" t="s">
        <v>14</v>
      </c>
      <c r="U46" s="706">
        <f t="shared" si="13"/>
        <v>100</v>
      </c>
      <c r="V46" s="705" t="s">
        <v>14</v>
      </c>
      <c r="W46" s="706">
        <f t="shared" si="14"/>
        <v>100</v>
      </c>
      <c r="X46" s="1355"/>
      <c r="Y46" s="366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58" t="str">
        <f>A47</f>
        <v>成交单价（元/平方米）</v>
      </c>
      <c r="Q47" s="3658"/>
      <c r="R47" s="3689">
        <f>E47</f>
        <v>0</v>
      </c>
      <c r="S47" s="3689"/>
      <c r="T47" s="3689">
        <f>G47</f>
        <v>0</v>
      </c>
      <c r="U47" s="3689"/>
      <c r="V47" s="3689">
        <f>I47</f>
        <v>0</v>
      </c>
      <c r="W47" s="3689"/>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55" t="str">
        <f>A49</f>
        <v>估价对象XX用房的比较价值（楼面单价，元/平方米）</v>
      </c>
      <c r="Q49" s="3656"/>
      <c r="R49" s="3657" t="e">
        <f>IF(F1="售价",ROUND(IF(D48="简单平均",AVERAGE(R48:V48),R48*F48+T48*H48+V48*J48),0),ROUND(IF(D48="简单平均",AVERAGE(R48:V48),R48*F48+T48*H48+V48*J48),1))</f>
        <v>#DIV/0!</v>
      </c>
      <c r="S49" s="3657"/>
      <c r="T49" s="3657"/>
      <c r="U49" s="3657"/>
      <c r="V49" s="3657"/>
      <c r="W49" s="365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34.369999999999997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913"/>
      <c r="M4" s="914"/>
      <c r="N4" s="914"/>
      <c r="O4" s="914"/>
      <c r="P4" s="3677" t="s">
        <v>1775</v>
      </c>
      <c r="Q4" s="3678"/>
      <c r="R4" s="3683" t="s">
        <v>1771</v>
      </c>
      <c r="S4" s="3684"/>
      <c r="T4" s="3683" t="s">
        <v>1772</v>
      </c>
      <c r="U4" s="3684"/>
      <c r="V4" s="3689" t="s">
        <v>1773</v>
      </c>
      <c r="W4" s="3689"/>
      <c r="X4" s="1355"/>
      <c r="Y4" s="3683" t="s">
        <v>1775</v>
      </c>
      <c r="Z4" s="3684"/>
      <c r="AA4" s="3670" t="s">
        <v>1771</v>
      </c>
      <c r="AB4" s="3671" t="s">
        <v>1772</v>
      </c>
      <c r="AC4" s="3670" t="s">
        <v>1773</v>
      </c>
    </row>
    <row r="5" spans="1:29" ht="15">
      <c r="A5" s="358"/>
      <c r="B5" s="359"/>
      <c r="C5" s="3692" t="s">
        <v>1673</v>
      </c>
      <c r="D5" s="3693"/>
      <c r="E5" s="3699" t="s">
        <v>1674</v>
      </c>
      <c r="F5" s="3700"/>
      <c r="G5" s="3692" t="s">
        <v>1675</v>
      </c>
      <c r="H5" s="3693"/>
      <c r="I5" s="3692" t="s">
        <v>1676</v>
      </c>
      <c r="J5" s="3693"/>
      <c r="K5" s="559"/>
      <c r="L5" s="913"/>
      <c r="M5" s="914"/>
      <c r="N5" s="914"/>
      <c r="O5" s="914"/>
      <c r="P5" s="3679"/>
      <c r="Q5" s="3680"/>
      <c r="R5" s="3685"/>
      <c r="S5" s="3686"/>
      <c r="T5" s="3685"/>
      <c r="U5" s="3686"/>
      <c r="V5" s="3689"/>
      <c r="W5" s="3689"/>
      <c r="X5" s="1355"/>
      <c r="Y5" s="3685"/>
      <c r="Z5" s="3686"/>
      <c r="AA5" s="3671"/>
      <c r="AB5" s="3671"/>
      <c r="AC5" s="3671"/>
    </row>
    <row r="6" spans="1:29" ht="15.75" thickBot="1">
      <c r="A6" s="360"/>
      <c r="B6" s="361"/>
      <c r="C6" s="3690" t="s">
        <v>1677</v>
      </c>
      <c r="D6" s="3691"/>
      <c r="E6" s="3697" t="s">
        <v>1677</v>
      </c>
      <c r="F6" s="3698"/>
      <c r="G6" s="3690" t="s">
        <v>1677</v>
      </c>
      <c r="H6" s="3691"/>
      <c r="I6" s="3690" t="s">
        <v>1677</v>
      </c>
      <c r="J6" s="3691"/>
      <c r="K6" s="559" t="s">
        <v>1678</v>
      </c>
      <c r="L6" s="913"/>
      <c r="M6" s="914"/>
      <c r="N6" s="914"/>
      <c r="O6" s="914"/>
      <c r="P6" s="3681"/>
      <c r="Q6" s="3682"/>
      <c r="R6" s="3685"/>
      <c r="S6" s="3686"/>
      <c r="T6" s="3687"/>
      <c r="U6" s="3688"/>
      <c r="V6" s="3689"/>
      <c r="W6" s="3689"/>
      <c r="X6" s="1355"/>
      <c r="Y6" s="3687"/>
      <c r="Z6" s="3688"/>
      <c r="AA6" s="3672"/>
      <c r="AB6" s="3672"/>
      <c r="AC6" s="3672"/>
    </row>
    <row r="7" spans="1:29" s="108" customFormat="1" ht="15.75" thickBot="1">
      <c r="A7" s="362" t="s">
        <v>1679</v>
      </c>
      <c r="B7" s="363"/>
      <c r="C7" s="364">
        <f>'数据-取费表'!B2</f>
        <v>45257</v>
      </c>
      <c r="D7" s="365">
        <v>100</v>
      </c>
      <c r="E7" s="366"/>
      <c r="F7" s="367">
        <f>SUMIF(52:52,YEAR(E7)&amp;"-"&amp;MONTH(E7),53:53)</f>
        <v>0</v>
      </c>
      <c r="G7" s="366"/>
      <c r="H7" s="365">
        <f>SUMIF(52:52,YEAR(G7)&amp;"-"&amp;MONTH(G7),53:53)</f>
        <v>0</v>
      </c>
      <c r="I7" s="366"/>
      <c r="J7" s="365">
        <f>SUMIF(52:52,YEAR(I7)&amp;"-"&amp;MONTH(I7),53:53)</f>
        <v>0</v>
      </c>
      <c r="K7" s="560"/>
      <c r="L7" s="915"/>
      <c r="M7" s="916"/>
      <c r="N7" s="916"/>
      <c r="O7" s="916"/>
      <c r="P7" s="3694" t="s">
        <v>1680</v>
      </c>
      <c r="Q7" s="3696"/>
      <c r="R7" s="701" t="s">
        <v>14</v>
      </c>
      <c r="S7" s="702">
        <f t="shared" ref="S7:S15" si="0">F7</f>
        <v>0</v>
      </c>
      <c r="T7" s="701" t="s">
        <v>14</v>
      </c>
      <c r="U7" s="702">
        <f t="shared" ref="U7:U15" si="1">H7</f>
        <v>0</v>
      </c>
      <c r="V7" s="701" t="s">
        <v>14</v>
      </c>
      <c r="W7" s="702">
        <f t="shared" ref="W7:W15"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4" t="s">
        <v>1683</v>
      </c>
      <c r="Q8" s="3695"/>
      <c r="R8" s="701" t="s">
        <v>14</v>
      </c>
      <c r="S8" s="702">
        <f t="shared" si="0"/>
        <v>100</v>
      </c>
      <c r="T8" s="701" t="s">
        <v>14</v>
      </c>
      <c r="U8" s="702">
        <f t="shared" si="1"/>
        <v>100</v>
      </c>
      <c r="V8" s="701" t="s">
        <v>14</v>
      </c>
      <c r="W8" s="702">
        <f t="shared" si="2"/>
        <v>100</v>
      </c>
      <c r="X8" s="703"/>
      <c r="Y8" s="3694" t="s">
        <v>1683</v>
      </c>
      <c r="Z8" s="369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8"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58"/>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8"/>
      <c r="Q11" s="1343" t="str">
        <f t="shared" si="6"/>
        <v>容积率</v>
      </c>
      <c r="R11" s="701" t="s">
        <v>14</v>
      </c>
      <c r="S11" s="702">
        <f t="shared" si="0"/>
        <v>100</v>
      </c>
      <c r="T11" s="701" t="s">
        <v>14</v>
      </c>
      <c r="U11" s="702">
        <f t="shared" si="1"/>
        <v>100</v>
      </c>
      <c r="V11" s="701" t="s">
        <v>14</v>
      </c>
      <c r="W11" s="702">
        <f t="shared" si="2"/>
        <v>100</v>
      </c>
      <c r="X11" s="703"/>
      <c r="Y11" s="355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58"/>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58"/>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58"/>
      <c r="Q14" s="1343">
        <f t="shared" si="6"/>
        <v>111</v>
      </c>
      <c r="R14" s="701" t="s">
        <v>14</v>
      </c>
      <c r="S14" s="702">
        <f t="shared" si="0"/>
        <v>100</v>
      </c>
      <c r="T14" s="701" t="s">
        <v>14</v>
      </c>
      <c r="U14" s="702">
        <f t="shared" si="1"/>
        <v>100</v>
      </c>
      <c r="V14" s="701" t="s">
        <v>14</v>
      </c>
      <c r="W14" s="702">
        <f t="shared" si="2"/>
        <v>100</v>
      </c>
      <c r="X14" s="703"/>
      <c r="Y14" s="355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0" t="s">
        <v>1691</v>
      </c>
      <c r="Q15" s="1352" t="str">
        <f t="shared" si="6"/>
        <v>产业集聚程度</v>
      </c>
      <c r="R15" s="705" t="s">
        <v>14</v>
      </c>
      <c r="S15" s="706">
        <f t="shared" si="0"/>
        <v>100</v>
      </c>
      <c r="T15" s="705" t="s">
        <v>14</v>
      </c>
      <c r="U15" s="706">
        <f t="shared" si="1"/>
        <v>100</v>
      </c>
      <c r="V15" s="705" t="s">
        <v>14</v>
      </c>
      <c r="W15" s="706">
        <f t="shared" si="2"/>
        <v>100</v>
      </c>
      <c r="X15" s="1355"/>
      <c r="Y15" s="366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1"/>
      <c r="Q16" s="1352"/>
      <c r="R16" s="705"/>
      <c r="S16" s="706"/>
      <c r="T16" s="705"/>
      <c r="U16" s="706"/>
      <c r="V16" s="705"/>
      <c r="W16" s="706"/>
      <c r="X16" s="1355"/>
      <c r="Y16" s="366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1"/>
      <c r="Q17" s="1352" t="str">
        <f>B17</f>
        <v>交通便捷度</v>
      </c>
      <c r="R17" s="705" t="s">
        <v>14</v>
      </c>
      <c r="S17" s="706">
        <f>F17</f>
        <v>100</v>
      </c>
      <c r="T17" s="705" t="s">
        <v>14</v>
      </c>
      <c r="U17" s="706">
        <f>H17</f>
        <v>100</v>
      </c>
      <c r="V17" s="705" t="s">
        <v>14</v>
      </c>
      <c r="W17" s="706">
        <f>J17</f>
        <v>100</v>
      </c>
      <c r="X17" s="1355"/>
      <c r="Y17" s="366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1"/>
      <c r="Q18" s="1352"/>
      <c r="R18" s="705"/>
      <c r="S18" s="706"/>
      <c r="T18" s="705"/>
      <c r="U18" s="706"/>
      <c r="V18" s="705"/>
      <c r="W18" s="706"/>
      <c r="X18" s="1355"/>
      <c r="Y18" s="366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1"/>
      <c r="Q19" s="1352" t="str">
        <f>B19</f>
        <v>公共配套设施</v>
      </c>
      <c r="R19" s="705" t="s">
        <v>14</v>
      </c>
      <c r="S19" s="706">
        <f>F19</f>
        <v>100</v>
      </c>
      <c r="T19" s="705" t="s">
        <v>14</v>
      </c>
      <c r="U19" s="706">
        <f>H19</f>
        <v>100</v>
      </c>
      <c r="V19" s="705" t="s">
        <v>14</v>
      </c>
      <c r="W19" s="706">
        <f>J19</f>
        <v>100</v>
      </c>
      <c r="X19" s="1355"/>
      <c r="Y19" s="366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1"/>
      <c r="Q20" s="1352"/>
      <c r="R20" s="705"/>
      <c r="S20" s="706"/>
      <c r="T20" s="705"/>
      <c r="U20" s="706"/>
      <c r="V20" s="705"/>
      <c r="W20" s="706"/>
      <c r="X20" s="1355"/>
      <c r="Y20" s="366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1"/>
      <c r="Q21" s="1352" t="str">
        <f>B21</f>
        <v>基础设施水平</v>
      </c>
      <c r="R21" s="705" t="s">
        <v>14</v>
      </c>
      <c r="S21" s="706">
        <f>F21</f>
        <v>100</v>
      </c>
      <c r="T21" s="705" t="s">
        <v>14</v>
      </c>
      <c r="U21" s="706">
        <f>H21</f>
        <v>100</v>
      </c>
      <c r="V21" s="705" t="s">
        <v>14</v>
      </c>
      <c r="W21" s="706">
        <f>J21</f>
        <v>100</v>
      </c>
      <c r="X21" s="1355"/>
      <c r="Y21" s="366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1"/>
      <c r="Q22" s="1352"/>
      <c r="R22" s="705"/>
      <c r="S22" s="706"/>
      <c r="T22" s="705"/>
      <c r="U22" s="706"/>
      <c r="V22" s="705"/>
      <c r="W22" s="706"/>
      <c r="X22" s="1355"/>
      <c r="Y22" s="366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1"/>
      <c r="Q23" s="1352" t="str">
        <f>B23</f>
        <v>环境质量</v>
      </c>
      <c r="R23" s="705" t="s">
        <v>14</v>
      </c>
      <c r="S23" s="706">
        <f>F23</f>
        <v>100</v>
      </c>
      <c r="T23" s="705" t="s">
        <v>14</v>
      </c>
      <c r="U23" s="706">
        <f>H23</f>
        <v>100</v>
      </c>
      <c r="V23" s="705" t="s">
        <v>14</v>
      </c>
      <c r="W23" s="706">
        <f>J23</f>
        <v>100</v>
      </c>
      <c r="X23" s="1355"/>
      <c r="Y23" s="366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1"/>
      <c r="Q24" s="1352"/>
      <c r="R24" s="705"/>
      <c r="S24" s="706"/>
      <c r="T24" s="705"/>
      <c r="U24" s="706"/>
      <c r="V24" s="705"/>
      <c r="W24" s="706"/>
      <c r="X24" s="1355"/>
      <c r="Y24" s="366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1"/>
      <c r="Q25" s="1352">
        <f>B25</f>
        <v>111</v>
      </c>
      <c r="R25" s="705" t="s">
        <v>14</v>
      </c>
      <c r="S25" s="706">
        <f>F25</f>
        <v>100</v>
      </c>
      <c r="T25" s="705" t="s">
        <v>14</v>
      </c>
      <c r="U25" s="706">
        <f>H25</f>
        <v>100</v>
      </c>
      <c r="V25" s="705" t="s">
        <v>14</v>
      </c>
      <c r="W25" s="706">
        <f>J25</f>
        <v>100</v>
      </c>
      <c r="X25" s="1355"/>
      <c r="Y25" s="366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1"/>
      <c r="Q26" s="1352">
        <f t="shared" ref="Q26:Q40" si="11">B26</f>
        <v>111</v>
      </c>
      <c r="R26" s="705" t="s">
        <v>14</v>
      </c>
      <c r="S26" s="706">
        <f>F26</f>
        <v>100</v>
      </c>
      <c r="T26" s="705" t="s">
        <v>14</v>
      </c>
      <c r="U26" s="706">
        <f>H26</f>
        <v>100</v>
      </c>
      <c r="V26" s="705" t="s">
        <v>14</v>
      </c>
      <c r="W26" s="706">
        <f>J26</f>
        <v>100</v>
      </c>
      <c r="X26" s="1355"/>
      <c r="Y26" s="366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1"/>
      <c r="Q27" s="1343">
        <f t="shared" si="11"/>
        <v>111</v>
      </c>
      <c r="R27" s="701" t="s">
        <v>14</v>
      </c>
      <c r="S27" s="702">
        <f>F27</f>
        <v>100</v>
      </c>
      <c r="T27" s="701" t="s">
        <v>14</v>
      </c>
      <c r="U27" s="702">
        <f>H27</f>
        <v>100</v>
      </c>
      <c r="V27" s="701" t="s">
        <v>14</v>
      </c>
      <c r="W27" s="702">
        <f>J27</f>
        <v>100</v>
      </c>
      <c r="X27" s="703"/>
      <c r="Y27" s="366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1"/>
      <c r="Q28" s="1352">
        <f t="shared" si="11"/>
        <v>111</v>
      </c>
      <c r="R28" s="705" t="s">
        <v>14</v>
      </c>
      <c r="S28" s="706">
        <f t="shared" ref="S28:S40" si="12">F28</f>
        <v>100</v>
      </c>
      <c r="T28" s="705" t="s">
        <v>14</v>
      </c>
      <c r="U28" s="706">
        <f t="shared" ref="U28:U40" si="13">H28</f>
        <v>100</v>
      </c>
      <c r="V28" s="705" t="s">
        <v>14</v>
      </c>
      <c r="W28" s="706">
        <f t="shared" ref="W28:W40" si="14">J28</f>
        <v>100</v>
      </c>
      <c r="X28" s="1355"/>
      <c r="Y28" s="366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2" t="s">
        <v>1696</v>
      </c>
      <c r="Q29" s="1352" t="str">
        <f t="shared" si="11"/>
        <v>建筑类型</v>
      </c>
      <c r="R29" s="705" t="s">
        <v>14</v>
      </c>
      <c r="S29" s="706">
        <f t="shared" si="12"/>
        <v>100</v>
      </c>
      <c r="T29" s="705" t="s">
        <v>14</v>
      </c>
      <c r="U29" s="706">
        <f t="shared" si="13"/>
        <v>100</v>
      </c>
      <c r="V29" s="705" t="s">
        <v>14</v>
      </c>
      <c r="W29" s="706">
        <f t="shared" si="14"/>
        <v>100</v>
      </c>
      <c r="X29" s="1355"/>
      <c r="Y29" s="366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5"/>
      <c r="Q30" s="707" t="str">
        <f t="shared" si="11"/>
        <v>项目建筑规模</v>
      </c>
      <c r="R30" s="708" t="s">
        <v>14</v>
      </c>
      <c r="S30" s="709" t="e">
        <f t="shared" si="12"/>
        <v>#N/A</v>
      </c>
      <c r="T30" s="708" t="s">
        <v>14</v>
      </c>
      <c r="U30" s="709" t="e">
        <f t="shared" si="13"/>
        <v>#N/A</v>
      </c>
      <c r="V30" s="708" t="s">
        <v>14</v>
      </c>
      <c r="W30" s="709" t="e">
        <f t="shared" si="14"/>
        <v>#N/A</v>
      </c>
      <c r="X30" s="710"/>
      <c r="Y30" s="366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5"/>
      <c r="Q31" s="1352" t="str">
        <f t="shared" si="11"/>
        <v>建筑结构</v>
      </c>
      <c r="R31" s="705" t="s">
        <v>14</v>
      </c>
      <c r="S31" s="706">
        <f t="shared" si="12"/>
        <v>100</v>
      </c>
      <c r="T31" s="705" t="s">
        <v>14</v>
      </c>
      <c r="U31" s="706">
        <f t="shared" si="13"/>
        <v>100</v>
      </c>
      <c r="V31" s="705" t="s">
        <v>14</v>
      </c>
      <c r="W31" s="706">
        <f t="shared" si="14"/>
        <v>100</v>
      </c>
      <c r="X31" s="1355"/>
      <c r="Y31" s="366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5"/>
      <c r="Q32" s="1352" t="str">
        <f t="shared" si="11"/>
        <v>公共部分装修</v>
      </c>
      <c r="R32" s="705" t="s">
        <v>14</v>
      </c>
      <c r="S32" s="706">
        <f t="shared" si="12"/>
        <v>100</v>
      </c>
      <c r="T32" s="705" t="s">
        <v>14</v>
      </c>
      <c r="U32" s="706">
        <f t="shared" si="13"/>
        <v>100</v>
      </c>
      <c r="V32" s="705" t="s">
        <v>14</v>
      </c>
      <c r="W32" s="706">
        <f t="shared" si="14"/>
        <v>100</v>
      </c>
      <c r="X32" s="1355"/>
      <c r="Y32" s="366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5"/>
      <c r="Q33" s="1352" t="str">
        <f t="shared" si="11"/>
        <v>成新度</v>
      </c>
      <c r="R33" s="705" t="s">
        <v>14</v>
      </c>
      <c r="S33" s="706" t="e">
        <f t="shared" si="12"/>
        <v>#N/A</v>
      </c>
      <c r="T33" s="705" t="s">
        <v>14</v>
      </c>
      <c r="U33" s="706" t="e">
        <f t="shared" si="13"/>
        <v>#N/A</v>
      </c>
      <c r="V33" s="705" t="s">
        <v>14</v>
      </c>
      <c r="W33" s="706" t="e">
        <f t="shared" si="14"/>
        <v>#N/A</v>
      </c>
      <c r="X33" s="1355"/>
      <c r="Y33" s="366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5"/>
      <c r="Q34" s="1343" t="str">
        <f t="shared" si="11"/>
        <v>物业管理</v>
      </c>
      <c r="R34" s="701" t="s">
        <v>14</v>
      </c>
      <c r="S34" s="702">
        <f t="shared" si="12"/>
        <v>100</v>
      </c>
      <c r="T34" s="701" t="s">
        <v>14</v>
      </c>
      <c r="U34" s="702">
        <f t="shared" si="13"/>
        <v>100</v>
      </c>
      <c r="V34" s="701" t="s">
        <v>14</v>
      </c>
      <c r="W34" s="702">
        <f t="shared" si="14"/>
        <v>100</v>
      </c>
      <c r="X34" s="703"/>
      <c r="Y34" s="366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5" t="s">
        <v>1696</v>
      </c>
      <c r="Q35" s="1352" t="str">
        <f t="shared" si="11"/>
        <v>市政基础设施</v>
      </c>
      <c r="R35" s="705" t="s">
        <v>14</v>
      </c>
      <c r="S35" s="706">
        <f t="shared" si="12"/>
        <v>100</v>
      </c>
      <c r="T35" s="705" t="s">
        <v>14</v>
      </c>
      <c r="U35" s="706">
        <f t="shared" si="13"/>
        <v>100</v>
      </c>
      <c r="V35" s="705" t="s">
        <v>14</v>
      </c>
      <c r="W35" s="706">
        <f t="shared" si="14"/>
        <v>100</v>
      </c>
      <c r="X35" s="1355"/>
      <c r="Y35" s="366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5"/>
      <c r="Q36" s="1352" t="str">
        <f t="shared" si="11"/>
        <v>内部装修</v>
      </c>
      <c r="R36" s="705" t="s">
        <v>14</v>
      </c>
      <c r="S36" s="706">
        <f t="shared" si="12"/>
        <v>100</v>
      </c>
      <c r="T36" s="705" t="s">
        <v>14</v>
      </c>
      <c r="U36" s="706">
        <f t="shared" si="13"/>
        <v>100</v>
      </c>
      <c r="V36" s="705" t="s">
        <v>14</v>
      </c>
      <c r="W36" s="706">
        <f t="shared" si="14"/>
        <v>100</v>
      </c>
      <c r="X36" s="1355"/>
      <c r="Y36" s="366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5"/>
      <c r="Q37" s="1352" t="str">
        <f t="shared" si="11"/>
        <v>内部装修状况</v>
      </c>
      <c r="R37" s="705" t="s">
        <v>14</v>
      </c>
      <c r="S37" s="706">
        <f t="shared" si="12"/>
        <v>100</v>
      </c>
      <c r="T37" s="705" t="s">
        <v>14</v>
      </c>
      <c r="U37" s="706">
        <f t="shared" si="13"/>
        <v>100</v>
      </c>
      <c r="V37" s="705" t="s">
        <v>14</v>
      </c>
      <c r="W37" s="706">
        <f t="shared" si="14"/>
        <v>100</v>
      </c>
      <c r="X37" s="1355"/>
      <c r="Y37" s="366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5"/>
      <c r="Q38" s="707">
        <f t="shared" si="11"/>
        <v>111</v>
      </c>
      <c r="R38" s="708" t="s">
        <v>14</v>
      </c>
      <c r="S38" s="709">
        <f t="shared" si="12"/>
        <v>100</v>
      </c>
      <c r="T38" s="708" t="s">
        <v>14</v>
      </c>
      <c r="U38" s="709">
        <f t="shared" si="13"/>
        <v>100</v>
      </c>
      <c r="V38" s="708" t="s">
        <v>14</v>
      </c>
      <c r="W38" s="709">
        <f t="shared" si="14"/>
        <v>100</v>
      </c>
      <c r="X38" s="710"/>
      <c r="Y38" s="366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5"/>
      <c r="Q39" s="1352">
        <f t="shared" si="11"/>
        <v>111</v>
      </c>
      <c r="R39" s="705" t="s">
        <v>14</v>
      </c>
      <c r="S39" s="706">
        <f t="shared" si="12"/>
        <v>100</v>
      </c>
      <c r="T39" s="705" t="s">
        <v>14</v>
      </c>
      <c r="U39" s="706">
        <f t="shared" si="13"/>
        <v>100</v>
      </c>
      <c r="V39" s="705" t="s">
        <v>14</v>
      </c>
      <c r="W39" s="706">
        <f t="shared" si="14"/>
        <v>100</v>
      </c>
      <c r="X39" s="1355"/>
      <c r="Y39" s="366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66"/>
      <c r="Q40" s="1352">
        <f t="shared" si="11"/>
        <v>111</v>
      </c>
      <c r="R40" s="705" t="s">
        <v>14</v>
      </c>
      <c r="S40" s="706">
        <f t="shared" si="12"/>
        <v>100</v>
      </c>
      <c r="T40" s="705" t="s">
        <v>14</v>
      </c>
      <c r="U40" s="706">
        <f t="shared" si="13"/>
        <v>100</v>
      </c>
      <c r="V40" s="705" t="s">
        <v>14</v>
      </c>
      <c r="W40" s="706">
        <f t="shared" si="14"/>
        <v>100</v>
      </c>
      <c r="X40" s="1355"/>
      <c r="Y40" s="366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58" t="str">
        <f>A41</f>
        <v>成交单价（元/平方米）</v>
      </c>
      <c r="Q41" s="3658"/>
      <c r="R41" s="3659">
        <f>E41</f>
        <v>0</v>
      </c>
      <c r="S41" s="3659"/>
      <c r="T41" s="3659">
        <f>G41</f>
        <v>0</v>
      </c>
      <c r="U41" s="3659"/>
      <c r="V41" s="3659">
        <f>I41</f>
        <v>0</v>
      </c>
      <c r="W41" s="3659"/>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58" t="str">
        <f>A42</f>
        <v>比较价值（元/平方米）</v>
      </c>
      <c r="Q42" s="3658"/>
      <c r="R42" s="3659" t="e">
        <f>IF(F1="售价",ROUND(PRODUCT(R41,AA7:AA40),0),ROUND(PRODUCT(R41,AA7:AA40),1))</f>
        <v>#DIV/0!</v>
      </c>
      <c r="S42" s="3659"/>
      <c r="T42" s="3659" t="e">
        <f>IF(F1="售价",ROUND(PRODUCT(T41,AB7:AB40),0),ROUND(PRODUCT(T41,AB7:AB40),1))</f>
        <v>#DIV/0!</v>
      </c>
      <c r="U42" s="3659"/>
      <c r="V42" s="3659" t="e">
        <f>IF(F1="售价",ROUND(PRODUCT(V41,AC7:AC40),0),ROUND(PRODUCT(V41,AC7:AC40),1))</f>
        <v>#DIV/0!</v>
      </c>
      <c r="W42" s="365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55" t="str">
        <f>A43</f>
        <v>估价对象XX用房的比较价值（楼面单价，元/平方米）</v>
      </c>
      <c r="Q43" s="3656"/>
      <c r="R43" s="3657" t="e">
        <f>IF(F1="售价",ROUND(IF(D42="简单平均",AVERAGE(R42:V42),R42*F42+T42*H42+V42*J42),0),ROUND(IF(D42="简单平均",AVERAGE(R42:V42),R42*F42+T42*H42+V42*J42),1))</f>
        <v>#DIV/0!</v>
      </c>
      <c r="S43" s="3657"/>
      <c r="T43" s="3657"/>
      <c r="U43" s="3657"/>
      <c r="V43" s="3657"/>
      <c r="W43" s="365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83" t="s">
        <v>1771</v>
      </c>
      <c r="S4" s="3684"/>
      <c r="T4" s="3683" t="s">
        <v>1772</v>
      </c>
      <c r="U4" s="3684"/>
      <c r="V4" s="3689" t="s">
        <v>1773</v>
      </c>
      <c r="W4" s="3689"/>
      <c r="X4" s="1355"/>
      <c r="Y4" s="3683" t="s">
        <v>1775</v>
      </c>
      <c r="Z4" s="3684"/>
      <c r="AA4" s="3670" t="s">
        <v>1771</v>
      </c>
      <c r="AB4" s="3671" t="s">
        <v>1772</v>
      </c>
      <c r="AC4" s="3670" t="s">
        <v>1773</v>
      </c>
    </row>
    <row r="5" spans="1:29" ht="15">
      <c r="A5" s="358"/>
      <c r="B5" s="359"/>
      <c r="C5" s="3692" t="s">
        <v>1673</v>
      </c>
      <c r="D5" s="3693"/>
      <c r="E5" s="3699" t="s">
        <v>1674</v>
      </c>
      <c r="F5" s="3700"/>
      <c r="G5" s="3692" t="s">
        <v>1675</v>
      </c>
      <c r="H5" s="3693"/>
      <c r="I5" s="3692" t="s">
        <v>1676</v>
      </c>
      <c r="J5" s="3693"/>
      <c r="K5" s="559"/>
      <c r="L5" s="2715"/>
      <c r="M5" s="2716"/>
      <c r="N5" s="2716"/>
      <c r="O5" s="2716"/>
      <c r="P5" s="3679"/>
      <c r="Q5" s="3680"/>
      <c r="R5" s="3685"/>
      <c r="S5" s="3686"/>
      <c r="T5" s="3685"/>
      <c r="U5" s="3686"/>
      <c r="V5" s="3689"/>
      <c r="W5" s="3689"/>
      <c r="X5" s="1355"/>
      <c r="Y5" s="3685"/>
      <c r="Z5" s="3686"/>
      <c r="AA5" s="3671"/>
      <c r="AB5" s="3671"/>
      <c r="AC5" s="3671"/>
    </row>
    <row r="6" spans="1:29" ht="15.75" thickBot="1">
      <c r="A6" s="360"/>
      <c r="B6" s="361"/>
      <c r="C6" s="3690" t="s">
        <v>1677</v>
      </c>
      <c r="D6" s="3691"/>
      <c r="E6" s="3697" t="s">
        <v>1677</v>
      </c>
      <c r="F6" s="3698"/>
      <c r="G6" s="3690" t="s">
        <v>1677</v>
      </c>
      <c r="H6" s="3691"/>
      <c r="I6" s="3690" t="s">
        <v>1677</v>
      </c>
      <c r="J6" s="3691"/>
      <c r="K6" s="559" t="s">
        <v>1678</v>
      </c>
      <c r="L6" s="2715"/>
      <c r="M6" s="2716"/>
      <c r="N6" s="2716"/>
      <c r="O6" s="2716"/>
      <c r="P6" s="3681"/>
      <c r="Q6" s="3682"/>
      <c r="R6" s="3685"/>
      <c r="S6" s="3686"/>
      <c r="T6" s="3687"/>
      <c r="U6" s="3688"/>
      <c r="V6" s="3689"/>
      <c r="W6" s="3689"/>
      <c r="X6" s="1355"/>
      <c r="Y6" s="3687"/>
      <c r="Z6" s="3688"/>
      <c r="AA6" s="3672"/>
      <c r="AB6" s="3672"/>
      <c r="AC6" s="3672"/>
    </row>
    <row r="7" spans="1:29" s="108" customFormat="1" ht="15.75" thickBot="1">
      <c r="A7" s="362" t="s">
        <v>1679</v>
      </c>
      <c r="B7" s="363"/>
      <c r="C7" s="364">
        <f>'数据-取费表'!B2</f>
        <v>45257</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94" t="s">
        <v>1680</v>
      </c>
      <c r="Q7" s="3696"/>
      <c r="R7" s="701" t="s">
        <v>14</v>
      </c>
      <c r="S7" s="702">
        <f t="shared" ref="S7:S14" si="0">F7</f>
        <v>0</v>
      </c>
      <c r="T7" s="701" t="s">
        <v>14</v>
      </c>
      <c r="U7" s="702">
        <f t="shared" ref="U7:U14" si="1">H7</f>
        <v>0</v>
      </c>
      <c r="V7" s="701" t="s">
        <v>14</v>
      </c>
      <c r="W7" s="702">
        <f t="shared" ref="W7:W14"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94" t="s">
        <v>1683</v>
      </c>
      <c r="Q8" s="3695"/>
      <c r="R8" s="701" t="s">
        <v>14</v>
      </c>
      <c r="S8" s="702">
        <f t="shared" si="0"/>
        <v>100</v>
      </c>
      <c r="T8" s="701" t="s">
        <v>14</v>
      </c>
      <c r="U8" s="702">
        <f t="shared" si="1"/>
        <v>100</v>
      </c>
      <c r="V8" s="701" t="s">
        <v>14</v>
      </c>
      <c r="W8" s="702">
        <f t="shared" si="2"/>
        <v>100</v>
      </c>
      <c r="X8" s="703"/>
      <c r="Y8" s="3694" t="s">
        <v>1683</v>
      </c>
      <c r="Z8" s="369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58" t="s">
        <v>1686</v>
      </c>
      <c r="Q9" s="1343" t="str">
        <f t="shared" ref="Q9:Q14" si="6">B9</f>
        <v>用途</v>
      </c>
      <c r="R9" s="701" t="s">
        <v>14</v>
      </c>
      <c r="S9" s="702">
        <f t="shared" si="0"/>
        <v>100</v>
      </c>
      <c r="T9" s="701" t="s">
        <v>14</v>
      </c>
      <c r="U9" s="702">
        <f t="shared" si="1"/>
        <v>100</v>
      </c>
      <c r="V9" s="701" t="s">
        <v>14</v>
      </c>
      <c r="W9" s="702">
        <f t="shared" si="2"/>
        <v>100</v>
      </c>
      <c r="X9" s="703"/>
      <c r="Y9" s="355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58"/>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58"/>
      <c r="Q11" s="1343">
        <f t="shared" si="6"/>
        <v>111</v>
      </c>
      <c r="R11" s="701" t="s">
        <v>14</v>
      </c>
      <c r="S11" s="702">
        <f t="shared" si="0"/>
        <v>100</v>
      </c>
      <c r="T11" s="701" t="s">
        <v>14</v>
      </c>
      <c r="U11" s="702">
        <f t="shared" si="1"/>
        <v>100</v>
      </c>
      <c r="V11" s="701" t="s">
        <v>14</v>
      </c>
      <c r="W11" s="702">
        <f t="shared" si="2"/>
        <v>100</v>
      </c>
      <c r="X11" s="703"/>
      <c r="Y11" s="355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58"/>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58"/>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0" t="s">
        <v>1691</v>
      </c>
      <c r="Q14" s="1352" t="str">
        <f t="shared" si="6"/>
        <v>交通便捷度</v>
      </c>
      <c r="R14" s="705" t="s">
        <v>14</v>
      </c>
      <c r="S14" s="706">
        <f t="shared" si="0"/>
        <v>100</v>
      </c>
      <c r="T14" s="705" t="s">
        <v>14</v>
      </c>
      <c r="U14" s="706">
        <f t="shared" si="1"/>
        <v>100</v>
      </c>
      <c r="V14" s="705" t="s">
        <v>14</v>
      </c>
      <c r="W14" s="706">
        <f t="shared" si="2"/>
        <v>100</v>
      </c>
      <c r="X14" s="1355"/>
      <c r="Y14" s="366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1"/>
      <c r="Q15" s="1352"/>
      <c r="R15" s="705"/>
      <c r="S15" s="706"/>
      <c r="T15" s="705"/>
      <c r="U15" s="706"/>
      <c r="V15" s="705"/>
      <c r="W15" s="706"/>
      <c r="X15" s="1355"/>
      <c r="Y15" s="366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1"/>
      <c r="Q16" s="1352" t="str">
        <f>B16</f>
        <v>公共配套设施</v>
      </c>
      <c r="R16" s="705" t="s">
        <v>14</v>
      </c>
      <c r="S16" s="706">
        <f>F16</f>
        <v>100</v>
      </c>
      <c r="T16" s="705" t="s">
        <v>14</v>
      </c>
      <c r="U16" s="706">
        <f>H16</f>
        <v>100</v>
      </c>
      <c r="V16" s="705" t="s">
        <v>14</v>
      </c>
      <c r="W16" s="706">
        <f>J16</f>
        <v>100</v>
      </c>
      <c r="X16" s="1355"/>
      <c r="Y16" s="366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1"/>
      <c r="Q17" s="1352"/>
      <c r="R17" s="705"/>
      <c r="S17" s="706"/>
      <c r="T17" s="705"/>
      <c r="U17" s="706"/>
      <c r="V17" s="705"/>
      <c r="W17" s="706"/>
      <c r="X17" s="1355"/>
      <c r="Y17" s="366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1"/>
      <c r="Q18" s="1352" t="str">
        <f>B18</f>
        <v>基础设施水平</v>
      </c>
      <c r="R18" s="705" t="s">
        <v>14</v>
      </c>
      <c r="S18" s="706">
        <f>F18</f>
        <v>100</v>
      </c>
      <c r="T18" s="705" t="s">
        <v>14</v>
      </c>
      <c r="U18" s="706">
        <f>H18</f>
        <v>100</v>
      </c>
      <c r="V18" s="705" t="s">
        <v>14</v>
      </c>
      <c r="W18" s="706">
        <f>J18</f>
        <v>100</v>
      </c>
      <c r="X18" s="1355"/>
      <c r="Y18" s="366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1"/>
      <c r="Q19" s="1352"/>
      <c r="R19" s="705"/>
      <c r="S19" s="706"/>
      <c r="T19" s="705"/>
      <c r="U19" s="706"/>
      <c r="V19" s="705"/>
      <c r="W19" s="706"/>
      <c r="X19" s="1355"/>
      <c r="Y19" s="366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1"/>
      <c r="Q20" s="1352" t="str">
        <f>B20</f>
        <v>自然及人文环境</v>
      </c>
      <c r="R20" s="705" t="s">
        <v>14</v>
      </c>
      <c r="S20" s="706">
        <f>F20</f>
        <v>100</v>
      </c>
      <c r="T20" s="705" t="s">
        <v>14</v>
      </c>
      <c r="U20" s="706">
        <f>H20</f>
        <v>100</v>
      </c>
      <c r="V20" s="705" t="s">
        <v>14</v>
      </c>
      <c r="W20" s="706">
        <f>J20</f>
        <v>100</v>
      </c>
      <c r="X20" s="1355"/>
      <c r="Y20" s="366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1"/>
      <c r="Q21" s="1352"/>
      <c r="R21" s="705"/>
      <c r="S21" s="706"/>
      <c r="T21" s="705"/>
      <c r="U21" s="706"/>
      <c r="V21" s="705"/>
      <c r="W21" s="706"/>
      <c r="X21" s="1355"/>
      <c r="Y21" s="366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1"/>
      <c r="Q22" s="1352" t="str">
        <f>B22</f>
        <v>楼层</v>
      </c>
      <c r="R22" s="705" t="s">
        <v>14</v>
      </c>
      <c r="S22" s="706">
        <f>F22</f>
        <v>100</v>
      </c>
      <c r="T22" s="705" t="s">
        <v>14</v>
      </c>
      <c r="U22" s="706">
        <f>H22</f>
        <v>100</v>
      </c>
      <c r="V22" s="705" t="s">
        <v>14</v>
      </c>
      <c r="W22" s="706">
        <f>J22</f>
        <v>100</v>
      </c>
      <c r="X22" s="1355"/>
      <c r="Y22" s="366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1"/>
      <c r="Q23" s="1352">
        <f>B23</f>
        <v>111</v>
      </c>
      <c r="R23" s="705" t="s">
        <v>14</v>
      </c>
      <c r="S23" s="706">
        <f>F23</f>
        <v>100</v>
      </c>
      <c r="T23" s="705" t="s">
        <v>14</v>
      </c>
      <c r="U23" s="706">
        <f>H23</f>
        <v>100</v>
      </c>
      <c r="V23" s="705" t="s">
        <v>14</v>
      </c>
      <c r="W23" s="706">
        <f>J23</f>
        <v>100</v>
      </c>
      <c r="X23" s="1355"/>
      <c r="Y23" s="366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1"/>
      <c r="Q24" s="1352">
        <f t="shared" ref="Q24:Q36" si="11">B24</f>
        <v>111</v>
      </c>
      <c r="R24" s="705" t="s">
        <v>14</v>
      </c>
      <c r="S24" s="706">
        <f>F24</f>
        <v>100</v>
      </c>
      <c r="T24" s="705" t="s">
        <v>14</v>
      </c>
      <c r="U24" s="706">
        <f>H24</f>
        <v>100</v>
      </c>
      <c r="V24" s="705" t="s">
        <v>14</v>
      </c>
      <c r="W24" s="706">
        <f>J24</f>
        <v>100</v>
      </c>
      <c r="X24" s="1355"/>
      <c r="Y24" s="366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1"/>
      <c r="Q25" s="1343">
        <f t="shared" si="11"/>
        <v>111</v>
      </c>
      <c r="R25" s="701" t="s">
        <v>14</v>
      </c>
      <c r="S25" s="702">
        <f>F25</f>
        <v>100</v>
      </c>
      <c r="T25" s="701" t="s">
        <v>14</v>
      </c>
      <c r="U25" s="702">
        <f>H25</f>
        <v>100</v>
      </c>
      <c r="V25" s="701" t="s">
        <v>14</v>
      </c>
      <c r="W25" s="702">
        <f>J25</f>
        <v>100</v>
      </c>
      <c r="X25" s="703"/>
      <c r="Y25" s="366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6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65"/>
      <c r="Q27" s="707" t="str">
        <f t="shared" si="11"/>
        <v>项目停车位配比</v>
      </c>
      <c r="R27" s="708" t="s">
        <v>14</v>
      </c>
      <c r="S27" s="709">
        <f t="shared" si="12"/>
        <v>100</v>
      </c>
      <c r="T27" s="708" t="s">
        <v>14</v>
      </c>
      <c r="U27" s="709">
        <f t="shared" si="13"/>
        <v>100</v>
      </c>
      <c r="V27" s="708" t="s">
        <v>14</v>
      </c>
      <c r="W27" s="709">
        <f t="shared" si="14"/>
        <v>100</v>
      </c>
      <c r="X27" s="710"/>
      <c r="Y27" s="366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65"/>
      <c r="Q28" s="1352" t="str">
        <f t="shared" si="11"/>
        <v>公共部分装修</v>
      </c>
      <c r="R28" s="705" t="s">
        <v>14</v>
      </c>
      <c r="S28" s="706">
        <f t="shared" si="12"/>
        <v>100</v>
      </c>
      <c r="T28" s="705" t="s">
        <v>14</v>
      </c>
      <c r="U28" s="706">
        <f t="shared" si="13"/>
        <v>100</v>
      </c>
      <c r="V28" s="705" t="s">
        <v>14</v>
      </c>
      <c r="W28" s="706">
        <f t="shared" si="14"/>
        <v>100</v>
      </c>
      <c r="X28" s="1355"/>
      <c r="Y28" s="366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65"/>
      <c r="Q29" s="1352" t="str">
        <f t="shared" si="11"/>
        <v>成新率</v>
      </c>
      <c r="R29" s="705" t="s">
        <v>14</v>
      </c>
      <c r="S29" s="706" t="e">
        <f t="shared" si="12"/>
        <v>#N/A</v>
      </c>
      <c r="T29" s="705" t="s">
        <v>14</v>
      </c>
      <c r="U29" s="706" t="e">
        <f t="shared" si="13"/>
        <v>#N/A</v>
      </c>
      <c r="V29" s="705" t="s">
        <v>14</v>
      </c>
      <c r="W29" s="706" t="e">
        <f t="shared" si="14"/>
        <v>#N/A</v>
      </c>
      <c r="X29" s="1355"/>
      <c r="Y29" s="366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65"/>
      <c r="Q30" s="1352" t="str">
        <f t="shared" si="11"/>
        <v>物业等级</v>
      </c>
      <c r="R30" s="705" t="s">
        <v>14</v>
      </c>
      <c r="S30" s="706">
        <f t="shared" si="12"/>
        <v>100</v>
      </c>
      <c r="T30" s="705" t="s">
        <v>14</v>
      </c>
      <c r="U30" s="706">
        <f t="shared" si="13"/>
        <v>100</v>
      </c>
      <c r="V30" s="705" t="s">
        <v>14</v>
      </c>
      <c r="W30" s="706">
        <f t="shared" si="14"/>
        <v>100</v>
      </c>
      <c r="X30" s="1355"/>
      <c r="Y30" s="366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65"/>
      <c r="Q31" s="1343" t="str">
        <f t="shared" si="11"/>
        <v>停车位面积</v>
      </c>
      <c r="R31" s="701" t="s">
        <v>14</v>
      </c>
      <c r="S31" s="702" t="e">
        <f t="shared" si="12"/>
        <v>#N/A</v>
      </c>
      <c r="T31" s="701" t="s">
        <v>14</v>
      </c>
      <c r="U31" s="702" t="e">
        <f t="shared" si="13"/>
        <v>#N/A</v>
      </c>
      <c r="V31" s="701" t="s">
        <v>14</v>
      </c>
      <c r="W31" s="702" t="e">
        <f t="shared" si="14"/>
        <v>#N/A</v>
      </c>
      <c r="X31" s="703"/>
      <c r="Y31" s="366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65" t="s">
        <v>1696</v>
      </c>
      <c r="Q32" s="1352" t="str">
        <f t="shared" si="11"/>
        <v>车位类型</v>
      </c>
      <c r="R32" s="705" t="s">
        <v>14</v>
      </c>
      <c r="S32" s="706">
        <f t="shared" si="12"/>
        <v>100</v>
      </c>
      <c r="T32" s="705" t="s">
        <v>14</v>
      </c>
      <c r="U32" s="706">
        <f t="shared" si="13"/>
        <v>100</v>
      </c>
      <c r="V32" s="705" t="s">
        <v>14</v>
      </c>
      <c r="W32" s="706">
        <f t="shared" si="14"/>
        <v>100</v>
      </c>
      <c r="X32" s="1355"/>
      <c r="Y32" s="366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65"/>
      <c r="Q33" s="1352" t="str">
        <f t="shared" si="11"/>
        <v>是否直接入户</v>
      </c>
      <c r="R33" s="705" t="s">
        <v>14</v>
      </c>
      <c r="S33" s="706">
        <f t="shared" si="12"/>
        <v>100</v>
      </c>
      <c r="T33" s="705" t="s">
        <v>14</v>
      </c>
      <c r="U33" s="706">
        <f t="shared" si="13"/>
        <v>100</v>
      </c>
      <c r="V33" s="705" t="s">
        <v>14</v>
      </c>
      <c r="W33" s="706">
        <f t="shared" si="14"/>
        <v>100</v>
      </c>
      <c r="X33" s="1355"/>
      <c r="Y33" s="366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65"/>
      <c r="Q34" s="1352">
        <f t="shared" si="11"/>
        <v>111</v>
      </c>
      <c r="R34" s="705" t="s">
        <v>14</v>
      </c>
      <c r="S34" s="706">
        <f t="shared" si="12"/>
        <v>100</v>
      </c>
      <c r="T34" s="705" t="s">
        <v>14</v>
      </c>
      <c r="U34" s="706">
        <f t="shared" si="13"/>
        <v>100</v>
      </c>
      <c r="V34" s="705" t="s">
        <v>14</v>
      </c>
      <c r="W34" s="706">
        <f t="shared" si="14"/>
        <v>100</v>
      </c>
      <c r="X34" s="1355"/>
      <c r="Y34" s="366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65"/>
      <c r="Q35" s="707">
        <f t="shared" si="11"/>
        <v>111</v>
      </c>
      <c r="R35" s="708" t="s">
        <v>14</v>
      </c>
      <c r="S35" s="709">
        <f t="shared" si="12"/>
        <v>100</v>
      </c>
      <c r="T35" s="708" t="s">
        <v>14</v>
      </c>
      <c r="U35" s="709">
        <f t="shared" si="13"/>
        <v>100</v>
      </c>
      <c r="V35" s="708" t="s">
        <v>14</v>
      </c>
      <c r="W35" s="709">
        <f t="shared" si="14"/>
        <v>100</v>
      </c>
      <c r="X35" s="710"/>
      <c r="Y35" s="366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65"/>
      <c r="Q36" s="1352">
        <f t="shared" si="11"/>
        <v>111</v>
      </c>
      <c r="R36" s="705" t="s">
        <v>14</v>
      </c>
      <c r="S36" s="706">
        <f t="shared" si="12"/>
        <v>100</v>
      </c>
      <c r="T36" s="705" t="s">
        <v>14</v>
      </c>
      <c r="U36" s="706">
        <f t="shared" si="13"/>
        <v>100</v>
      </c>
      <c r="V36" s="705" t="s">
        <v>14</v>
      </c>
      <c r="W36" s="706">
        <f t="shared" si="14"/>
        <v>100</v>
      </c>
      <c r="X36" s="1355"/>
      <c r="Y36" s="3665"/>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4"/>
      <c r="M37" s="2725"/>
      <c r="N37" s="2716"/>
      <c r="O37" s="2725"/>
      <c r="P37" s="3658" t="str">
        <f>A37</f>
        <v>成交单价</v>
      </c>
      <c r="Q37" s="3658"/>
      <c r="R37" s="3659">
        <f>E37</f>
        <v>0</v>
      </c>
      <c r="S37" s="3659"/>
      <c r="T37" s="3659">
        <f>G37</f>
        <v>0</v>
      </c>
      <c r="U37" s="3659"/>
      <c r="V37" s="3659">
        <f>I37</f>
        <v>0</v>
      </c>
      <c r="W37" s="3659"/>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58" t="str">
        <f>A38</f>
        <v>比较价值（元/平方米）</v>
      </c>
      <c r="Q38" s="3658"/>
      <c r="R38" s="3659" t="e">
        <f>IF(F1="售价",ROUND(PRODUCT(R37,AA7:AA36),0),ROUND(PRODUCT(R37,AA7:AA36),1))</f>
        <v>#DIV/0!</v>
      </c>
      <c r="S38" s="3659"/>
      <c r="T38" s="3659" t="e">
        <f>IF(F1="售价",ROUND(PRODUCT(T37,AB7:AB36),0),ROUND(PRODUCT(T37,AB7:AB36),1))</f>
        <v>#DIV/0!</v>
      </c>
      <c r="U38" s="3659"/>
      <c r="V38" s="3659" t="e">
        <f>IF(F1="售价",ROUND(PRODUCT(V37,AC7:AC36),0),ROUND(PRODUCT(V37,AC7:AC36),1))</f>
        <v>#DIV/0!</v>
      </c>
      <c r="W38" s="365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55" t="str">
        <f>A39</f>
        <v>估价对象XX用房的比较价值（楼面单价，元/平方米）</v>
      </c>
      <c r="Q39" s="3656"/>
      <c r="R39" s="3743" t="e">
        <f>IF(F1="售价",ROUND(IF(D38="简单平均",AVERAGE(R38:W38),R38*F38+T38*H38+V38*J38),0),ROUND(IF(D38="简单平均",AVERAGE(R38:V38),R38*F38+T38*H38+V38*J38),1))</f>
        <v>#DIV/0!</v>
      </c>
      <c r="S39" s="3743"/>
      <c r="T39" s="3743"/>
      <c r="U39" s="3743"/>
      <c r="V39" s="3743"/>
      <c r="W39" s="374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83" t="s">
        <v>1771</v>
      </c>
      <c r="S4" s="3684"/>
      <c r="T4" s="3683" t="s">
        <v>1772</v>
      </c>
      <c r="U4" s="3684"/>
      <c r="V4" s="3689" t="s">
        <v>1773</v>
      </c>
      <c r="W4" s="3689"/>
      <c r="X4" s="1355"/>
      <c r="Y4" s="3683" t="s">
        <v>1775</v>
      </c>
      <c r="Z4" s="3684"/>
      <c r="AA4" s="3670" t="s">
        <v>1771</v>
      </c>
      <c r="AB4" s="3671" t="s">
        <v>1772</v>
      </c>
      <c r="AC4" s="3670" t="s">
        <v>1773</v>
      </c>
    </row>
    <row r="5" spans="1:29" ht="15">
      <c r="A5" s="358"/>
      <c r="B5" s="359"/>
      <c r="C5" s="3692" t="s">
        <v>1673</v>
      </c>
      <c r="D5" s="3693"/>
      <c r="E5" s="3699" t="s">
        <v>1674</v>
      </c>
      <c r="F5" s="3700"/>
      <c r="G5" s="3692" t="s">
        <v>1675</v>
      </c>
      <c r="H5" s="3693"/>
      <c r="I5" s="3692" t="s">
        <v>1676</v>
      </c>
      <c r="J5" s="3693"/>
      <c r="K5" s="559"/>
      <c r="L5" s="2715"/>
      <c r="M5" s="2716"/>
      <c r="N5" s="2716"/>
      <c r="O5" s="2716"/>
      <c r="P5" s="3679"/>
      <c r="Q5" s="3680"/>
      <c r="R5" s="3685"/>
      <c r="S5" s="3686"/>
      <c r="T5" s="3685"/>
      <c r="U5" s="3686"/>
      <c r="V5" s="3689"/>
      <c r="W5" s="3689"/>
      <c r="X5" s="1355"/>
      <c r="Y5" s="3685"/>
      <c r="Z5" s="3686"/>
      <c r="AA5" s="3671"/>
      <c r="AB5" s="3671"/>
      <c r="AC5" s="3671"/>
    </row>
    <row r="6" spans="1:29" ht="15.75" thickBot="1">
      <c r="A6" s="360"/>
      <c r="B6" s="361"/>
      <c r="C6" s="3690" t="s">
        <v>1677</v>
      </c>
      <c r="D6" s="3691"/>
      <c r="E6" s="3697" t="s">
        <v>1677</v>
      </c>
      <c r="F6" s="3698"/>
      <c r="G6" s="3690" t="s">
        <v>1677</v>
      </c>
      <c r="H6" s="3691"/>
      <c r="I6" s="3690" t="s">
        <v>1677</v>
      </c>
      <c r="J6" s="3691"/>
      <c r="K6" s="559" t="s">
        <v>1678</v>
      </c>
      <c r="L6" s="2715"/>
      <c r="M6" s="2716"/>
      <c r="N6" s="2716"/>
      <c r="O6" s="2716"/>
      <c r="P6" s="3681"/>
      <c r="Q6" s="3682"/>
      <c r="R6" s="3685"/>
      <c r="S6" s="3686"/>
      <c r="T6" s="3687"/>
      <c r="U6" s="3688"/>
      <c r="V6" s="3689"/>
      <c r="W6" s="3689"/>
      <c r="X6" s="1355"/>
      <c r="Y6" s="3687"/>
      <c r="Z6" s="3688"/>
      <c r="AA6" s="3672"/>
      <c r="AB6" s="3672"/>
      <c r="AC6" s="3672"/>
    </row>
    <row r="7" spans="1:29" s="108" customFormat="1" ht="15.75" thickBot="1">
      <c r="A7" s="362" t="s">
        <v>1679</v>
      </c>
      <c r="B7" s="363"/>
      <c r="C7" s="364">
        <f>'数据-取费表'!B2</f>
        <v>45257</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94" t="s">
        <v>1680</v>
      </c>
      <c r="Q7" s="3696"/>
      <c r="R7" s="701" t="s">
        <v>14</v>
      </c>
      <c r="S7" s="702">
        <f t="shared" ref="S7:S14" si="0">F7</f>
        <v>0</v>
      </c>
      <c r="T7" s="701" t="s">
        <v>14</v>
      </c>
      <c r="U7" s="702">
        <f t="shared" ref="U7:U14" si="1">H7</f>
        <v>0</v>
      </c>
      <c r="V7" s="701" t="s">
        <v>14</v>
      </c>
      <c r="W7" s="702">
        <f t="shared" ref="W7:W14" si="2">J7</f>
        <v>0</v>
      </c>
      <c r="X7" s="703"/>
      <c r="Y7" s="3694" t="s">
        <v>1680</v>
      </c>
      <c r="Z7" s="369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94" t="s">
        <v>1683</v>
      </c>
      <c r="Q8" s="3695"/>
      <c r="R8" s="701" t="s">
        <v>14</v>
      </c>
      <c r="S8" s="702">
        <f t="shared" si="0"/>
        <v>100</v>
      </c>
      <c r="T8" s="701" t="s">
        <v>14</v>
      </c>
      <c r="U8" s="702">
        <f t="shared" si="1"/>
        <v>100</v>
      </c>
      <c r="V8" s="701" t="s">
        <v>14</v>
      </c>
      <c r="W8" s="702">
        <f t="shared" si="2"/>
        <v>100</v>
      </c>
      <c r="X8" s="703"/>
      <c r="Y8" s="3694" t="s">
        <v>1683</v>
      </c>
      <c r="Z8" s="369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58" t="s">
        <v>1686</v>
      </c>
      <c r="Q9" s="1343" t="str">
        <f t="shared" ref="Q9:Q14" si="6">B9</f>
        <v>用途</v>
      </c>
      <c r="R9" s="701" t="s">
        <v>14</v>
      </c>
      <c r="S9" s="702">
        <f t="shared" si="0"/>
        <v>100</v>
      </c>
      <c r="T9" s="701" t="s">
        <v>14</v>
      </c>
      <c r="U9" s="702">
        <f t="shared" si="1"/>
        <v>100</v>
      </c>
      <c r="V9" s="701" t="s">
        <v>14</v>
      </c>
      <c r="W9" s="702">
        <f t="shared" si="2"/>
        <v>100</v>
      </c>
      <c r="X9" s="703"/>
      <c r="Y9" s="355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58"/>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58"/>
      <c r="Q11" s="1343">
        <f t="shared" si="6"/>
        <v>111</v>
      </c>
      <c r="R11" s="701" t="s">
        <v>14</v>
      </c>
      <c r="S11" s="702">
        <f t="shared" si="0"/>
        <v>100</v>
      </c>
      <c r="T11" s="701" t="s">
        <v>14</v>
      </c>
      <c r="U11" s="702">
        <f t="shared" si="1"/>
        <v>100</v>
      </c>
      <c r="V11" s="701" t="s">
        <v>14</v>
      </c>
      <c r="W11" s="702">
        <f t="shared" si="2"/>
        <v>100</v>
      </c>
      <c r="X11" s="703"/>
      <c r="Y11" s="355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58"/>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58"/>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0" t="s">
        <v>1691</v>
      </c>
      <c r="Q14" s="1352" t="str">
        <f t="shared" si="6"/>
        <v>交通便捷度</v>
      </c>
      <c r="R14" s="705" t="s">
        <v>14</v>
      </c>
      <c r="S14" s="706">
        <f t="shared" si="0"/>
        <v>100</v>
      </c>
      <c r="T14" s="705" t="s">
        <v>14</v>
      </c>
      <c r="U14" s="706">
        <f t="shared" si="1"/>
        <v>100</v>
      </c>
      <c r="V14" s="705" t="s">
        <v>14</v>
      </c>
      <c r="W14" s="706">
        <f t="shared" si="2"/>
        <v>100</v>
      </c>
      <c r="X14" s="1355"/>
      <c r="Y14" s="366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1"/>
      <c r="Q15" s="1352"/>
      <c r="R15" s="705"/>
      <c r="S15" s="706"/>
      <c r="T15" s="705"/>
      <c r="U15" s="706"/>
      <c r="V15" s="705"/>
      <c r="W15" s="706"/>
      <c r="X15" s="1355"/>
      <c r="Y15" s="366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1"/>
      <c r="Q16" s="1352" t="str">
        <f>B16</f>
        <v>公共配套设施</v>
      </c>
      <c r="R16" s="705" t="s">
        <v>14</v>
      </c>
      <c r="S16" s="706">
        <f>F16</f>
        <v>100</v>
      </c>
      <c r="T16" s="705" t="s">
        <v>14</v>
      </c>
      <c r="U16" s="706">
        <f>H16</f>
        <v>100</v>
      </c>
      <c r="V16" s="705" t="s">
        <v>14</v>
      </c>
      <c r="W16" s="706">
        <f>J16</f>
        <v>100</v>
      </c>
      <c r="X16" s="1355"/>
      <c r="Y16" s="366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1"/>
      <c r="Q17" s="1352"/>
      <c r="R17" s="705"/>
      <c r="S17" s="706"/>
      <c r="T17" s="705"/>
      <c r="U17" s="706"/>
      <c r="V17" s="705"/>
      <c r="W17" s="706"/>
      <c r="X17" s="1355"/>
      <c r="Y17" s="366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1"/>
      <c r="Q18" s="1352" t="str">
        <f>B18</f>
        <v>基础设施水平</v>
      </c>
      <c r="R18" s="705" t="s">
        <v>14</v>
      </c>
      <c r="S18" s="706">
        <f>F18</f>
        <v>100</v>
      </c>
      <c r="T18" s="705" t="s">
        <v>14</v>
      </c>
      <c r="U18" s="706">
        <f>H18</f>
        <v>100</v>
      </c>
      <c r="V18" s="705" t="s">
        <v>14</v>
      </c>
      <c r="W18" s="706">
        <f>J18</f>
        <v>100</v>
      </c>
      <c r="X18" s="1355"/>
      <c r="Y18" s="366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1"/>
      <c r="Q19" s="1352"/>
      <c r="R19" s="705"/>
      <c r="S19" s="706"/>
      <c r="T19" s="705"/>
      <c r="U19" s="706"/>
      <c r="V19" s="705"/>
      <c r="W19" s="706"/>
      <c r="X19" s="1355"/>
      <c r="Y19" s="366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1"/>
      <c r="Q20" s="1352" t="str">
        <f>B20</f>
        <v>自然及人文环境</v>
      </c>
      <c r="R20" s="705" t="s">
        <v>14</v>
      </c>
      <c r="S20" s="706">
        <f>F20</f>
        <v>100</v>
      </c>
      <c r="T20" s="705" t="s">
        <v>14</v>
      </c>
      <c r="U20" s="706">
        <f>H20</f>
        <v>100</v>
      </c>
      <c r="V20" s="705" t="s">
        <v>14</v>
      </c>
      <c r="W20" s="706">
        <f>J20</f>
        <v>100</v>
      </c>
      <c r="X20" s="1355"/>
      <c r="Y20" s="366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1"/>
      <c r="Q21" s="1352"/>
      <c r="R21" s="705"/>
      <c r="S21" s="706"/>
      <c r="T21" s="705"/>
      <c r="U21" s="706"/>
      <c r="V21" s="705"/>
      <c r="W21" s="706"/>
      <c r="X21" s="1355"/>
      <c r="Y21" s="366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1"/>
      <c r="Q22" s="1352" t="str">
        <f>B22</f>
        <v>楼层</v>
      </c>
      <c r="R22" s="705" t="s">
        <v>14</v>
      </c>
      <c r="S22" s="706">
        <f>F22</f>
        <v>100</v>
      </c>
      <c r="T22" s="705" t="s">
        <v>14</v>
      </c>
      <c r="U22" s="706">
        <f>H22</f>
        <v>100</v>
      </c>
      <c r="V22" s="705" t="s">
        <v>14</v>
      </c>
      <c r="W22" s="706">
        <f>J22</f>
        <v>100</v>
      </c>
      <c r="X22" s="1355"/>
      <c r="Y22" s="366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1"/>
      <c r="Q23" s="1352">
        <f>B23</f>
        <v>111</v>
      </c>
      <c r="R23" s="705" t="s">
        <v>14</v>
      </c>
      <c r="S23" s="706">
        <f>F23</f>
        <v>100</v>
      </c>
      <c r="T23" s="705" t="s">
        <v>14</v>
      </c>
      <c r="U23" s="706">
        <f>H23</f>
        <v>100</v>
      </c>
      <c r="V23" s="705" t="s">
        <v>14</v>
      </c>
      <c r="W23" s="706">
        <f>J23</f>
        <v>100</v>
      </c>
      <c r="X23" s="1355"/>
      <c r="Y23" s="366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1"/>
      <c r="Q24" s="1352">
        <f t="shared" ref="Q24:Q34" si="11">B24</f>
        <v>111</v>
      </c>
      <c r="R24" s="705" t="s">
        <v>14</v>
      </c>
      <c r="S24" s="706">
        <f>F24</f>
        <v>100</v>
      </c>
      <c r="T24" s="705" t="s">
        <v>14</v>
      </c>
      <c r="U24" s="706">
        <f>H24</f>
        <v>100</v>
      </c>
      <c r="V24" s="705" t="s">
        <v>14</v>
      </c>
      <c r="W24" s="706">
        <f>J24</f>
        <v>100</v>
      </c>
      <c r="X24" s="1355"/>
      <c r="Y24" s="366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1"/>
      <c r="Q25" s="1343">
        <f t="shared" si="11"/>
        <v>111</v>
      </c>
      <c r="R25" s="701" t="s">
        <v>14</v>
      </c>
      <c r="S25" s="702">
        <f>F25</f>
        <v>100</v>
      </c>
      <c r="T25" s="701" t="s">
        <v>14</v>
      </c>
      <c r="U25" s="702">
        <f>H25</f>
        <v>100</v>
      </c>
      <c r="V25" s="701" t="s">
        <v>14</v>
      </c>
      <c r="W25" s="702">
        <f>J25</f>
        <v>100</v>
      </c>
      <c r="X25" s="703"/>
      <c r="Y25" s="366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6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65"/>
      <c r="Q27" s="707" t="str">
        <f t="shared" si="11"/>
        <v>成新率</v>
      </c>
      <c r="R27" s="708" t="s">
        <v>14</v>
      </c>
      <c r="S27" s="709" t="e">
        <f t="shared" si="12"/>
        <v>#N/A</v>
      </c>
      <c r="T27" s="708" t="s">
        <v>14</v>
      </c>
      <c r="U27" s="709" t="e">
        <f t="shared" si="13"/>
        <v>#N/A</v>
      </c>
      <c r="V27" s="708" t="s">
        <v>14</v>
      </c>
      <c r="W27" s="709" t="e">
        <f t="shared" si="14"/>
        <v>#N/A</v>
      </c>
      <c r="X27" s="710"/>
      <c r="Y27" s="366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65"/>
      <c r="Q28" s="1352" t="str">
        <f t="shared" si="11"/>
        <v>物业等级</v>
      </c>
      <c r="R28" s="705" t="s">
        <v>14</v>
      </c>
      <c r="S28" s="706">
        <f t="shared" si="12"/>
        <v>100</v>
      </c>
      <c r="T28" s="705" t="s">
        <v>14</v>
      </c>
      <c r="U28" s="706">
        <f t="shared" si="13"/>
        <v>100</v>
      </c>
      <c r="V28" s="705" t="s">
        <v>14</v>
      </c>
      <c r="W28" s="706">
        <f t="shared" si="14"/>
        <v>100</v>
      </c>
      <c r="X28" s="1355"/>
      <c r="Y28" s="366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65"/>
      <c r="Q29" s="1352" t="str">
        <f t="shared" si="11"/>
        <v>有无电梯</v>
      </c>
      <c r="R29" s="705" t="s">
        <v>14</v>
      </c>
      <c r="S29" s="706">
        <f t="shared" si="12"/>
        <v>100</v>
      </c>
      <c r="T29" s="705" t="s">
        <v>14</v>
      </c>
      <c r="U29" s="706">
        <f t="shared" si="13"/>
        <v>100</v>
      </c>
      <c r="V29" s="705" t="s">
        <v>14</v>
      </c>
      <c r="W29" s="706">
        <f t="shared" si="14"/>
        <v>100</v>
      </c>
      <c r="X29" s="1355"/>
      <c r="Y29" s="366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65"/>
      <c r="Q30" s="1352" t="str">
        <f t="shared" si="11"/>
        <v>建筑面积</v>
      </c>
      <c r="R30" s="705" t="s">
        <v>14</v>
      </c>
      <c r="S30" s="706" t="e">
        <f t="shared" si="12"/>
        <v>#N/A</v>
      </c>
      <c r="T30" s="705" t="s">
        <v>14</v>
      </c>
      <c r="U30" s="706" t="e">
        <f t="shared" si="13"/>
        <v>#N/A</v>
      </c>
      <c r="V30" s="705" t="s">
        <v>14</v>
      </c>
      <c r="W30" s="706" t="e">
        <f t="shared" si="14"/>
        <v>#N/A</v>
      </c>
      <c r="X30" s="1355"/>
      <c r="Y30" s="366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65"/>
      <c r="Q31" s="1343" t="str">
        <f t="shared" si="11"/>
        <v>是否封闭</v>
      </c>
      <c r="R31" s="701" t="s">
        <v>14</v>
      </c>
      <c r="S31" s="702">
        <f t="shared" si="12"/>
        <v>100</v>
      </c>
      <c r="T31" s="701" t="s">
        <v>14</v>
      </c>
      <c r="U31" s="702">
        <f t="shared" si="13"/>
        <v>100</v>
      </c>
      <c r="V31" s="701" t="s">
        <v>14</v>
      </c>
      <c r="W31" s="702">
        <f t="shared" si="14"/>
        <v>100</v>
      </c>
      <c r="X31" s="703"/>
      <c r="Y31" s="366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65" t="s">
        <v>1696</v>
      </c>
      <c r="Q32" s="1352">
        <f t="shared" si="11"/>
        <v>111</v>
      </c>
      <c r="R32" s="705" t="s">
        <v>14</v>
      </c>
      <c r="S32" s="706">
        <f t="shared" si="12"/>
        <v>100</v>
      </c>
      <c r="T32" s="705" t="s">
        <v>14</v>
      </c>
      <c r="U32" s="706">
        <f t="shared" si="13"/>
        <v>100</v>
      </c>
      <c r="V32" s="705" t="s">
        <v>14</v>
      </c>
      <c r="W32" s="706">
        <f t="shared" si="14"/>
        <v>100</v>
      </c>
      <c r="X32" s="1355"/>
      <c r="Y32" s="366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65"/>
      <c r="Q33" s="1352">
        <f t="shared" si="11"/>
        <v>111</v>
      </c>
      <c r="R33" s="705" t="s">
        <v>14</v>
      </c>
      <c r="S33" s="706">
        <f t="shared" si="12"/>
        <v>100</v>
      </c>
      <c r="T33" s="705" t="s">
        <v>14</v>
      </c>
      <c r="U33" s="706">
        <f t="shared" si="13"/>
        <v>100</v>
      </c>
      <c r="V33" s="705" t="s">
        <v>14</v>
      </c>
      <c r="W33" s="706">
        <f t="shared" si="14"/>
        <v>100</v>
      </c>
      <c r="X33" s="1355"/>
      <c r="Y33" s="366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65"/>
      <c r="Q34" s="1352">
        <f t="shared" si="11"/>
        <v>111</v>
      </c>
      <c r="R34" s="705" t="s">
        <v>14</v>
      </c>
      <c r="S34" s="706">
        <f t="shared" si="12"/>
        <v>100</v>
      </c>
      <c r="T34" s="705" t="s">
        <v>14</v>
      </c>
      <c r="U34" s="706">
        <f t="shared" si="13"/>
        <v>100</v>
      </c>
      <c r="V34" s="705" t="s">
        <v>14</v>
      </c>
      <c r="W34" s="706">
        <f t="shared" si="14"/>
        <v>100</v>
      </c>
      <c r="X34" s="1355"/>
      <c r="Y34" s="366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58" t="str">
        <f>A35</f>
        <v>成交单价（元/平方米）</v>
      </c>
      <c r="Q35" s="3658"/>
      <c r="R35" s="3659">
        <f>E35</f>
        <v>0</v>
      </c>
      <c r="S35" s="3659"/>
      <c r="T35" s="3659">
        <f>G35</f>
        <v>0</v>
      </c>
      <c r="U35" s="3659"/>
      <c r="V35" s="3659">
        <f>I35</f>
        <v>0</v>
      </c>
      <c r="W35" s="3659"/>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58" t="str">
        <f>A36</f>
        <v>比较价值（元/平方米）</v>
      </c>
      <c r="Q36" s="3658"/>
      <c r="R36" s="3659" t="e">
        <f>IF(F1="售价",ROUND(PRODUCT(R35,AA7:AA34),0),ROUND(PRODUCT(R35,AA7:AA34),1))</f>
        <v>#DIV/0!</v>
      </c>
      <c r="S36" s="3659"/>
      <c r="T36" s="3659" t="e">
        <f>IF(F1="售价",ROUND(PRODUCT(T35,AB7:AB34),0),ROUND(PRODUCT(T35,AB7:AB34),1))</f>
        <v>#DIV/0!</v>
      </c>
      <c r="U36" s="3659"/>
      <c r="V36" s="3659" t="e">
        <f>IF(F1="售价",ROUND(PRODUCT(V35,AC7:AC34),0),ROUND(PRODUCT(V35,AC7:AC34),1))</f>
        <v>#DIV/0!</v>
      </c>
      <c r="W36" s="365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55" t="str">
        <f>A37</f>
        <v>估价对象XX用房的比较价值（楼面单价，元/平方米）</v>
      </c>
      <c r="Q37" s="3656"/>
      <c r="R37" s="3743" t="e">
        <f>IF(F1="售价",ROUND(IF(D36="简单平均",AVERAGE(R36:W36),R36*F36+T36*H36+V36*J36),0),ROUND(IF(D36="简单平均",AVERAGE(R36:V36),R36*F36+T36*H36+V36*J36),1))</f>
        <v>#DIV/0!</v>
      </c>
      <c r="S37" s="3743"/>
      <c r="T37" s="3743"/>
      <c r="U37" s="3743"/>
      <c r="V37" s="3743"/>
      <c r="W37" s="374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83" t="s">
        <v>1771</v>
      </c>
      <c r="S4" s="3684"/>
      <c r="T4" s="3683" t="s">
        <v>1772</v>
      </c>
      <c r="U4" s="3684"/>
      <c r="V4" s="3689" t="s">
        <v>1773</v>
      </c>
      <c r="W4" s="3689"/>
      <c r="X4" s="1355"/>
      <c r="Y4" s="3683" t="s">
        <v>1775</v>
      </c>
      <c r="Z4" s="3684"/>
      <c r="AA4" s="3670" t="s">
        <v>1771</v>
      </c>
      <c r="AB4" s="3671" t="s">
        <v>1772</v>
      </c>
      <c r="AC4" s="3670" t="s">
        <v>1773</v>
      </c>
    </row>
    <row r="5" spans="1:30" ht="15">
      <c r="A5" s="358"/>
      <c r="B5" s="359"/>
      <c r="C5" s="3692" t="s">
        <v>1673</v>
      </c>
      <c r="D5" s="3693"/>
      <c r="E5" s="3699" t="s">
        <v>1674</v>
      </c>
      <c r="F5" s="3700"/>
      <c r="G5" s="3692" t="s">
        <v>1675</v>
      </c>
      <c r="H5" s="3693"/>
      <c r="I5" s="3692" t="s">
        <v>1676</v>
      </c>
      <c r="J5" s="3693"/>
      <c r="K5" s="559"/>
      <c r="L5" s="2715"/>
      <c r="M5" s="2716"/>
      <c r="N5" s="2716"/>
      <c r="O5" s="2716"/>
      <c r="P5" s="3679"/>
      <c r="Q5" s="3680"/>
      <c r="R5" s="3685"/>
      <c r="S5" s="3686"/>
      <c r="T5" s="3685"/>
      <c r="U5" s="3686"/>
      <c r="V5" s="3689"/>
      <c r="W5" s="3689"/>
      <c r="X5" s="1355"/>
      <c r="Y5" s="3685"/>
      <c r="Z5" s="3686"/>
      <c r="AA5" s="3671"/>
      <c r="AB5" s="3671"/>
      <c r="AC5" s="3671"/>
    </row>
    <row r="6" spans="1:30" ht="15.75" thickBot="1">
      <c r="A6" s="360"/>
      <c r="B6" s="361"/>
      <c r="C6" s="3690" t="s">
        <v>1677</v>
      </c>
      <c r="D6" s="3691"/>
      <c r="E6" s="3697" t="s">
        <v>1677</v>
      </c>
      <c r="F6" s="3698"/>
      <c r="G6" s="3690" t="s">
        <v>1677</v>
      </c>
      <c r="H6" s="3691"/>
      <c r="I6" s="3690" t="s">
        <v>1677</v>
      </c>
      <c r="J6" s="3691"/>
      <c r="K6" s="559" t="s">
        <v>1678</v>
      </c>
      <c r="L6" s="2715"/>
      <c r="M6" s="2716"/>
      <c r="N6" s="2716"/>
      <c r="O6" s="2716"/>
      <c r="P6" s="3681"/>
      <c r="Q6" s="3682"/>
      <c r="R6" s="3685"/>
      <c r="S6" s="3686"/>
      <c r="T6" s="3687"/>
      <c r="U6" s="3688"/>
      <c r="V6" s="3689"/>
      <c r="W6" s="3689"/>
      <c r="X6" s="1355"/>
      <c r="Y6" s="3687"/>
      <c r="Z6" s="3688"/>
      <c r="AA6" s="3672"/>
      <c r="AB6" s="3672"/>
      <c r="AC6" s="3672"/>
    </row>
    <row r="7" spans="1:30" s="108" customFormat="1" ht="15.75" thickBot="1">
      <c r="A7" s="362" t="s">
        <v>1679</v>
      </c>
      <c r="B7" s="363"/>
      <c r="C7" s="364">
        <f>'数据-取费表'!B2</f>
        <v>45257</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94" t="s">
        <v>1680</v>
      </c>
      <c r="Q7" s="3696"/>
      <c r="R7" s="701" t="s">
        <v>14</v>
      </c>
      <c r="S7" s="702">
        <f t="shared" ref="S7:S15" si="0">F7</f>
        <v>0</v>
      </c>
      <c r="T7" s="701" t="s">
        <v>14</v>
      </c>
      <c r="U7" s="702">
        <f t="shared" ref="U7:U15" si="1">H7</f>
        <v>0</v>
      </c>
      <c r="V7" s="701" t="s">
        <v>14</v>
      </c>
      <c r="W7" s="702">
        <f t="shared" ref="W7:W15" si="2">J7</f>
        <v>0</v>
      </c>
      <c r="X7" s="703"/>
      <c r="Y7" s="3694" t="s">
        <v>1680</v>
      </c>
      <c r="Z7" s="369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94" t="s">
        <v>1683</v>
      </c>
      <c r="Q8" s="3695"/>
      <c r="R8" s="701" t="s">
        <v>14</v>
      </c>
      <c r="S8" s="702">
        <f t="shared" si="0"/>
        <v>0</v>
      </c>
      <c r="T8" s="701" t="s">
        <v>14</v>
      </c>
      <c r="U8" s="702">
        <f t="shared" si="1"/>
        <v>0</v>
      </c>
      <c r="V8" s="701" t="s">
        <v>14</v>
      </c>
      <c r="W8" s="702">
        <f t="shared" si="2"/>
        <v>0</v>
      </c>
      <c r="X8" s="703"/>
      <c r="Y8" s="3694" t="s">
        <v>1683</v>
      </c>
      <c r="Z8" s="369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58"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109</v>
      </c>
      <c r="G10" s="414"/>
      <c r="H10" s="127">
        <f>ROUND(100/'数据-取费表'!G16,0)</f>
        <v>109</v>
      </c>
      <c r="I10" s="414"/>
      <c r="J10" s="127">
        <f>ROUND(100/'数据-取费表'!G16,0)</f>
        <v>109</v>
      </c>
      <c r="K10" s="620"/>
      <c r="L10" s="2719"/>
      <c r="M10" s="2720"/>
      <c r="N10" s="2720"/>
      <c r="O10" s="2773"/>
      <c r="P10" s="3658"/>
      <c r="Q10" s="1343" t="str">
        <f t="shared" si="6"/>
        <v>土地使用年限（年）</v>
      </c>
      <c r="R10" s="701" t="s">
        <v>14</v>
      </c>
      <c r="S10" s="702">
        <f t="shared" si="0"/>
        <v>109</v>
      </c>
      <c r="T10" s="701" t="s">
        <v>14</v>
      </c>
      <c r="U10" s="702">
        <f t="shared" si="1"/>
        <v>109</v>
      </c>
      <c r="V10" s="701" t="s">
        <v>14</v>
      </c>
      <c r="W10" s="702">
        <f t="shared" si="2"/>
        <v>109</v>
      </c>
      <c r="X10" s="703"/>
      <c r="Y10" s="3559"/>
      <c r="Z10" s="52" t="str">
        <f t="shared" si="7"/>
        <v>土地使用年限（年）</v>
      </c>
      <c r="AA10" s="704">
        <f t="shared" si="3"/>
        <v>0.91743119266055051</v>
      </c>
      <c r="AB10" s="704">
        <f t="shared" si="4"/>
        <v>0.91743119266055051</v>
      </c>
      <c r="AC10" s="704">
        <f t="shared" si="5"/>
        <v>0.91743119266055051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58"/>
      <c r="Q11" s="1343" t="str">
        <f t="shared" si="6"/>
        <v>容积率</v>
      </c>
      <c r="R11" s="701" t="s">
        <v>14</v>
      </c>
      <c r="S11" s="702" t="e">
        <f t="shared" si="0"/>
        <v>#N/A</v>
      </c>
      <c r="T11" s="701" t="s">
        <v>14</v>
      </c>
      <c r="U11" s="702" t="e">
        <f t="shared" si="1"/>
        <v>#N/A</v>
      </c>
      <c r="V11" s="701" t="s">
        <v>14</v>
      </c>
      <c r="W11" s="702" t="e">
        <f t="shared" si="2"/>
        <v>#N/A</v>
      </c>
      <c r="X11" s="703"/>
      <c r="Y11" s="355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58"/>
      <c r="Q12" s="1343" t="str">
        <f t="shared" si="6"/>
        <v>配建</v>
      </c>
      <c r="R12" s="701" t="s">
        <v>14</v>
      </c>
      <c r="S12" s="702">
        <f t="shared" si="0"/>
        <v>100</v>
      </c>
      <c r="T12" s="701" t="s">
        <v>14</v>
      </c>
      <c r="U12" s="702">
        <f t="shared" si="1"/>
        <v>100</v>
      </c>
      <c r="V12" s="701" t="s">
        <v>14</v>
      </c>
      <c r="W12" s="702">
        <f t="shared" si="2"/>
        <v>100</v>
      </c>
      <c r="X12" s="703"/>
      <c r="Y12" s="355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58"/>
      <c r="Q13" s="1343">
        <f t="shared" si="6"/>
        <v>111</v>
      </c>
      <c r="R13" s="701" t="s">
        <v>14</v>
      </c>
      <c r="S13" s="702">
        <f t="shared" si="0"/>
        <v>100</v>
      </c>
      <c r="T13" s="701" t="s">
        <v>14</v>
      </c>
      <c r="U13" s="702">
        <f t="shared" si="1"/>
        <v>100</v>
      </c>
      <c r="V13" s="701" t="s">
        <v>14</v>
      </c>
      <c r="W13" s="702">
        <f t="shared" si="2"/>
        <v>100</v>
      </c>
      <c r="X13" s="703"/>
      <c r="Y13" s="355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58"/>
      <c r="Q14" s="1343">
        <f t="shared" si="6"/>
        <v>111</v>
      </c>
      <c r="R14" s="701" t="s">
        <v>14</v>
      </c>
      <c r="S14" s="702">
        <f t="shared" si="0"/>
        <v>100</v>
      </c>
      <c r="T14" s="701" t="s">
        <v>14</v>
      </c>
      <c r="U14" s="702">
        <f t="shared" si="1"/>
        <v>100</v>
      </c>
      <c r="V14" s="701" t="s">
        <v>14</v>
      </c>
      <c r="W14" s="702">
        <f t="shared" si="2"/>
        <v>100</v>
      </c>
      <c r="X14" s="703"/>
      <c r="Y14" s="355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0" t="s">
        <v>1691</v>
      </c>
      <c r="Q15" s="1352" t="str">
        <f t="shared" si="6"/>
        <v>居住社区成熟度</v>
      </c>
      <c r="R15" s="705" t="s">
        <v>14</v>
      </c>
      <c r="S15" s="706">
        <f t="shared" si="0"/>
        <v>100</v>
      </c>
      <c r="T15" s="705" t="s">
        <v>14</v>
      </c>
      <c r="U15" s="706">
        <f t="shared" si="1"/>
        <v>100</v>
      </c>
      <c r="V15" s="705" t="s">
        <v>14</v>
      </c>
      <c r="W15" s="706">
        <f t="shared" si="2"/>
        <v>100</v>
      </c>
      <c r="X15" s="1355"/>
      <c r="Y15" s="366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1"/>
      <c r="Q16" s="1352"/>
      <c r="R16" s="705"/>
      <c r="S16" s="706"/>
      <c r="T16" s="705"/>
      <c r="U16" s="706"/>
      <c r="V16" s="705"/>
      <c r="W16" s="706"/>
      <c r="X16" s="1355"/>
      <c r="Y16" s="366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1"/>
      <c r="Q17" s="1352" t="str">
        <f>B17</f>
        <v>商业繁华度</v>
      </c>
      <c r="R17" s="705" t="s">
        <v>14</v>
      </c>
      <c r="S17" s="706">
        <f>F17</f>
        <v>100</v>
      </c>
      <c r="T17" s="705" t="s">
        <v>14</v>
      </c>
      <c r="U17" s="706">
        <f>H17</f>
        <v>100</v>
      </c>
      <c r="V17" s="705" t="s">
        <v>14</v>
      </c>
      <c r="W17" s="706">
        <f>J17</f>
        <v>100</v>
      </c>
      <c r="X17" s="1355"/>
      <c r="Y17" s="366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1"/>
      <c r="Q18" s="1352"/>
      <c r="R18" s="705"/>
      <c r="S18" s="706"/>
      <c r="T18" s="705"/>
      <c r="U18" s="706"/>
      <c r="V18" s="705"/>
      <c r="W18" s="706"/>
      <c r="X18" s="1355"/>
      <c r="Y18" s="366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1"/>
      <c r="Q19" s="1352" t="str">
        <f>B19</f>
        <v>办公集聚程度</v>
      </c>
      <c r="R19" s="705" t="s">
        <v>14</v>
      </c>
      <c r="S19" s="706">
        <f>F19</f>
        <v>100</v>
      </c>
      <c r="T19" s="705" t="s">
        <v>14</v>
      </c>
      <c r="U19" s="706">
        <f>H19</f>
        <v>100</v>
      </c>
      <c r="V19" s="705" t="s">
        <v>14</v>
      </c>
      <c r="W19" s="706">
        <f>J19</f>
        <v>100</v>
      </c>
      <c r="X19" s="1355"/>
      <c r="Y19" s="366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1"/>
      <c r="Q20" s="1352"/>
      <c r="R20" s="705"/>
      <c r="S20" s="706"/>
      <c r="T20" s="705"/>
      <c r="U20" s="706"/>
      <c r="V20" s="705"/>
      <c r="W20" s="706"/>
      <c r="X20" s="1355"/>
      <c r="Y20" s="366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1"/>
      <c r="Q21" s="1352" t="str">
        <f>B21</f>
        <v>交通便捷度</v>
      </c>
      <c r="R21" s="705" t="s">
        <v>14</v>
      </c>
      <c r="S21" s="706">
        <f>F21</f>
        <v>100</v>
      </c>
      <c r="T21" s="705" t="s">
        <v>14</v>
      </c>
      <c r="U21" s="706">
        <f>H21</f>
        <v>100</v>
      </c>
      <c r="V21" s="705" t="s">
        <v>14</v>
      </c>
      <c r="W21" s="706">
        <f>J21</f>
        <v>100</v>
      </c>
      <c r="X21" s="1355"/>
      <c r="Y21" s="366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1"/>
      <c r="Q22" s="1352"/>
      <c r="R22" s="705"/>
      <c r="S22" s="706"/>
      <c r="T22" s="705"/>
      <c r="U22" s="706"/>
      <c r="V22" s="705"/>
      <c r="W22" s="706"/>
      <c r="X22" s="1355"/>
      <c r="Y22" s="366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1"/>
      <c r="Q23" s="1352" t="str">
        <f t="shared" ref="Q23:Q37" si="8">B23</f>
        <v>区域土地利用方向</v>
      </c>
      <c r="R23" s="705" t="s">
        <v>14</v>
      </c>
      <c r="S23" s="706">
        <f>F23</f>
        <v>100</v>
      </c>
      <c r="T23" s="705" t="s">
        <v>14</v>
      </c>
      <c r="U23" s="706">
        <f>H23</f>
        <v>100</v>
      </c>
      <c r="V23" s="705" t="s">
        <v>14</v>
      </c>
      <c r="W23" s="706">
        <f>J23</f>
        <v>100</v>
      </c>
      <c r="X23" s="1355"/>
      <c r="Y23" s="366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1"/>
      <c r="Q24" s="1352"/>
      <c r="R24" s="705"/>
      <c r="S24" s="706"/>
      <c r="T24" s="705"/>
      <c r="U24" s="706"/>
      <c r="V24" s="705"/>
      <c r="W24" s="706"/>
      <c r="X24" s="1355"/>
      <c r="Y24" s="366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1"/>
      <c r="Q25" s="1352" t="str">
        <f t="shared" si="8"/>
        <v>自然及人文环境状况</v>
      </c>
      <c r="R25" s="705" t="s">
        <v>14</v>
      </c>
      <c r="S25" s="706">
        <f>F25</f>
        <v>100</v>
      </c>
      <c r="T25" s="705" t="s">
        <v>14</v>
      </c>
      <c r="U25" s="706">
        <f>H25</f>
        <v>100</v>
      </c>
      <c r="V25" s="705" t="s">
        <v>14</v>
      </c>
      <c r="W25" s="706">
        <f>J25</f>
        <v>100</v>
      </c>
      <c r="X25" s="1355"/>
      <c r="Y25" s="366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1"/>
      <c r="Q26" s="1352"/>
      <c r="R26" s="705"/>
      <c r="S26" s="706"/>
      <c r="T26" s="705"/>
      <c r="U26" s="706"/>
      <c r="V26" s="705"/>
      <c r="W26" s="706"/>
      <c r="X26" s="1355"/>
      <c r="Y26" s="366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1"/>
      <c r="Q27" s="1343" t="str">
        <f t="shared" si="8"/>
        <v>公共配套设施</v>
      </c>
      <c r="R27" s="701" t="s">
        <v>14</v>
      </c>
      <c r="S27" s="702">
        <f>F27</f>
        <v>100</v>
      </c>
      <c r="T27" s="701" t="s">
        <v>14</v>
      </c>
      <c r="U27" s="702">
        <f>H27</f>
        <v>100</v>
      </c>
      <c r="V27" s="701" t="s">
        <v>14</v>
      </c>
      <c r="W27" s="702">
        <f>J27</f>
        <v>100</v>
      </c>
      <c r="X27" s="703"/>
      <c r="Y27" s="366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1"/>
      <c r="Q28" s="1343"/>
      <c r="R28" s="701"/>
      <c r="S28" s="702"/>
      <c r="T28" s="701"/>
      <c r="U28" s="702"/>
      <c r="V28" s="701"/>
      <c r="W28" s="702"/>
      <c r="X28" s="703"/>
      <c r="Y28" s="366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1"/>
      <c r="Q29" s="1343" t="str">
        <f t="shared" ref="Q29" si="9">B29</f>
        <v>基础设施水平</v>
      </c>
      <c r="R29" s="701" t="s">
        <v>14</v>
      </c>
      <c r="S29" s="702">
        <f>F29</f>
        <v>100</v>
      </c>
      <c r="T29" s="701" t="s">
        <v>14</v>
      </c>
      <c r="U29" s="702">
        <f>H29</f>
        <v>100</v>
      </c>
      <c r="V29" s="701" t="s">
        <v>14</v>
      </c>
      <c r="W29" s="702">
        <f>J29</f>
        <v>100</v>
      </c>
      <c r="X29" s="703"/>
      <c r="Y29" s="366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1"/>
      <c r="Q30" s="1343"/>
      <c r="R30" s="701"/>
      <c r="S30" s="702"/>
      <c r="T30" s="701"/>
      <c r="U30" s="702"/>
      <c r="V30" s="701"/>
      <c r="W30" s="702"/>
      <c r="X30" s="703"/>
      <c r="Y30" s="366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1"/>
      <c r="Q32" s="1352" t="str">
        <f t="shared" si="8"/>
        <v>毗邻道路的类型与等级</v>
      </c>
      <c r="R32" s="705" t="s">
        <v>14</v>
      </c>
      <c r="S32" s="706">
        <f t="shared" si="10"/>
        <v>100</v>
      </c>
      <c r="T32" s="705" t="s">
        <v>14</v>
      </c>
      <c r="U32" s="706">
        <f t="shared" si="11"/>
        <v>100</v>
      </c>
      <c r="V32" s="705" t="s">
        <v>14</v>
      </c>
      <c r="W32" s="706">
        <f t="shared" si="12"/>
        <v>100</v>
      </c>
      <c r="X32" s="1355"/>
      <c r="Y32" s="366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1"/>
      <c r="Q33" s="1352"/>
      <c r="R33" s="705"/>
      <c r="S33" s="706"/>
      <c r="T33" s="705"/>
      <c r="U33" s="706"/>
      <c r="V33" s="705"/>
      <c r="W33" s="706"/>
      <c r="X33" s="1355"/>
      <c r="Y33" s="366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1"/>
      <c r="Q34" s="1352" t="str">
        <f t="shared" si="8"/>
        <v>土地级别</v>
      </c>
      <c r="R34" s="705" t="s">
        <v>14</v>
      </c>
      <c r="S34" s="706">
        <f t="shared" si="10"/>
        <v>100</v>
      </c>
      <c r="T34" s="705" t="s">
        <v>14</v>
      </c>
      <c r="U34" s="706">
        <f t="shared" si="11"/>
        <v>100</v>
      </c>
      <c r="V34" s="705" t="s">
        <v>14</v>
      </c>
      <c r="W34" s="706">
        <f t="shared" si="12"/>
        <v>100</v>
      </c>
      <c r="X34" s="1355"/>
      <c r="Y34" s="366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1"/>
      <c r="Q35" s="1352">
        <f t="shared" si="8"/>
        <v>111</v>
      </c>
      <c r="R35" s="705" t="s">
        <v>14</v>
      </c>
      <c r="S35" s="706">
        <f t="shared" si="10"/>
        <v>100</v>
      </c>
      <c r="T35" s="705" t="s">
        <v>14</v>
      </c>
      <c r="U35" s="706">
        <f t="shared" si="11"/>
        <v>100</v>
      </c>
      <c r="V35" s="705" t="s">
        <v>14</v>
      </c>
      <c r="W35" s="706">
        <f t="shared" si="12"/>
        <v>100</v>
      </c>
      <c r="X35" s="1355"/>
      <c r="Y35" s="366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2" t="s">
        <v>1696</v>
      </c>
      <c r="Q36" s="1352">
        <f t="shared" si="8"/>
        <v>111</v>
      </c>
      <c r="R36" s="705" t="s">
        <v>14</v>
      </c>
      <c r="S36" s="706">
        <f t="shared" si="10"/>
        <v>100</v>
      </c>
      <c r="T36" s="705" t="s">
        <v>14</v>
      </c>
      <c r="U36" s="706">
        <f t="shared" si="11"/>
        <v>100</v>
      </c>
      <c r="V36" s="705" t="s">
        <v>14</v>
      </c>
      <c r="W36" s="706">
        <f t="shared" si="12"/>
        <v>100</v>
      </c>
      <c r="X36" s="1355"/>
      <c r="Y36" s="366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65"/>
      <c r="Q37" s="1352">
        <f t="shared" si="8"/>
        <v>111</v>
      </c>
      <c r="R37" s="708" t="s">
        <v>14</v>
      </c>
      <c r="S37" s="709">
        <f t="shared" si="10"/>
        <v>100</v>
      </c>
      <c r="T37" s="708" t="s">
        <v>14</v>
      </c>
      <c r="U37" s="709">
        <f t="shared" si="11"/>
        <v>100</v>
      </c>
      <c r="V37" s="708" t="s">
        <v>14</v>
      </c>
      <c r="W37" s="709">
        <f t="shared" si="12"/>
        <v>100</v>
      </c>
      <c r="X37" s="710"/>
      <c r="Y37" s="366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65"/>
      <c r="Q38" s="1352" t="str">
        <f>B38</f>
        <v>宗地面积</v>
      </c>
      <c r="R38" s="705" t="s">
        <v>14</v>
      </c>
      <c r="S38" s="706" t="e">
        <f t="shared" si="10"/>
        <v>#N/A</v>
      </c>
      <c r="T38" s="705" t="s">
        <v>14</v>
      </c>
      <c r="U38" s="706" t="e">
        <f t="shared" si="11"/>
        <v>#N/A</v>
      </c>
      <c r="V38" s="705" t="s">
        <v>14</v>
      </c>
      <c r="W38" s="706" t="e">
        <f t="shared" si="12"/>
        <v>#N/A</v>
      </c>
      <c r="X38" s="1355"/>
      <c r="Y38" s="366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65"/>
      <c r="Q39" s="1352" t="str">
        <f t="shared" ref="Q39:Q45" si="14">B39</f>
        <v>宗地形状</v>
      </c>
      <c r="R39" s="705" t="s">
        <v>14</v>
      </c>
      <c r="S39" s="706">
        <f t="shared" si="10"/>
        <v>100</v>
      </c>
      <c r="T39" s="705" t="s">
        <v>14</v>
      </c>
      <c r="U39" s="706">
        <f t="shared" si="11"/>
        <v>100</v>
      </c>
      <c r="V39" s="705" t="s">
        <v>14</v>
      </c>
      <c r="W39" s="706">
        <f t="shared" si="12"/>
        <v>100</v>
      </c>
      <c r="X39" s="1355"/>
      <c r="Y39" s="366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65"/>
      <c r="Q40" s="1352" t="str">
        <f t="shared" si="14"/>
        <v>临街宽度及深度</v>
      </c>
      <c r="R40" s="705" t="s">
        <v>14</v>
      </c>
      <c r="S40" s="706">
        <f t="shared" si="10"/>
        <v>100</v>
      </c>
      <c r="T40" s="705" t="s">
        <v>14</v>
      </c>
      <c r="U40" s="706">
        <f t="shared" si="11"/>
        <v>100</v>
      </c>
      <c r="V40" s="705" t="s">
        <v>14</v>
      </c>
      <c r="W40" s="706">
        <f t="shared" si="12"/>
        <v>100</v>
      </c>
      <c r="X40" s="1355"/>
      <c r="Y40" s="366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65"/>
      <c r="Q41" s="1352" t="str">
        <f t="shared" si="14"/>
        <v>宗地开发程度</v>
      </c>
      <c r="R41" s="701" t="s">
        <v>14</v>
      </c>
      <c r="S41" s="702">
        <f t="shared" si="10"/>
        <v>100</v>
      </c>
      <c r="T41" s="701" t="s">
        <v>14</v>
      </c>
      <c r="U41" s="702">
        <f t="shared" si="11"/>
        <v>100</v>
      </c>
      <c r="V41" s="701" t="s">
        <v>14</v>
      </c>
      <c r="W41" s="702">
        <f t="shared" si="12"/>
        <v>100</v>
      </c>
      <c r="X41" s="703"/>
      <c r="Y41" s="366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65" t="s">
        <v>1696</v>
      </c>
      <c r="Q42" s="1352" t="str">
        <f t="shared" si="14"/>
        <v>工程地质条件</v>
      </c>
      <c r="R42" s="705" t="s">
        <v>14</v>
      </c>
      <c r="S42" s="706">
        <f t="shared" si="10"/>
        <v>100</v>
      </c>
      <c r="T42" s="705" t="s">
        <v>14</v>
      </c>
      <c r="U42" s="706">
        <f t="shared" si="11"/>
        <v>100</v>
      </c>
      <c r="V42" s="705" t="s">
        <v>14</v>
      </c>
      <c r="W42" s="706">
        <f t="shared" si="12"/>
        <v>100</v>
      </c>
      <c r="X42" s="1355"/>
      <c r="Y42" s="366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65"/>
      <c r="Q43" s="1352">
        <f t="shared" si="14"/>
        <v>111</v>
      </c>
      <c r="R43" s="705" t="s">
        <v>14</v>
      </c>
      <c r="S43" s="706">
        <f t="shared" si="10"/>
        <v>100</v>
      </c>
      <c r="T43" s="705" t="s">
        <v>14</v>
      </c>
      <c r="U43" s="706">
        <f t="shared" si="11"/>
        <v>100</v>
      </c>
      <c r="V43" s="705" t="s">
        <v>14</v>
      </c>
      <c r="W43" s="706">
        <f t="shared" si="12"/>
        <v>100</v>
      </c>
      <c r="X43" s="1355"/>
      <c r="Y43" s="366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65"/>
      <c r="Q44" s="1352">
        <f t="shared" si="14"/>
        <v>111</v>
      </c>
      <c r="R44" s="705" t="s">
        <v>14</v>
      </c>
      <c r="S44" s="706">
        <f t="shared" si="10"/>
        <v>100</v>
      </c>
      <c r="T44" s="705" t="s">
        <v>14</v>
      </c>
      <c r="U44" s="706">
        <f t="shared" si="11"/>
        <v>100</v>
      </c>
      <c r="V44" s="705" t="s">
        <v>14</v>
      </c>
      <c r="W44" s="706">
        <f t="shared" si="12"/>
        <v>100</v>
      </c>
      <c r="X44" s="1355"/>
      <c r="Y44" s="366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65"/>
      <c r="Q45" s="1352">
        <f t="shared" si="14"/>
        <v>111</v>
      </c>
      <c r="R45" s="708" t="s">
        <v>14</v>
      </c>
      <c r="S45" s="709">
        <f t="shared" si="10"/>
        <v>100</v>
      </c>
      <c r="T45" s="708" t="s">
        <v>14</v>
      </c>
      <c r="U45" s="709">
        <f t="shared" si="11"/>
        <v>100</v>
      </c>
      <c r="V45" s="708" t="s">
        <v>14</v>
      </c>
      <c r="W45" s="709">
        <f t="shared" si="12"/>
        <v>100</v>
      </c>
      <c r="X45" s="710"/>
      <c r="Y45" s="366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58" t="str">
        <f>A46</f>
        <v>成交单价</v>
      </c>
      <c r="Q46" s="3658"/>
      <c r="R46" s="3689">
        <f>E46</f>
        <v>0</v>
      </c>
      <c r="S46" s="3689"/>
      <c r="T46" s="3689">
        <f>G46</f>
        <v>0</v>
      </c>
      <c r="U46" s="3689"/>
      <c r="V46" s="3689">
        <f>I46</f>
        <v>0</v>
      </c>
      <c r="W46" s="3689"/>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58" t="str">
        <f>A47</f>
        <v>比较价值（元/平方米）</v>
      </c>
      <c r="Q47" s="3658"/>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55" t="str">
        <f>A48</f>
        <v>估价对象XX用房的比较价值（楼面单价，元/平方米）</v>
      </c>
      <c r="Q48" s="3656"/>
      <c r="R48" s="3745" t="e">
        <f>ROUND(IF(D47="简单平均",AVERAGE(R47:W47),R47*F47+T47*H47+V47*J47),0)</f>
        <v>#DIV/0!</v>
      </c>
      <c r="S48" s="3745"/>
      <c r="T48" s="3745"/>
      <c r="U48" s="3745"/>
      <c r="V48" s="3745"/>
      <c r="W48" s="374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3" t="s">
        <v>1887</v>
      </c>
      <c r="H55" s="374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34.369999999999997</v>
      </c>
      <c r="F56" s="886" t="e">
        <f t="shared" ref="F56:F64" si="15">ROUND(B56*E56/10000,0)</f>
        <v>#DIV/0!</v>
      </c>
      <c r="G56" s="3669"/>
      <c r="H56" s="365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34.369999999999997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3" t="s">
        <v>1770</v>
      </c>
      <c r="D4" s="3674"/>
      <c r="E4" s="3675" t="s">
        <v>1771</v>
      </c>
      <c r="F4" s="3676"/>
      <c r="G4" s="3673" t="s">
        <v>1772</v>
      </c>
      <c r="H4" s="3674"/>
      <c r="I4" s="3673" t="s">
        <v>1773</v>
      </c>
      <c r="J4" s="3674"/>
      <c r="K4" s="559" t="s">
        <v>1774</v>
      </c>
      <c r="L4" s="2715"/>
      <c r="M4" s="2716"/>
      <c r="N4" s="2716"/>
      <c r="O4" s="2716"/>
      <c r="P4" s="3677" t="s">
        <v>1775</v>
      </c>
      <c r="Q4" s="3678"/>
      <c r="R4" s="3683" t="s">
        <v>1771</v>
      </c>
      <c r="S4" s="3684"/>
      <c r="T4" s="3683" t="s">
        <v>1772</v>
      </c>
      <c r="U4" s="3684"/>
      <c r="V4" s="3689" t="s">
        <v>1773</v>
      </c>
      <c r="W4" s="3689"/>
      <c r="X4" s="1355"/>
      <c r="Y4" s="3683" t="s">
        <v>1775</v>
      </c>
      <c r="Z4" s="3684"/>
      <c r="AA4" s="3670" t="s">
        <v>1771</v>
      </c>
      <c r="AB4" s="3671" t="s">
        <v>1772</v>
      </c>
      <c r="AC4" s="3670" t="s">
        <v>1773</v>
      </c>
    </row>
    <row r="5" spans="1:29" ht="15">
      <c r="A5" s="358"/>
      <c r="B5" s="359"/>
      <c r="C5" s="3692" t="s">
        <v>1673</v>
      </c>
      <c r="D5" s="3693"/>
      <c r="E5" s="3699" t="s">
        <v>1674</v>
      </c>
      <c r="F5" s="3700"/>
      <c r="G5" s="3692" t="s">
        <v>1675</v>
      </c>
      <c r="H5" s="3693"/>
      <c r="I5" s="3692" t="s">
        <v>1676</v>
      </c>
      <c r="J5" s="3693"/>
      <c r="K5" s="559"/>
      <c r="L5" s="2715"/>
      <c r="M5" s="2716"/>
      <c r="N5" s="2716"/>
      <c r="O5" s="2716"/>
      <c r="P5" s="3679"/>
      <c r="Q5" s="3680"/>
      <c r="R5" s="3685"/>
      <c r="S5" s="3686"/>
      <c r="T5" s="3685"/>
      <c r="U5" s="3686"/>
      <c r="V5" s="3689"/>
      <c r="W5" s="3689"/>
      <c r="X5" s="1355"/>
      <c r="Y5" s="3685"/>
      <c r="Z5" s="3686"/>
      <c r="AA5" s="3671"/>
      <c r="AB5" s="3671"/>
      <c r="AC5" s="3671"/>
    </row>
    <row r="6" spans="1:29" ht="15.75" thickBot="1">
      <c r="A6" s="360"/>
      <c r="B6" s="361"/>
      <c r="C6" s="3747" t="s">
        <v>1919</v>
      </c>
      <c r="D6" s="3748"/>
      <c r="E6" s="3749" t="s">
        <v>1919</v>
      </c>
      <c r="F6" s="3750"/>
      <c r="G6" s="3747" t="s">
        <v>1919</v>
      </c>
      <c r="H6" s="3748"/>
      <c r="I6" s="3747" t="s">
        <v>1919</v>
      </c>
      <c r="J6" s="3748"/>
      <c r="K6" s="559" t="s">
        <v>1678</v>
      </c>
      <c r="L6" s="2715"/>
      <c r="M6" s="2716"/>
      <c r="N6" s="2716"/>
      <c r="O6" s="2716"/>
      <c r="P6" s="3681"/>
      <c r="Q6" s="3682"/>
      <c r="R6" s="3685"/>
      <c r="S6" s="3686"/>
      <c r="T6" s="3687"/>
      <c r="U6" s="3688"/>
      <c r="V6" s="3689"/>
      <c r="W6" s="3689"/>
      <c r="X6" s="1355"/>
      <c r="Y6" s="3687"/>
      <c r="Z6" s="3688"/>
      <c r="AA6" s="3672"/>
      <c r="AB6" s="3672"/>
      <c r="AC6" s="3672"/>
    </row>
    <row r="7" spans="1:29" s="108" customFormat="1" ht="15.75" thickBot="1">
      <c r="A7" s="362" t="s">
        <v>1679</v>
      </c>
      <c r="B7" s="363"/>
      <c r="C7" s="364">
        <f>'数据-取费表'!B2</f>
        <v>45257</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94" t="s">
        <v>1680</v>
      </c>
      <c r="Q7" s="3696"/>
      <c r="R7" s="701" t="s">
        <v>14</v>
      </c>
      <c r="S7" s="702">
        <f t="shared" ref="S7:S15" si="0">F7</f>
        <v>0</v>
      </c>
      <c r="T7" s="701" t="s">
        <v>14</v>
      </c>
      <c r="U7" s="702">
        <f t="shared" ref="U7:U15" si="1">H7</f>
        <v>0</v>
      </c>
      <c r="V7" s="701" t="s">
        <v>14</v>
      </c>
      <c r="W7" s="702">
        <f t="shared" ref="W7:W15" si="2">J7</f>
        <v>0</v>
      </c>
      <c r="X7" s="703"/>
      <c r="Y7" s="3694" t="s">
        <v>1680</v>
      </c>
      <c r="Z7" s="369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94" t="s">
        <v>1683</v>
      </c>
      <c r="Q8" s="3695"/>
      <c r="R8" s="701" t="s">
        <v>14</v>
      </c>
      <c r="S8" s="702">
        <f t="shared" si="0"/>
        <v>0</v>
      </c>
      <c r="T8" s="701" t="s">
        <v>14</v>
      </c>
      <c r="U8" s="702">
        <f t="shared" si="1"/>
        <v>0</v>
      </c>
      <c r="V8" s="701" t="s">
        <v>14</v>
      </c>
      <c r="W8" s="702">
        <f t="shared" si="2"/>
        <v>0</v>
      </c>
      <c r="X8" s="703"/>
      <c r="Y8" s="3694" t="s">
        <v>1683</v>
      </c>
      <c r="Z8" s="369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58"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109</v>
      </c>
      <c r="G10" s="383"/>
      <c r="H10" s="127">
        <f>ROUND(100/'数据-取费表'!G16,0)</f>
        <v>109</v>
      </c>
      <c r="I10" s="383"/>
      <c r="J10" s="127">
        <f>ROUND(100/'数据-取费表'!G16,0)</f>
        <v>109</v>
      </c>
      <c r="K10" s="620"/>
      <c r="L10" s="2719"/>
      <c r="M10" s="2720"/>
      <c r="N10" s="2720"/>
      <c r="O10" s="2773"/>
      <c r="P10" s="3658"/>
      <c r="Q10" s="1343" t="str">
        <f t="shared" si="6"/>
        <v>土地使用年限（年）</v>
      </c>
      <c r="R10" s="701" t="s">
        <v>14</v>
      </c>
      <c r="S10" s="702">
        <f t="shared" si="0"/>
        <v>109</v>
      </c>
      <c r="T10" s="701" t="s">
        <v>14</v>
      </c>
      <c r="U10" s="702">
        <f t="shared" si="1"/>
        <v>109</v>
      </c>
      <c r="V10" s="701" t="s">
        <v>14</v>
      </c>
      <c r="W10" s="702">
        <f t="shared" si="2"/>
        <v>109</v>
      </c>
      <c r="X10" s="703"/>
      <c r="Y10" s="3559"/>
      <c r="Z10" s="52" t="str">
        <f t="shared" si="7"/>
        <v>土地使用年限（年）</v>
      </c>
      <c r="AA10" s="704">
        <f t="shared" si="3"/>
        <v>0.91743119266055051</v>
      </c>
      <c r="AB10" s="704">
        <f t="shared" si="4"/>
        <v>0.91743119266055051</v>
      </c>
      <c r="AC10" s="704">
        <f t="shared" si="5"/>
        <v>0.91743119266055051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58"/>
      <c r="Q11" s="1343" t="str">
        <f t="shared" si="6"/>
        <v>容积率</v>
      </c>
      <c r="R11" s="701" t="s">
        <v>14</v>
      </c>
      <c r="S11" s="702" t="e">
        <f t="shared" si="0"/>
        <v>#N/A</v>
      </c>
      <c r="T11" s="701" t="s">
        <v>14</v>
      </c>
      <c r="U11" s="702" t="e">
        <f t="shared" si="1"/>
        <v>#N/A</v>
      </c>
      <c r="V11" s="701" t="s">
        <v>14</v>
      </c>
      <c r="W11" s="702" t="e">
        <f t="shared" si="2"/>
        <v>#N/A</v>
      </c>
      <c r="X11" s="703"/>
      <c r="Y11" s="355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58"/>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58"/>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58"/>
      <c r="Q14" s="1343">
        <f t="shared" si="6"/>
        <v>111</v>
      </c>
      <c r="R14" s="701" t="s">
        <v>14</v>
      </c>
      <c r="S14" s="702">
        <f t="shared" si="0"/>
        <v>100</v>
      </c>
      <c r="T14" s="701" t="s">
        <v>14</v>
      </c>
      <c r="U14" s="702">
        <f t="shared" si="1"/>
        <v>100</v>
      </c>
      <c r="V14" s="701" t="s">
        <v>14</v>
      </c>
      <c r="W14" s="702">
        <f t="shared" si="2"/>
        <v>100</v>
      </c>
      <c r="X14" s="703"/>
      <c r="Y14" s="355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0" t="s">
        <v>1691</v>
      </c>
      <c r="Q15" s="1352" t="str">
        <f t="shared" si="6"/>
        <v>产业集聚程度</v>
      </c>
      <c r="R15" s="705" t="s">
        <v>14</v>
      </c>
      <c r="S15" s="706">
        <f t="shared" si="0"/>
        <v>100</v>
      </c>
      <c r="T15" s="705" t="s">
        <v>14</v>
      </c>
      <c r="U15" s="706">
        <f t="shared" si="1"/>
        <v>100</v>
      </c>
      <c r="V15" s="705" t="s">
        <v>14</v>
      </c>
      <c r="W15" s="706">
        <f t="shared" si="2"/>
        <v>100</v>
      </c>
      <c r="X15" s="1355"/>
      <c r="Y15" s="366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1"/>
      <c r="Q16" s="1352"/>
      <c r="R16" s="705"/>
      <c r="S16" s="706"/>
      <c r="T16" s="705"/>
      <c r="U16" s="706"/>
      <c r="V16" s="705"/>
      <c r="W16" s="706"/>
      <c r="X16" s="1355"/>
      <c r="Y16" s="366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1"/>
      <c r="Q17" s="1352" t="str">
        <f>B17</f>
        <v>交通便捷度</v>
      </c>
      <c r="R17" s="705" t="s">
        <v>14</v>
      </c>
      <c r="S17" s="706">
        <f>F17</f>
        <v>100</v>
      </c>
      <c r="T17" s="705" t="s">
        <v>14</v>
      </c>
      <c r="U17" s="706">
        <f>H17</f>
        <v>100</v>
      </c>
      <c r="V17" s="705" t="s">
        <v>14</v>
      </c>
      <c r="W17" s="706">
        <f>J17</f>
        <v>100</v>
      </c>
      <c r="X17" s="1355"/>
      <c r="Y17" s="366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1"/>
      <c r="Q18" s="1352"/>
      <c r="R18" s="705"/>
      <c r="S18" s="706"/>
      <c r="T18" s="705"/>
      <c r="U18" s="706"/>
      <c r="V18" s="705"/>
      <c r="W18" s="706"/>
      <c r="X18" s="1355"/>
      <c r="Y18" s="366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1"/>
      <c r="Q19" s="1352" t="str">
        <f t="shared" ref="Q19:Q33" si="8">B19</f>
        <v>区域土地利用方向</v>
      </c>
      <c r="R19" s="705" t="s">
        <v>14</v>
      </c>
      <c r="S19" s="706">
        <f>F19</f>
        <v>100</v>
      </c>
      <c r="T19" s="705" t="s">
        <v>14</v>
      </c>
      <c r="U19" s="706">
        <f>H19</f>
        <v>100</v>
      </c>
      <c r="V19" s="705" t="s">
        <v>14</v>
      </c>
      <c r="W19" s="706">
        <f>J19</f>
        <v>100</v>
      </c>
      <c r="X19" s="1355"/>
      <c r="Y19" s="366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1"/>
      <c r="Q20" s="1352"/>
      <c r="R20" s="705"/>
      <c r="S20" s="706"/>
      <c r="T20" s="705"/>
      <c r="U20" s="706"/>
      <c r="V20" s="705"/>
      <c r="W20" s="706"/>
      <c r="X20" s="1355"/>
      <c r="Y20" s="366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1"/>
      <c r="Q21" s="1352" t="str">
        <f t="shared" si="8"/>
        <v>环境状况</v>
      </c>
      <c r="R21" s="705" t="s">
        <v>14</v>
      </c>
      <c r="S21" s="706">
        <f>F21</f>
        <v>100</v>
      </c>
      <c r="T21" s="705" t="s">
        <v>14</v>
      </c>
      <c r="U21" s="706">
        <f>H21</f>
        <v>100</v>
      </c>
      <c r="V21" s="705" t="s">
        <v>14</v>
      </c>
      <c r="W21" s="706">
        <f>J21</f>
        <v>100</v>
      </c>
      <c r="X21" s="1355"/>
      <c r="Y21" s="366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1"/>
      <c r="Q22" s="1352"/>
      <c r="R22" s="705"/>
      <c r="S22" s="706"/>
      <c r="T22" s="705"/>
      <c r="U22" s="706"/>
      <c r="V22" s="705"/>
      <c r="W22" s="706"/>
      <c r="X22" s="1355"/>
      <c r="Y22" s="366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1"/>
      <c r="Q23" s="1343" t="str">
        <f t="shared" si="8"/>
        <v>公共配套设施</v>
      </c>
      <c r="R23" s="701" t="s">
        <v>14</v>
      </c>
      <c r="S23" s="702">
        <f>F23</f>
        <v>100</v>
      </c>
      <c r="T23" s="701" t="s">
        <v>14</v>
      </c>
      <c r="U23" s="702">
        <f>H23</f>
        <v>100</v>
      </c>
      <c r="V23" s="701" t="s">
        <v>14</v>
      </c>
      <c r="W23" s="702">
        <f>J23</f>
        <v>100</v>
      </c>
      <c r="X23" s="703"/>
      <c r="Y23" s="366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1"/>
      <c r="Q24" s="1343"/>
      <c r="R24" s="701"/>
      <c r="S24" s="702"/>
      <c r="T24" s="701"/>
      <c r="U24" s="702"/>
      <c r="V24" s="701"/>
      <c r="W24" s="702"/>
      <c r="X24" s="703"/>
      <c r="Y24" s="366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1"/>
      <c r="Q25" s="1343" t="str">
        <f t="shared" ref="Q25" si="9">B25</f>
        <v>基础设施水平</v>
      </c>
      <c r="R25" s="701" t="s">
        <v>14</v>
      </c>
      <c r="S25" s="702">
        <f>F25</f>
        <v>100</v>
      </c>
      <c r="T25" s="701" t="s">
        <v>14</v>
      </c>
      <c r="U25" s="702">
        <f>H25</f>
        <v>100</v>
      </c>
      <c r="V25" s="701" t="s">
        <v>14</v>
      </c>
      <c r="W25" s="702">
        <f>J25</f>
        <v>100</v>
      </c>
      <c r="X25" s="703"/>
      <c r="Y25" s="366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1"/>
      <c r="Q26" s="1343"/>
      <c r="R26" s="701"/>
      <c r="S26" s="702"/>
      <c r="T26" s="701"/>
      <c r="U26" s="702"/>
      <c r="V26" s="701"/>
      <c r="W26" s="702"/>
      <c r="X26" s="703"/>
      <c r="Y26" s="366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1"/>
      <c r="Q28" s="1352" t="str">
        <f t="shared" si="8"/>
        <v>毗邻道路的类型与等级</v>
      </c>
      <c r="R28" s="705" t="s">
        <v>14</v>
      </c>
      <c r="S28" s="706">
        <f t="shared" si="10"/>
        <v>100</v>
      </c>
      <c r="T28" s="705" t="s">
        <v>14</v>
      </c>
      <c r="U28" s="706">
        <f t="shared" si="11"/>
        <v>100</v>
      </c>
      <c r="V28" s="705" t="s">
        <v>14</v>
      </c>
      <c r="W28" s="706">
        <f t="shared" si="12"/>
        <v>100</v>
      </c>
      <c r="X28" s="1355"/>
      <c r="Y28" s="366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1"/>
      <c r="Q29" s="1352"/>
      <c r="R29" s="705"/>
      <c r="S29" s="706"/>
      <c r="T29" s="705"/>
      <c r="U29" s="706"/>
      <c r="V29" s="705"/>
      <c r="W29" s="706"/>
      <c r="X29" s="1355"/>
      <c r="Y29" s="366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1"/>
      <c r="Q30" s="1352" t="str">
        <f t="shared" si="8"/>
        <v>土地级别</v>
      </c>
      <c r="R30" s="705" t="s">
        <v>14</v>
      </c>
      <c r="S30" s="706">
        <f t="shared" si="10"/>
        <v>100</v>
      </c>
      <c r="T30" s="705" t="s">
        <v>14</v>
      </c>
      <c r="U30" s="706">
        <f t="shared" si="11"/>
        <v>100</v>
      </c>
      <c r="V30" s="705" t="s">
        <v>14</v>
      </c>
      <c r="W30" s="706">
        <f t="shared" si="12"/>
        <v>100</v>
      </c>
      <c r="X30" s="1355"/>
      <c r="Y30" s="366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1"/>
      <c r="Q31" s="1352">
        <f t="shared" si="8"/>
        <v>111</v>
      </c>
      <c r="R31" s="705" t="s">
        <v>14</v>
      </c>
      <c r="S31" s="706">
        <f t="shared" si="10"/>
        <v>100</v>
      </c>
      <c r="T31" s="705" t="s">
        <v>14</v>
      </c>
      <c r="U31" s="706">
        <f t="shared" si="11"/>
        <v>100</v>
      </c>
      <c r="V31" s="705" t="s">
        <v>14</v>
      </c>
      <c r="W31" s="706">
        <f t="shared" si="12"/>
        <v>100</v>
      </c>
      <c r="X31" s="1355"/>
      <c r="Y31" s="366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2" t="s">
        <v>1696</v>
      </c>
      <c r="Q32" s="1352">
        <f t="shared" si="8"/>
        <v>111</v>
      </c>
      <c r="R32" s="705" t="s">
        <v>14</v>
      </c>
      <c r="S32" s="706">
        <f t="shared" si="10"/>
        <v>100</v>
      </c>
      <c r="T32" s="705" t="s">
        <v>14</v>
      </c>
      <c r="U32" s="706">
        <f t="shared" si="11"/>
        <v>100</v>
      </c>
      <c r="V32" s="705" t="s">
        <v>14</v>
      </c>
      <c r="W32" s="706">
        <f t="shared" si="12"/>
        <v>100</v>
      </c>
      <c r="X32" s="1355"/>
      <c r="Y32" s="366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65"/>
      <c r="Q33" s="1352">
        <f t="shared" si="8"/>
        <v>111</v>
      </c>
      <c r="R33" s="708" t="s">
        <v>14</v>
      </c>
      <c r="S33" s="709">
        <f t="shared" si="10"/>
        <v>100</v>
      </c>
      <c r="T33" s="708" t="s">
        <v>14</v>
      </c>
      <c r="U33" s="709">
        <f t="shared" si="11"/>
        <v>100</v>
      </c>
      <c r="V33" s="708" t="s">
        <v>14</v>
      </c>
      <c r="W33" s="709">
        <f t="shared" si="12"/>
        <v>100</v>
      </c>
      <c r="X33" s="710"/>
      <c r="Y33" s="366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65"/>
      <c r="Q34" s="1352" t="str">
        <f>B34</f>
        <v>宗地面积</v>
      </c>
      <c r="R34" s="705" t="s">
        <v>14</v>
      </c>
      <c r="S34" s="706" t="e">
        <f t="shared" si="10"/>
        <v>#N/A</v>
      </c>
      <c r="T34" s="705" t="s">
        <v>14</v>
      </c>
      <c r="U34" s="706" t="e">
        <f t="shared" si="11"/>
        <v>#N/A</v>
      </c>
      <c r="V34" s="705" t="s">
        <v>14</v>
      </c>
      <c r="W34" s="706" t="e">
        <f t="shared" si="12"/>
        <v>#N/A</v>
      </c>
      <c r="X34" s="1355"/>
      <c r="Y34" s="366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65"/>
      <c r="Q35" s="1352" t="str">
        <f t="shared" ref="Q35:Q40" si="14">B35</f>
        <v>宗地形状</v>
      </c>
      <c r="R35" s="705" t="s">
        <v>14</v>
      </c>
      <c r="S35" s="706">
        <f t="shared" si="10"/>
        <v>100</v>
      </c>
      <c r="T35" s="705" t="s">
        <v>14</v>
      </c>
      <c r="U35" s="706">
        <f t="shared" si="11"/>
        <v>100</v>
      </c>
      <c r="V35" s="705" t="s">
        <v>14</v>
      </c>
      <c r="W35" s="706">
        <f t="shared" si="12"/>
        <v>100</v>
      </c>
      <c r="X35" s="1355"/>
      <c r="Y35" s="366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65"/>
      <c r="Q36" s="1352" t="str">
        <f t="shared" si="14"/>
        <v>宗地开发程度</v>
      </c>
      <c r="R36" s="701" t="s">
        <v>14</v>
      </c>
      <c r="S36" s="702">
        <f t="shared" si="10"/>
        <v>100</v>
      </c>
      <c r="T36" s="701" t="s">
        <v>14</v>
      </c>
      <c r="U36" s="702">
        <f t="shared" si="11"/>
        <v>100</v>
      </c>
      <c r="V36" s="701" t="s">
        <v>14</v>
      </c>
      <c r="W36" s="702">
        <f t="shared" si="12"/>
        <v>100</v>
      </c>
      <c r="X36" s="703"/>
      <c r="Y36" s="366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65" t="s">
        <v>1696</v>
      </c>
      <c r="Q37" s="1352" t="str">
        <f t="shared" si="14"/>
        <v>工程地质条件</v>
      </c>
      <c r="R37" s="705" t="s">
        <v>14</v>
      </c>
      <c r="S37" s="706">
        <f t="shared" si="10"/>
        <v>100</v>
      </c>
      <c r="T37" s="705" t="s">
        <v>14</v>
      </c>
      <c r="U37" s="706">
        <f t="shared" si="11"/>
        <v>100</v>
      </c>
      <c r="V37" s="705" t="s">
        <v>14</v>
      </c>
      <c r="W37" s="706">
        <f t="shared" si="12"/>
        <v>100</v>
      </c>
      <c r="X37" s="1355"/>
      <c r="Y37" s="366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65"/>
      <c r="Q38" s="1352">
        <f t="shared" si="14"/>
        <v>111</v>
      </c>
      <c r="R38" s="705" t="s">
        <v>14</v>
      </c>
      <c r="S38" s="706">
        <f t="shared" si="10"/>
        <v>100</v>
      </c>
      <c r="T38" s="705" t="s">
        <v>14</v>
      </c>
      <c r="U38" s="706">
        <f t="shared" si="11"/>
        <v>100</v>
      </c>
      <c r="V38" s="705" t="s">
        <v>14</v>
      </c>
      <c r="W38" s="706">
        <f t="shared" si="12"/>
        <v>100</v>
      </c>
      <c r="X38" s="1355"/>
      <c r="Y38" s="366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65"/>
      <c r="Q39" s="1352">
        <f t="shared" si="14"/>
        <v>111</v>
      </c>
      <c r="R39" s="705" t="s">
        <v>14</v>
      </c>
      <c r="S39" s="706">
        <f t="shared" si="10"/>
        <v>100</v>
      </c>
      <c r="T39" s="705" t="s">
        <v>14</v>
      </c>
      <c r="U39" s="706">
        <f t="shared" si="11"/>
        <v>100</v>
      </c>
      <c r="V39" s="705" t="s">
        <v>14</v>
      </c>
      <c r="W39" s="706">
        <f t="shared" si="12"/>
        <v>100</v>
      </c>
      <c r="X39" s="1355"/>
      <c r="Y39" s="366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65"/>
      <c r="Q40" s="1352">
        <f t="shared" si="14"/>
        <v>111</v>
      </c>
      <c r="R40" s="708" t="s">
        <v>14</v>
      </c>
      <c r="S40" s="709">
        <f t="shared" si="10"/>
        <v>100</v>
      </c>
      <c r="T40" s="708" t="s">
        <v>14</v>
      </c>
      <c r="U40" s="709">
        <f t="shared" si="11"/>
        <v>100</v>
      </c>
      <c r="V40" s="708" t="s">
        <v>14</v>
      </c>
      <c r="W40" s="709">
        <f t="shared" si="12"/>
        <v>100</v>
      </c>
      <c r="X40" s="710"/>
      <c r="Y40" s="366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58" t="str">
        <f>A41</f>
        <v>成交单价</v>
      </c>
      <c r="Q41" s="3658"/>
      <c r="R41" s="3689">
        <f>E41</f>
        <v>0</v>
      </c>
      <c r="S41" s="3689"/>
      <c r="T41" s="3689">
        <f>G41</f>
        <v>0</v>
      </c>
      <c r="U41" s="3689"/>
      <c r="V41" s="3689">
        <f>I41</f>
        <v>0</v>
      </c>
      <c r="W41" s="3689"/>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58" t="str">
        <f>A42</f>
        <v>比较价值（元/平方米）</v>
      </c>
      <c r="Q42" s="3658"/>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55" t="str">
        <f>A43</f>
        <v>估价对象XX用房的比较价值（楼面单价，元/平方米）</v>
      </c>
      <c r="Q43" s="3656"/>
      <c r="R43" s="3745" t="e">
        <f>ROUND(IF(D42="简单平均",AVERAGE(R42:W42),R42*F42+T42*H42+V42*J42),0)</f>
        <v>#DIV/0!</v>
      </c>
      <c r="S43" s="3745"/>
      <c r="T43" s="3745"/>
      <c r="U43" s="3745"/>
      <c r="V43" s="3745"/>
      <c r="W43" s="374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3" t="s">
        <v>1887</v>
      </c>
      <c r="H50" s="374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34.369999999999997</v>
      </c>
      <c r="F51" s="639" t="e">
        <f t="shared" ref="F51:F60" si="15">ROUND(B51*E51/10000,0)</f>
        <v>#DIV/0!</v>
      </c>
      <c r="G51" s="3669"/>
      <c r="H51" s="365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4" t="s">
        <v>2084</v>
      </c>
      <c r="D1" s="3755"/>
      <c r="E1" s="3755"/>
      <c r="F1" s="3755"/>
      <c r="G1" s="3755"/>
      <c r="H1" s="3755"/>
      <c r="I1" s="3755"/>
      <c r="J1" s="3755"/>
      <c r="K1" s="3755"/>
      <c r="L1" s="3755"/>
      <c r="M1" s="3755"/>
      <c r="N1" s="3755"/>
      <c r="O1" s="3755"/>
      <c r="P1" s="3755"/>
      <c r="Q1" s="3755"/>
      <c r="R1" s="3755"/>
      <c r="S1" s="375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70" zoomScaleNormal="80" zoomScaleSheetLayoutView="70" workbookViewId="0">
      <selection activeCell="L30" sqref="L3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64"/>
      <c r="B4" s="3765"/>
      <c r="C4" s="3765"/>
      <c r="D4" s="3766"/>
      <c r="E4" s="3766"/>
      <c r="F4" s="3766"/>
      <c r="G4" s="3766"/>
      <c r="H4" s="3766"/>
      <c r="I4" s="3766"/>
      <c r="J4" s="376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3240</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61" t="s">
        <v>1960</v>
      </c>
      <c r="X8" s="376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63"/>
      <c r="X9" s="3362" t="s">
        <v>3271</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6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3241</v>
      </c>
      <c r="B12" s="3305" t="s">
        <v>3242</v>
      </c>
      <c r="C12" s="3306"/>
      <c r="D12" s="3307" t="s">
        <v>3243</v>
      </c>
      <c r="E12" s="3308" t="s">
        <v>3244</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3245</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3246</v>
      </c>
      <c r="G14" s="3312" t="s">
        <v>3246</v>
      </c>
      <c r="H14" s="3312" t="s">
        <v>3246</v>
      </c>
      <c r="I14" s="3312" t="s">
        <v>3246</v>
      </c>
      <c r="J14" s="3312" t="s">
        <v>3246</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3247</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3248</v>
      </c>
      <c r="B17" s="3321" t="s">
        <v>3249</v>
      </c>
      <c r="C17" s="3331">
        <f>ROUND(IF(OR(E2="工业",E2="公共服务"),1,IF(AND(E18=0,E19=0),1,IF(AND(E18=J24,E19=G19),0.8,IF(E19=0,1+E17*(-0.2),1+E17*G17*(-0.2))))),4)</f>
        <v>1</v>
      </c>
      <c r="D17" s="3322" t="s">
        <v>3250</v>
      </c>
      <c r="E17" s="3331" t="e">
        <f>ROUND(G18/I18,2)</f>
        <v>#DIV/0!</v>
      </c>
      <c r="F17" s="3322" t="s">
        <v>3253</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3251</v>
      </c>
      <c r="E18" s="3329"/>
      <c r="F18" s="3324" t="s">
        <v>3254</v>
      </c>
      <c r="G18" s="3328">
        <f>ROUND(1-(1/(POWER(1+G24,E18))),4)</f>
        <v>0</v>
      </c>
      <c r="H18" s="3324" t="s">
        <v>3256</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3252</v>
      </c>
      <c r="E19" s="3338"/>
      <c r="F19" s="3339" t="s">
        <v>3255</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8" t="s">
        <v>3257</v>
      </c>
      <c r="B20" s="167" t="s">
        <v>1994</v>
      </c>
      <c r="C20" s="3325" t="e">
        <f>ROUND(IF(F21="与级别开发程度一致",0,(G21-E21)/C21),0)</f>
        <v>#DIV/0!</v>
      </c>
      <c r="D20" s="3341" t="s">
        <v>1998</v>
      </c>
      <c r="E20" s="3342"/>
      <c r="F20" s="3774" t="s">
        <v>1995</v>
      </c>
      <c r="G20" s="377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6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2002</v>
      </c>
      <c r="E23" s="761">
        <v>44197</v>
      </c>
      <c r="F23" s="2054" t="s">
        <v>2003</v>
      </c>
      <c r="G23" s="762">
        <f>'数据-取费表'!B2</f>
        <v>45257</v>
      </c>
      <c r="H23" s="3343" t="s">
        <v>3259</v>
      </c>
      <c r="I23" s="3344" t="str">
        <f>IF(H23="季度增幅（自定义）",SUMIF(N25:N28,E2,O25:O28),"")</f>
        <v/>
      </c>
      <c r="J23" s="3446" t="s">
        <v>3258</v>
      </c>
      <c r="K23" s="1125"/>
      <c r="L23" s="2055" t="s">
        <v>2004</v>
      </c>
      <c r="M23" s="1328">
        <f>ROUND(SUMIF(地价!B2:G2,E2,地价!B16:G16),0)</f>
        <v>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3338</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3260</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3261</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3263</v>
      </c>
      <c r="G33" s="2099"/>
      <c r="H33" s="2099"/>
      <c r="I33" s="2099"/>
      <c r="J33" s="2100"/>
      <c r="K33" s="1119"/>
      <c r="L33" s="3349" t="s">
        <v>3266</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3267</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3268</v>
      </c>
      <c r="L36" s="3447">
        <f ca="1">'数据-取费表'!B40</f>
        <v>4.7500000000000001E-2</v>
      </c>
      <c r="M36" s="3358">
        <f ca="1">ROUND($L$36*(1+M31),3)</f>
        <v>5.8999999999999997E-2</v>
      </c>
      <c r="N36" s="3358">
        <f ca="1">ROUND($L$36*(1+N31),3)</f>
        <v>5.7000000000000002E-2</v>
      </c>
      <c r="O36" s="3358">
        <f ca="1">ROUND($L$36*(1+O31),3)</f>
        <v>5.5E-2</v>
      </c>
      <c r="P36" s="3358">
        <f ca="1">ROUND($L$36*(1+P31),3)</f>
        <v>5.1999999999999998E-2</v>
      </c>
      <c r="Q36" s="3358">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3269</v>
      </c>
      <c r="L37" s="3357">
        <f ca="1">L36+K38</f>
        <v>5.2499999999999998E-2</v>
      </c>
      <c r="M37" s="3358">
        <f ca="1">ROUND($L$37*(1+M31),3)</f>
        <v>6.6000000000000003E-2</v>
      </c>
      <c r="N37" s="3358">
        <f t="shared" ref="N37:Q37" ca="1" si="3">ROUND($L$37*(1+N31),3)</f>
        <v>6.3E-2</v>
      </c>
      <c r="O37" s="3358">
        <f t="shared" ca="1" si="3"/>
        <v>0.06</v>
      </c>
      <c r="P37" s="3358">
        <f t="shared" ca="1" si="3"/>
        <v>5.8000000000000003E-2</v>
      </c>
      <c r="Q37" s="3358">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3"/>
      <c r="B39" s="2041" t="s">
        <v>3262</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3272</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3272</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3272</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3273</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3274</v>
      </c>
      <c r="B92" s="3366"/>
      <c r="C92" s="3366" t="s">
        <v>3283</v>
      </c>
      <c r="D92" s="3366" t="s">
        <v>3284</v>
      </c>
      <c r="E92" s="3348" t="s">
        <v>3285</v>
      </c>
      <c r="F92" s="3381" t="s">
        <v>3286</v>
      </c>
      <c r="G92" s="3366" t="s">
        <v>3287</v>
      </c>
      <c r="H92" s="3388" t="s">
        <v>3290</v>
      </c>
      <c r="I92" s="3366" t="s">
        <v>3291</v>
      </c>
      <c r="J92" s="3389" t="s">
        <v>3292</v>
      </c>
      <c r="K92" s="3389" t="s">
        <v>3293</v>
      </c>
      <c r="L92" s="3389" t="s">
        <v>3294</v>
      </c>
      <c r="M92" s="3389" t="s">
        <v>3295</v>
      </c>
      <c r="N92" s="3389" t="s">
        <v>3296</v>
      </c>
    </row>
    <row r="93" spans="1:37" ht="24">
      <c r="A93" s="3369" t="s">
        <v>3275</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3276</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3272</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3277</v>
      </c>
      <c r="B96" s="3385" t="s">
        <v>3288</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3278</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3279</v>
      </c>
      <c r="B98" s="3386" t="s">
        <v>3289</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3280</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3281</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3282</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70" t="s">
        <v>3297</v>
      </c>
      <c r="B103" s="3770"/>
      <c r="C103" s="3770"/>
      <c r="D103" s="3770"/>
      <c r="E103" s="3770"/>
      <c r="F103" s="3770"/>
      <c r="G103" s="3770"/>
      <c r="H103" s="3770"/>
      <c r="I103" s="3770"/>
      <c r="J103" s="3770"/>
      <c r="K103" s="3390"/>
      <c r="L103" s="3390"/>
      <c r="M103" s="3390"/>
      <c r="N103" s="3390"/>
    </row>
    <row r="104" spans="1:14">
      <c r="A104" s="3771" t="s">
        <v>3298</v>
      </c>
      <c r="B104" s="3771" t="s">
        <v>3299</v>
      </c>
      <c r="C104" s="3391" t="s">
        <v>3300</v>
      </c>
      <c r="D104" s="3392"/>
      <c r="E104" s="3392"/>
      <c r="F104" s="3392"/>
      <c r="G104" s="3392"/>
      <c r="H104" s="3392"/>
      <c r="I104" s="3392"/>
      <c r="J104" s="3393"/>
      <c r="K104" s="3394"/>
      <c r="L104" s="3394"/>
      <c r="M104" s="3394"/>
      <c r="N104" s="3394"/>
    </row>
    <row r="105" spans="1:14">
      <c r="A105" s="3771"/>
      <c r="B105" s="3771"/>
      <c r="C105" s="3395" t="s">
        <v>3301</v>
      </c>
      <c r="D105" s="3395" t="s">
        <v>3302</v>
      </c>
      <c r="E105" s="3395" t="s">
        <v>3303</v>
      </c>
      <c r="F105" s="3395" t="s">
        <v>3304</v>
      </c>
      <c r="G105" s="3395" t="s">
        <v>3305</v>
      </c>
      <c r="H105" s="3395" t="s">
        <v>3306</v>
      </c>
      <c r="I105" s="3395" t="s">
        <v>3307</v>
      </c>
      <c r="J105" s="3395" t="s">
        <v>3308</v>
      </c>
      <c r="K105" s="3395" t="s">
        <v>3309</v>
      </c>
      <c r="L105" s="3395" t="s">
        <v>3310</v>
      </c>
      <c r="M105" s="3395" t="s">
        <v>3311</v>
      </c>
      <c r="N105" s="3395" t="s">
        <v>3312</v>
      </c>
    </row>
    <row r="106" spans="1:14">
      <c r="A106" s="3757" t="s">
        <v>3313</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8"/>
      <c r="B111" s="3395" t="s">
        <v>3271</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60" t="s">
        <v>3314</v>
      </c>
      <c r="B113" s="3760"/>
      <c r="C113" s="3760"/>
      <c r="D113" s="3760"/>
      <c r="E113" s="3760"/>
      <c r="F113" s="3760"/>
      <c r="G113" s="3760"/>
      <c r="H113" s="3760"/>
      <c r="I113" s="3760"/>
      <c r="J113" s="376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3315</v>
      </c>
      <c r="B116" s="3416">
        <f>G3</f>
        <v>0</v>
      </c>
      <c r="C116" s="3400" t="s">
        <v>3316</v>
      </c>
      <c r="D116" s="3401">
        <f>SUMPRODUCT((A118:A122=F116)*(B117:M117=H116)*B118:M122)</f>
        <v>0</v>
      </c>
      <c r="E116" s="2000" t="s">
        <v>3317</v>
      </c>
      <c r="F116" s="3402">
        <f>E2</f>
        <v>0</v>
      </c>
      <c r="G116" s="2000" t="s">
        <v>3318</v>
      </c>
      <c r="H116" s="3402">
        <f>G2</f>
        <v>0</v>
      </c>
      <c r="I116" s="2000"/>
      <c r="J116" s="3403"/>
      <c r="K116" s="3403"/>
      <c r="L116" s="3403"/>
      <c r="M116" s="3403"/>
      <c r="N116" s="3398"/>
    </row>
    <row r="117" spans="1:14">
      <c r="A117" s="3404"/>
      <c r="B117" s="3405" t="s">
        <v>3319</v>
      </c>
      <c r="C117" s="3405" t="s">
        <v>3320</v>
      </c>
      <c r="D117" s="3405" t="s">
        <v>3321</v>
      </c>
      <c r="E117" s="3406" t="s">
        <v>3322</v>
      </c>
      <c r="F117" s="3406" t="s">
        <v>3323</v>
      </c>
      <c r="G117" s="3406" t="s">
        <v>3324</v>
      </c>
      <c r="H117" s="3407" t="s">
        <v>3325</v>
      </c>
      <c r="I117" s="3407" t="s">
        <v>3326</v>
      </c>
      <c r="J117" s="3408" t="s">
        <v>3327</v>
      </c>
      <c r="K117" s="3408" t="s">
        <v>3328</v>
      </c>
      <c r="L117" s="3408" t="s">
        <v>3329</v>
      </c>
      <c r="M117" s="3409" t="s">
        <v>3330</v>
      </c>
      <c r="N117" s="3398"/>
    </row>
    <row r="118" spans="1:14">
      <c r="A118" s="3410" t="s">
        <v>3331</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3332</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3333</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3334</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2615</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5" t="s">
        <v>2610</v>
      </c>
      <c r="B20" s="3780" t="s">
        <v>2631</v>
      </c>
      <c r="C20" s="3103" t="s">
        <v>2442</v>
      </c>
      <c r="D20" s="3104"/>
      <c r="E20" s="3105">
        <v>1</v>
      </c>
      <c r="F20" s="3106" t="s">
        <v>2443</v>
      </c>
      <c r="G20" s="3106"/>
    </row>
    <row r="21" spans="1:13" ht="19.5" customHeight="1">
      <c r="A21" s="3786"/>
      <c r="B21" s="3779"/>
      <c r="C21" s="3107" t="s">
        <v>2444</v>
      </c>
      <c r="D21" s="3108"/>
      <c r="E21" s="3109">
        <v>1</v>
      </c>
      <c r="F21" s="3106" t="s">
        <v>2445</v>
      </c>
      <c r="G21" s="3106"/>
    </row>
    <row r="22" spans="1:13" ht="19.5" customHeight="1">
      <c r="A22" s="3786"/>
      <c r="B22" s="3779"/>
      <c r="C22" s="3107" t="s">
        <v>2446</v>
      </c>
      <c r="D22" s="3108"/>
      <c r="E22" s="3109">
        <v>0.9</v>
      </c>
      <c r="F22" s="3106" t="s">
        <v>2447</v>
      </c>
      <c r="G22" s="3106"/>
    </row>
    <row r="23" spans="1:13" ht="19.5" customHeight="1">
      <c r="A23" s="3786"/>
      <c r="B23" s="3779"/>
      <c r="C23" s="3107" t="s">
        <v>2448</v>
      </c>
      <c r="D23" s="3108"/>
      <c r="E23" s="3109">
        <v>0.9</v>
      </c>
      <c r="F23" s="3106" t="s">
        <v>2449</v>
      </c>
      <c r="G23" s="3106"/>
    </row>
    <row r="24" spans="1:13" ht="19.5" customHeight="1">
      <c r="A24" s="3786"/>
      <c r="B24" s="3779"/>
      <c r="C24" s="3107" t="s">
        <v>2450</v>
      </c>
      <c r="D24" s="3108"/>
      <c r="E24" s="3109">
        <v>0.8</v>
      </c>
      <c r="F24" s="3106" t="s">
        <v>2451</v>
      </c>
      <c r="G24" s="3106"/>
    </row>
    <row r="25" spans="1:13" ht="19.5" customHeight="1" thickBot="1">
      <c r="A25" s="3787"/>
      <c r="B25" s="3781"/>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82" t="s">
        <v>2634</v>
      </c>
      <c r="B27" s="3780" t="s">
        <v>2615</v>
      </c>
      <c r="C27" s="3103" t="s">
        <v>2455</v>
      </c>
      <c r="D27" s="3104"/>
      <c r="E27" s="3105">
        <v>1</v>
      </c>
      <c r="F27" s="3106" t="s">
        <v>2456</v>
      </c>
      <c r="G27" s="3106"/>
    </row>
    <row r="28" spans="1:13" ht="19.5" customHeight="1">
      <c r="A28" s="3783"/>
      <c r="B28" s="3779"/>
      <c r="C28" s="3107" t="s">
        <v>2457</v>
      </c>
      <c r="D28" s="3108"/>
      <c r="E28" s="3109">
        <v>1</v>
      </c>
      <c r="F28" s="3106" t="s">
        <v>2458</v>
      </c>
      <c r="G28" s="3106"/>
    </row>
    <row r="29" spans="1:13" ht="19.5" customHeight="1">
      <c r="A29" s="3783"/>
      <c r="B29" s="3779"/>
      <c r="C29" s="3107" t="s">
        <v>2459</v>
      </c>
      <c r="D29" s="3108"/>
      <c r="E29" s="3109">
        <v>0.8</v>
      </c>
      <c r="F29" s="3106" t="s">
        <v>2460</v>
      </c>
      <c r="G29" s="3106"/>
    </row>
    <row r="30" spans="1:13" ht="19.5" customHeight="1">
      <c r="A30" s="3783"/>
      <c r="B30" s="3779"/>
      <c r="C30" s="3107" t="s">
        <v>2461</v>
      </c>
      <c r="D30" s="3108"/>
      <c r="E30" s="3109">
        <v>0.8</v>
      </c>
      <c r="F30" s="3106" t="s">
        <v>2462</v>
      </c>
      <c r="G30" s="3106"/>
    </row>
    <row r="31" spans="1:13" ht="19.5" customHeight="1">
      <c r="A31" s="3783"/>
      <c r="B31" s="3779"/>
      <c r="C31" s="3107" t="s">
        <v>2463</v>
      </c>
      <c r="D31" s="3108"/>
      <c r="E31" s="3109">
        <v>0.8</v>
      </c>
      <c r="F31" s="3106" t="s">
        <v>2464</v>
      </c>
      <c r="G31" s="3106"/>
    </row>
    <row r="32" spans="1:13" ht="19.5" customHeight="1">
      <c r="A32" s="3783"/>
      <c r="B32" s="3779"/>
      <c r="C32" s="3107" t="s">
        <v>2465</v>
      </c>
      <c r="D32" s="3108"/>
      <c r="E32" s="3109">
        <v>0.7</v>
      </c>
      <c r="F32" s="3106" t="s">
        <v>2466</v>
      </c>
      <c r="G32" s="3106"/>
    </row>
    <row r="33" spans="1:7" ht="19.5" customHeight="1">
      <c r="A33" s="3783"/>
      <c r="B33" s="3779"/>
      <c r="C33" s="3107" t="s">
        <v>2467</v>
      </c>
      <c r="D33" s="3108"/>
      <c r="E33" s="3109">
        <v>0.8</v>
      </c>
      <c r="F33" s="3106" t="s">
        <v>2468</v>
      </c>
      <c r="G33" s="3106"/>
    </row>
    <row r="34" spans="1:7" ht="19.5" customHeight="1">
      <c r="A34" s="3783"/>
      <c r="B34" s="3779"/>
      <c r="C34" s="3107" t="s">
        <v>2469</v>
      </c>
      <c r="D34" s="3108"/>
      <c r="E34" s="3109">
        <v>0.6</v>
      </c>
      <c r="F34" s="3106" t="s">
        <v>2470</v>
      </c>
      <c r="G34" s="3106"/>
    </row>
    <row r="35" spans="1:7" ht="19.5" customHeight="1">
      <c r="A35" s="3783"/>
      <c r="B35" s="3779"/>
      <c r="C35" s="3107" t="s">
        <v>2471</v>
      </c>
      <c r="D35" s="3108"/>
      <c r="E35" s="3109">
        <v>0.2</v>
      </c>
      <c r="F35" s="3106" t="s">
        <v>2472</v>
      </c>
      <c r="G35" s="3106"/>
    </row>
    <row r="36" spans="1:7" ht="19.5" customHeight="1">
      <c r="A36" s="3783"/>
      <c r="B36" s="3779"/>
      <c r="C36" s="3107" t="s">
        <v>2473</v>
      </c>
      <c r="D36" s="3108"/>
      <c r="E36" s="3109">
        <v>0.2</v>
      </c>
      <c r="F36" s="3106" t="s">
        <v>2474</v>
      </c>
      <c r="G36" s="3106"/>
    </row>
    <row r="37" spans="1:7" ht="19.5" customHeight="1">
      <c r="A37" s="3783"/>
      <c r="B37" s="3777" t="s">
        <v>2635</v>
      </c>
      <c r="C37" s="3107" t="s">
        <v>2475</v>
      </c>
      <c r="D37" s="3108"/>
      <c r="E37" s="3109">
        <v>0.6</v>
      </c>
      <c r="F37" s="3106" t="s">
        <v>2476</v>
      </c>
      <c r="G37" s="3106"/>
    </row>
    <row r="38" spans="1:7" ht="19.5" customHeight="1">
      <c r="A38" s="3783"/>
      <c r="B38" s="3779"/>
      <c r="C38" s="3107" t="s">
        <v>2477</v>
      </c>
      <c r="D38" s="3108"/>
      <c r="E38" s="3109">
        <v>0.6</v>
      </c>
      <c r="F38" s="3106" t="s">
        <v>2478</v>
      </c>
      <c r="G38" s="3106"/>
    </row>
    <row r="39" spans="1:7" ht="19.5" customHeight="1" thickBot="1">
      <c r="A39" s="3784"/>
      <c r="B39" s="3781"/>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5" t="s">
        <v>2613</v>
      </c>
      <c r="B41" s="3780" t="s">
        <v>2637</v>
      </c>
      <c r="C41" s="3103" t="s">
        <v>2482</v>
      </c>
      <c r="D41" s="3104"/>
      <c r="E41" s="3105">
        <v>1</v>
      </c>
      <c r="F41" s="3106" t="s">
        <v>2483</v>
      </c>
      <c r="G41" s="3106"/>
    </row>
    <row r="42" spans="1:7" ht="19.5" customHeight="1">
      <c r="A42" s="3786"/>
      <c r="B42" s="3779"/>
      <c r="C42" s="3107" t="s">
        <v>2484</v>
      </c>
      <c r="D42" s="3108"/>
      <c r="E42" s="3109">
        <v>1</v>
      </c>
      <c r="F42" s="3106" t="s">
        <v>2485</v>
      </c>
      <c r="G42" s="3106"/>
    </row>
    <row r="43" spans="1:7" ht="19.5" customHeight="1">
      <c r="A43" s="3786"/>
      <c r="B43" s="3778"/>
      <c r="C43" s="3107" t="s">
        <v>2486</v>
      </c>
      <c r="D43" s="3108"/>
      <c r="E43" s="3109">
        <v>1.5</v>
      </c>
      <c r="F43" s="3106" t="s">
        <v>2487</v>
      </c>
      <c r="G43" s="3106"/>
    </row>
    <row r="44" spans="1:7" ht="19.5" customHeight="1">
      <c r="A44" s="3786"/>
      <c r="B44" s="3118" t="s">
        <v>2638</v>
      </c>
      <c r="C44" s="3107" t="s">
        <v>2639</v>
      </c>
      <c r="D44" s="3108"/>
      <c r="E44" s="3109">
        <v>2</v>
      </c>
      <c r="F44" s="3106" t="s">
        <v>2488</v>
      </c>
      <c r="G44" s="3106"/>
    </row>
    <row r="45" spans="1:7" ht="19.5" customHeight="1">
      <c r="A45" s="3786"/>
      <c r="B45" s="3777" t="s">
        <v>2640</v>
      </c>
      <c r="C45" s="3107" t="s">
        <v>2489</v>
      </c>
      <c r="D45" s="3108"/>
      <c r="E45" s="3109">
        <v>1</v>
      </c>
      <c r="F45" s="3106" t="s">
        <v>2490</v>
      </c>
      <c r="G45" s="3106"/>
    </row>
    <row r="46" spans="1:7" ht="19.5" customHeight="1">
      <c r="A46" s="3786"/>
      <c r="B46" s="3779"/>
      <c r="C46" s="3107" t="s">
        <v>2491</v>
      </c>
      <c r="D46" s="3108"/>
      <c r="E46" s="3109">
        <v>1</v>
      </c>
      <c r="F46" s="3106" t="s">
        <v>2492</v>
      </c>
      <c r="G46" s="3106"/>
    </row>
    <row r="47" spans="1:7" ht="19.5" customHeight="1">
      <c r="A47" s="3786"/>
      <c r="B47" s="3779"/>
      <c r="C47" s="3107" t="s">
        <v>2493</v>
      </c>
      <c r="D47" s="3108"/>
      <c r="E47" s="3109">
        <v>1</v>
      </c>
      <c r="F47" s="3106" t="s">
        <v>2494</v>
      </c>
      <c r="G47" s="3106"/>
    </row>
    <row r="48" spans="1:7" ht="19.5" customHeight="1">
      <c r="A48" s="3786"/>
      <c r="B48" s="3779"/>
      <c r="C48" s="3107" t="s">
        <v>2495</v>
      </c>
      <c r="D48" s="3108"/>
      <c r="E48" s="3109">
        <v>1</v>
      </c>
      <c r="F48" s="3106" t="s">
        <v>2496</v>
      </c>
      <c r="G48" s="3106"/>
    </row>
    <row r="49" spans="1:7" ht="19.5" customHeight="1">
      <c r="A49" s="3786"/>
      <c r="B49" s="3779"/>
      <c r="C49" s="3107" t="s">
        <v>2497</v>
      </c>
      <c r="D49" s="3108"/>
      <c r="E49" s="3109">
        <v>1</v>
      </c>
      <c r="F49" s="3106" t="s">
        <v>2498</v>
      </c>
      <c r="G49" s="3106"/>
    </row>
    <row r="50" spans="1:7" ht="19.5" customHeight="1">
      <c r="A50" s="3786"/>
      <c r="B50" s="3779"/>
      <c r="C50" s="3107" t="s">
        <v>2499</v>
      </c>
      <c r="D50" s="3108"/>
      <c r="E50" s="3109">
        <v>1</v>
      </c>
      <c r="F50" s="3106" t="s">
        <v>2500</v>
      </c>
      <c r="G50" s="3106"/>
    </row>
    <row r="51" spans="1:7" ht="19.5" customHeight="1" thickBot="1">
      <c r="A51" s="3787"/>
      <c r="B51" s="3781"/>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77" t="s">
        <v>2654</v>
      </c>
      <c r="C73" s="3092" t="s">
        <v>2655</v>
      </c>
      <c r="D73" s="3092" t="s">
        <v>2656</v>
      </c>
      <c r="E73" s="3118">
        <v>0.2</v>
      </c>
      <c r="F73" s="3118">
        <v>25</v>
      </c>
    </row>
    <row r="74" spans="1:7" ht="24">
      <c r="A74" s="3118">
        <v>2</v>
      </c>
      <c r="B74" s="3779"/>
      <c r="C74" s="3092" t="s">
        <v>2657</v>
      </c>
      <c r="D74" s="3092" t="s">
        <v>2658</v>
      </c>
      <c r="E74" s="3118">
        <v>0.2</v>
      </c>
      <c r="F74" s="3118">
        <v>25</v>
      </c>
    </row>
    <row r="75" spans="1:7" ht="24">
      <c r="A75" s="3118">
        <v>3</v>
      </c>
      <c r="B75" s="3779"/>
      <c r="C75" s="3092" t="s">
        <v>2659</v>
      </c>
      <c r="D75" s="3092" t="s">
        <v>2660</v>
      </c>
      <c r="E75" s="3118">
        <v>0.2</v>
      </c>
      <c r="F75" s="3118">
        <v>25</v>
      </c>
    </row>
    <row r="76" spans="1:7" ht="13.5">
      <c r="A76" s="3118">
        <v>4</v>
      </c>
      <c r="B76" s="3779"/>
      <c r="C76" s="3092" t="s">
        <v>2661</v>
      </c>
      <c r="D76" s="3092" t="s">
        <v>2662</v>
      </c>
      <c r="E76" s="3118">
        <v>0.15</v>
      </c>
      <c r="F76" s="3118">
        <v>20</v>
      </c>
    </row>
    <row r="77" spans="1:7" ht="24">
      <c r="A77" s="3118">
        <v>5</v>
      </c>
      <c r="B77" s="3779"/>
      <c r="C77" s="3092" t="s">
        <v>2663</v>
      </c>
      <c r="D77" s="3092" t="s">
        <v>2664</v>
      </c>
      <c r="E77" s="3118">
        <v>0.15</v>
      </c>
      <c r="F77" s="3118">
        <v>20</v>
      </c>
    </row>
    <row r="78" spans="1:7" ht="24">
      <c r="A78" s="3118">
        <v>6</v>
      </c>
      <c r="B78" s="3779"/>
      <c r="C78" s="3092" t="s">
        <v>2665</v>
      </c>
      <c r="D78" s="3092" t="s">
        <v>2666</v>
      </c>
      <c r="E78" s="3118">
        <v>0.15</v>
      </c>
      <c r="F78" s="3118">
        <v>20</v>
      </c>
    </row>
    <row r="79" spans="1:7" ht="24">
      <c r="A79" s="3118">
        <v>7</v>
      </c>
      <c r="B79" s="3779"/>
      <c r="C79" s="3092" t="s">
        <v>2667</v>
      </c>
      <c r="D79" s="3092" t="s">
        <v>2668</v>
      </c>
      <c r="E79" s="3118">
        <v>0.15</v>
      </c>
      <c r="F79" s="3118">
        <v>20</v>
      </c>
    </row>
    <row r="80" spans="1:7" ht="24">
      <c r="A80" s="3118">
        <v>8</v>
      </c>
      <c r="B80" s="3779"/>
      <c r="C80" s="3092" t="s">
        <v>2669</v>
      </c>
      <c r="D80" s="3092" t="s">
        <v>2670</v>
      </c>
      <c r="E80" s="3118">
        <v>0.1</v>
      </c>
      <c r="F80" s="3118">
        <v>15</v>
      </c>
    </row>
    <row r="81" spans="1:6" ht="24">
      <c r="A81" s="3118">
        <v>9</v>
      </c>
      <c r="B81" s="3779"/>
      <c r="C81" s="3092" t="s">
        <v>2671</v>
      </c>
      <c r="D81" s="3092" t="s">
        <v>2672</v>
      </c>
      <c r="E81" s="3118">
        <v>0.1</v>
      </c>
      <c r="F81" s="3118">
        <v>15</v>
      </c>
    </row>
    <row r="82" spans="1:6" ht="24">
      <c r="A82" s="3118">
        <v>10</v>
      </c>
      <c r="B82" s="3779"/>
      <c r="C82" s="3092" t="s">
        <v>2673</v>
      </c>
      <c r="D82" s="3092" t="s">
        <v>2674</v>
      </c>
      <c r="E82" s="3118">
        <v>0.1</v>
      </c>
      <c r="F82" s="3118">
        <v>15</v>
      </c>
    </row>
    <row r="83" spans="1:6" ht="24">
      <c r="A83" s="3118">
        <v>11</v>
      </c>
      <c r="B83" s="3779"/>
      <c r="C83" s="3092" t="s">
        <v>2675</v>
      </c>
      <c r="D83" s="3092" t="s">
        <v>2676</v>
      </c>
      <c r="E83" s="3118">
        <v>0.1</v>
      </c>
      <c r="F83" s="3118">
        <v>15</v>
      </c>
    </row>
    <row r="84" spans="1:6" ht="24">
      <c r="A84" s="3118">
        <v>12</v>
      </c>
      <c r="B84" s="3779"/>
      <c r="C84" s="3092" t="s">
        <v>2677</v>
      </c>
      <c r="D84" s="3092" t="s">
        <v>2678</v>
      </c>
      <c r="E84" s="3118">
        <v>0.1</v>
      </c>
      <c r="F84" s="3118">
        <v>15</v>
      </c>
    </row>
    <row r="85" spans="1:6" ht="13.5">
      <c r="A85" s="3118">
        <v>13</v>
      </c>
      <c r="B85" s="3779"/>
      <c r="C85" s="3092" t="s">
        <v>2679</v>
      </c>
      <c r="D85" s="3092" t="s">
        <v>2680</v>
      </c>
      <c r="E85" s="3118">
        <v>0.1</v>
      </c>
      <c r="F85" s="3118">
        <v>15</v>
      </c>
    </row>
    <row r="86" spans="1:6" ht="13.5">
      <c r="A86" s="3118">
        <v>14</v>
      </c>
      <c r="B86" s="3779"/>
      <c r="C86" s="3092" t="s">
        <v>2681</v>
      </c>
      <c r="D86" s="3092" t="s">
        <v>2682</v>
      </c>
      <c r="E86" s="3118">
        <v>0.1</v>
      </c>
      <c r="F86" s="3118">
        <v>15</v>
      </c>
    </row>
    <row r="87" spans="1:6" ht="13.5">
      <c r="A87" s="3118">
        <v>15</v>
      </c>
      <c r="B87" s="3779"/>
      <c r="C87" s="3092" t="s">
        <v>2683</v>
      </c>
      <c r="D87" s="3092" t="s">
        <v>2684</v>
      </c>
      <c r="E87" s="3118">
        <v>0.1</v>
      </c>
      <c r="F87" s="3118">
        <v>15</v>
      </c>
    </row>
    <row r="88" spans="1:6" ht="24">
      <c r="A88" s="3118">
        <v>16</v>
      </c>
      <c r="B88" s="3779"/>
      <c r="C88" s="3092" t="s">
        <v>2685</v>
      </c>
      <c r="D88" s="3092" t="s">
        <v>2686</v>
      </c>
      <c r="E88" s="3118">
        <v>0.1</v>
      </c>
      <c r="F88" s="3118">
        <v>15</v>
      </c>
    </row>
    <row r="89" spans="1:6" ht="24">
      <c r="A89" s="3118">
        <v>17</v>
      </c>
      <c r="B89" s="3778"/>
      <c r="C89" s="3092" t="s">
        <v>2687</v>
      </c>
      <c r="D89" s="3092" t="s">
        <v>2688</v>
      </c>
      <c r="E89" s="3118">
        <v>0.1</v>
      </c>
      <c r="F89" s="3118">
        <v>15</v>
      </c>
    </row>
    <row r="90" spans="1:6" ht="13.5">
      <c r="A90" s="3118">
        <v>18</v>
      </c>
      <c r="B90" s="3777" t="s">
        <v>2689</v>
      </c>
      <c r="C90" s="3092" t="s">
        <v>2690</v>
      </c>
      <c r="D90" s="3092" t="s">
        <v>2691</v>
      </c>
      <c r="E90" s="3118">
        <v>0.2</v>
      </c>
      <c r="F90" s="3118">
        <v>25</v>
      </c>
    </row>
    <row r="91" spans="1:6" ht="24">
      <c r="A91" s="3118">
        <v>19</v>
      </c>
      <c r="B91" s="3779"/>
      <c r="C91" s="3092" t="s">
        <v>2692</v>
      </c>
      <c r="D91" s="3092" t="s">
        <v>2693</v>
      </c>
      <c r="E91" s="3118">
        <v>0.2</v>
      </c>
      <c r="F91" s="3118">
        <v>25</v>
      </c>
    </row>
    <row r="92" spans="1:6" ht="13.5">
      <c r="A92" s="3118">
        <v>20</v>
      </c>
      <c r="B92" s="3779"/>
      <c r="C92" s="3092" t="s">
        <v>2694</v>
      </c>
      <c r="D92" s="3092" t="s">
        <v>2695</v>
      </c>
      <c r="E92" s="3118">
        <v>0.15</v>
      </c>
      <c r="F92" s="3118">
        <v>20</v>
      </c>
    </row>
    <row r="93" spans="1:6" ht="13.5">
      <c r="A93" s="3118">
        <v>21</v>
      </c>
      <c r="B93" s="3779"/>
      <c r="C93" s="3092" t="s">
        <v>2696</v>
      </c>
      <c r="D93" s="3092" t="s">
        <v>2697</v>
      </c>
      <c r="E93" s="3118">
        <v>0.15</v>
      </c>
      <c r="F93" s="3118">
        <v>20</v>
      </c>
    </row>
    <row r="94" spans="1:6" ht="13.5">
      <c r="A94" s="3118">
        <v>22</v>
      </c>
      <c r="B94" s="3779"/>
      <c r="C94" s="3092" t="s">
        <v>2698</v>
      </c>
      <c r="D94" s="3092" t="s">
        <v>2699</v>
      </c>
      <c r="E94" s="3118">
        <v>0.15</v>
      </c>
      <c r="F94" s="3118">
        <v>20</v>
      </c>
    </row>
    <row r="95" spans="1:6" ht="36">
      <c r="A95" s="3118">
        <v>23</v>
      </c>
      <c r="B95" s="3779"/>
      <c r="C95" s="3092" t="s">
        <v>2700</v>
      </c>
      <c r="D95" s="3092" t="s">
        <v>2701</v>
      </c>
      <c r="E95" s="3118">
        <v>0.15</v>
      </c>
      <c r="F95" s="3118">
        <v>20</v>
      </c>
    </row>
    <row r="96" spans="1:6" ht="13.5">
      <c r="A96" s="3118">
        <v>24</v>
      </c>
      <c r="B96" s="3779"/>
      <c r="C96" s="3092" t="s">
        <v>2702</v>
      </c>
      <c r="D96" s="3092" t="s">
        <v>2703</v>
      </c>
      <c r="E96" s="3118">
        <v>0.1</v>
      </c>
      <c r="F96" s="3118">
        <v>15</v>
      </c>
    </row>
    <row r="97" spans="1:6" ht="13.5">
      <c r="A97" s="3118">
        <v>25</v>
      </c>
      <c r="B97" s="3779"/>
      <c r="C97" s="3092" t="s">
        <v>2704</v>
      </c>
      <c r="D97" s="3092" t="s">
        <v>2705</v>
      </c>
      <c r="E97" s="3118">
        <v>0.1</v>
      </c>
      <c r="F97" s="3118">
        <v>15</v>
      </c>
    </row>
    <row r="98" spans="1:6" ht="24">
      <c r="A98" s="3118">
        <v>26</v>
      </c>
      <c r="B98" s="3779"/>
      <c r="C98" s="3092" t="s">
        <v>2706</v>
      </c>
      <c r="D98" s="3092" t="s">
        <v>2707</v>
      </c>
      <c r="E98" s="3118">
        <v>0.1</v>
      </c>
      <c r="F98" s="3118">
        <v>15</v>
      </c>
    </row>
    <row r="99" spans="1:6" ht="24">
      <c r="A99" s="3118">
        <v>27</v>
      </c>
      <c r="B99" s="3779"/>
      <c r="C99" s="3092" t="s">
        <v>2708</v>
      </c>
      <c r="D99" s="3092" t="s">
        <v>2709</v>
      </c>
      <c r="E99" s="3118">
        <v>0.1</v>
      </c>
      <c r="F99" s="3118">
        <v>15</v>
      </c>
    </row>
    <row r="100" spans="1:6" ht="13.5">
      <c r="A100" s="3118">
        <v>28</v>
      </c>
      <c r="B100" s="3779"/>
      <c r="C100" s="3092" t="s">
        <v>2710</v>
      </c>
      <c r="D100" s="3092" t="s">
        <v>2711</v>
      </c>
      <c r="E100" s="3118">
        <v>0.1</v>
      </c>
      <c r="F100" s="3118">
        <v>15</v>
      </c>
    </row>
    <row r="101" spans="1:6" ht="13.5">
      <c r="A101" s="3118">
        <v>29</v>
      </c>
      <c r="B101" s="3779"/>
      <c r="C101" s="3092" t="s">
        <v>2712</v>
      </c>
      <c r="D101" s="3092" t="s">
        <v>2713</v>
      </c>
      <c r="E101" s="3118">
        <v>0.1</v>
      </c>
      <c r="F101" s="3118">
        <v>15</v>
      </c>
    </row>
    <row r="102" spans="1:6" ht="13.5">
      <c r="A102" s="3118">
        <v>30</v>
      </c>
      <c r="B102" s="3779"/>
      <c r="C102" s="3092" t="s">
        <v>2714</v>
      </c>
      <c r="D102" s="3092" t="s">
        <v>2715</v>
      </c>
      <c r="E102" s="3118">
        <v>0.1</v>
      </c>
      <c r="F102" s="3118">
        <v>15</v>
      </c>
    </row>
    <row r="103" spans="1:6" ht="24">
      <c r="A103" s="3118">
        <v>31</v>
      </c>
      <c r="B103" s="3779"/>
      <c r="C103" s="3092" t="s">
        <v>2716</v>
      </c>
      <c r="D103" s="3092" t="s">
        <v>2717</v>
      </c>
      <c r="E103" s="3118">
        <v>0.1</v>
      </c>
      <c r="F103" s="3118">
        <v>15</v>
      </c>
    </row>
    <row r="104" spans="1:6" ht="24">
      <c r="A104" s="3118">
        <v>32</v>
      </c>
      <c r="B104" s="3779"/>
      <c r="C104" s="3092" t="s">
        <v>2718</v>
      </c>
      <c r="D104" s="3092" t="s">
        <v>2719</v>
      </c>
      <c r="E104" s="3118">
        <v>0.1</v>
      </c>
      <c r="F104" s="3118">
        <v>15</v>
      </c>
    </row>
    <row r="105" spans="1:6" ht="24">
      <c r="A105" s="3118">
        <v>33</v>
      </c>
      <c r="B105" s="3779"/>
      <c r="C105" s="3092" t="s">
        <v>2720</v>
      </c>
      <c r="D105" s="3092" t="s">
        <v>2721</v>
      </c>
      <c r="E105" s="3118">
        <v>0.1</v>
      </c>
      <c r="F105" s="3118">
        <v>15</v>
      </c>
    </row>
    <row r="106" spans="1:6" ht="24">
      <c r="A106" s="3118">
        <v>34</v>
      </c>
      <c r="B106" s="3778"/>
      <c r="C106" s="3092" t="s">
        <v>2722</v>
      </c>
      <c r="D106" s="3092" t="s">
        <v>2723</v>
      </c>
      <c r="E106" s="3118">
        <v>0.1</v>
      </c>
      <c r="F106" s="3118">
        <v>15</v>
      </c>
    </row>
    <row r="107" spans="1:6" ht="24">
      <c r="A107" s="3118">
        <v>35</v>
      </c>
      <c r="B107" s="3777" t="s">
        <v>2724</v>
      </c>
      <c r="C107" s="3118" t="s">
        <v>2725</v>
      </c>
      <c r="D107" s="3092" t="s">
        <v>2726</v>
      </c>
      <c r="E107" s="3118">
        <v>0.15</v>
      </c>
      <c r="F107" s="3118">
        <v>20</v>
      </c>
    </row>
    <row r="108" spans="1:6" ht="13.5">
      <c r="A108" s="3118">
        <v>36</v>
      </c>
      <c r="B108" s="3779"/>
      <c r="C108" s="3118" t="s">
        <v>2727</v>
      </c>
      <c r="D108" s="3092" t="s">
        <v>2728</v>
      </c>
      <c r="E108" s="3118">
        <v>0.15</v>
      </c>
      <c r="F108" s="3118">
        <v>20</v>
      </c>
    </row>
    <row r="109" spans="1:6" ht="13.5">
      <c r="A109" s="3118">
        <v>37</v>
      </c>
      <c r="B109" s="3779"/>
      <c r="C109" s="3118" t="s">
        <v>2729</v>
      </c>
      <c r="D109" s="3092" t="s">
        <v>2730</v>
      </c>
      <c r="E109" s="3118">
        <v>0.15</v>
      </c>
      <c r="F109" s="3118">
        <v>20</v>
      </c>
    </row>
    <row r="110" spans="1:6" ht="13.5">
      <c r="A110" s="3118">
        <v>38</v>
      </c>
      <c r="B110" s="3779"/>
      <c r="C110" s="3118" t="s">
        <v>2731</v>
      </c>
      <c r="D110" s="3092" t="s">
        <v>2732</v>
      </c>
      <c r="E110" s="3118">
        <v>0.1</v>
      </c>
      <c r="F110" s="3118">
        <v>15</v>
      </c>
    </row>
    <row r="111" spans="1:6" ht="24">
      <c r="A111" s="3118">
        <v>39</v>
      </c>
      <c r="B111" s="3779"/>
      <c r="C111" s="3118" t="s">
        <v>2733</v>
      </c>
      <c r="D111" s="3092" t="s">
        <v>2734</v>
      </c>
      <c r="E111" s="3118">
        <v>0.1</v>
      </c>
      <c r="F111" s="3118">
        <v>15</v>
      </c>
    </row>
    <row r="112" spans="1:6" ht="24">
      <c r="A112" s="3118">
        <v>40</v>
      </c>
      <c r="B112" s="3778"/>
      <c r="C112" s="3118" t="s">
        <v>2735</v>
      </c>
      <c r="D112" s="3092" t="s">
        <v>2736</v>
      </c>
      <c r="E112" s="3118">
        <v>0.1</v>
      </c>
      <c r="F112" s="3118">
        <v>15</v>
      </c>
    </row>
    <row r="113" spans="1:6" ht="13.5">
      <c r="A113" s="3118">
        <v>41</v>
      </c>
      <c r="B113" s="3776" t="s">
        <v>2737</v>
      </c>
      <c r="C113" s="3118" t="s">
        <v>2738</v>
      </c>
      <c r="D113" s="3092" t="s">
        <v>2739</v>
      </c>
      <c r="E113" s="3118">
        <v>0.1</v>
      </c>
      <c r="F113" s="3118">
        <v>15</v>
      </c>
    </row>
    <row r="114" spans="1:6" ht="13.5">
      <c r="A114" s="3118">
        <v>42</v>
      </c>
      <c r="B114" s="3776"/>
      <c r="C114" s="3118" t="s">
        <v>2740</v>
      </c>
      <c r="D114" s="3092" t="s">
        <v>2741</v>
      </c>
      <c r="E114" s="3118">
        <v>0.1</v>
      </c>
      <c r="F114" s="3118">
        <v>15</v>
      </c>
    </row>
    <row r="115" spans="1:6" ht="24">
      <c r="A115" s="3118">
        <v>43</v>
      </c>
      <c r="B115" s="3776"/>
      <c r="C115" s="3118" t="s">
        <v>2742</v>
      </c>
      <c r="D115" s="3092" t="s">
        <v>2743</v>
      </c>
      <c r="E115" s="3118">
        <v>0.1</v>
      </c>
      <c r="F115" s="3118">
        <v>15</v>
      </c>
    </row>
    <row r="116" spans="1:6" ht="13.5">
      <c r="A116" s="3118">
        <v>44</v>
      </c>
      <c r="B116" s="3777" t="s">
        <v>2744</v>
      </c>
      <c r="C116" s="3118" t="s">
        <v>2745</v>
      </c>
      <c r="D116" s="3092" t="s">
        <v>2746</v>
      </c>
      <c r="E116" s="3118">
        <v>0.1</v>
      </c>
      <c r="F116" s="3118">
        <v>15</v>
      </c>
    </row>
    <row r="117" spans="1:6" ht="24">
      <c r="A117" s="3118">
        <v>45</v>
      </c>
      <c r="B117" s="3778"/>
      <c r="C117" s="3092" t="s">
        <v>2747</v>
      </c>
      <c r="D117" s="3092" t="s">
        <v>2748</v>
      </c>
      <c r="E117" s="3118">
        <v>0.1</v>
      </c>
      <c r="F117" s="3118">
        <v>15</v>
      </c>
    </row>
    <row r="118" spans="1:6" ht="24">
      <c r="A118" s="3118">
        <v>46</v>
      </c>
      <c r="B118" s="3777" t="s">
        <v>2749</v>
      </c>
      <c r="C118" s="3118" t="s">
        <v>2750</v>
      </c>
      <c r="D118" s="3092" t="s">
        <v>2751</v>
      </c>
      <c r="E118" s="3118">
        <v>0.1</v>
      </c>
      <c r="F118" s="3118">
        <v>15</v>
      </c>
    </row>
    <row r="119" spans="1:6" ht="24">
      <c r="A119" s="3118">
        <v>47</v>
      </c>
      <c r="B119" s="3778"/>
      <c r="C119" s="3118" t="s">
        <v>2752</v>
      </c>
      <c r="D119" s="3092" t="s">
        <v>2753</v>
      </c>
      <c r="E119" s="3118">
        <v>0.1</v>
      </c>
      <c r="F119" s="3118">
        <v>15</v>
      </c>
    </row>
    <row r="120" spans="1:6" ht="13.5">
      <c r="A120" s="3118">
        <v>48</v>
      </c>
      <c r="B120" s="3777" t="s">
        <v>2754</v>
      </c>
      <c r="C120" s="3118" t="s">
        <v>2755</v>
      </c>
      <c r="D120" s="3092" t="s">
        <v>2756</v>
      </c>
      <c r="E120" s="3118">
        <v>0.1</v>
      </c>
      <c r="F120" s="3118">
        <v>15</v>
      </c>
    </row>
    <row r="121" spans="1:6" ht="13.5">
      <c r="A121" s="3118">
        <v>49</v>
      </c>
      <c r="B121" s="3778"/>
      <c r="C121" s="3118" t="s">
        <v>2757</v>
      </c>
      <c r="D121" s="3092" t="s">
        <v>2758</v>
      </c>
      <c r="E121" s="3118">
        <v>0.1</v>
      </c>
      <c r="F121" s="3118">
        <v>15</v>
      </c>
    </row>
    <row r="122" spans="1:6" ht="24">
      <c r="A122" s="3118">
        <v>50</v>
      </c>
      <c r="B122" s="3776" t="s">
        <v>2759</v>
      </c>
      <c r="C122" s="3118" t="s">
        <v>2760</v>
      </c>
      <c r="D122" s="3092" t="s">
        <v>2761</v>
      </c>
      <c r="E122" s="3118">
        <v>0.1</v>
      </c>
      <c r="F122" s="3118">
        <v>15</v>
      </c>
    </row>
    <row r="123" spans="1:6" ht="24">
      <c r="A123" s="3118">
        <v>51</v>
      </c>
      <c r="B123" s="3776"/>
      <c r="C123" s="3118" t="s">
        <v>2762</v>
      </c>
      <c r="D123" s="3092" t="s">
        <v>2763</v>
      </c>
      <c r="E123" s="3118">
        <v>0.1</v>
      </c>
      <c r="F123" s="3118">
        <v>15</v>
      </c>
    </row>
    <row r="124" spans="1:6" ht="24">
      <c r="A124" s="3118">
        <v>52</v>
      </c>
      <c r="B124" s="3776" t="s">
        <v>2764</v>
      </c>
      <c r="C124" s="3118" t="s">
        <v>2765</v>
      </c>
      <c r="D124" s="3092" t="s">
        <v>2766</v>
      </c>
      <c r="E124" s="3118">
        <v>0.1</v>
      </c>
      <c r="F124" s="3118">
        <v>15</v>
      </c>
    </row>
    <row r="125" spans="1:6" ht="24">
      <c r="A125" s="3118">
        <v>53</v>
      </c>
      <c r="B125" s="3776"/>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76" t="s">
        <v>2772</v>
      </c>
      <c r="C127" s="3118" t="s">
        <v>2773</v>
      </c>
      <c r="D127" s="3092" t="s">
        <v>2774</v>
      </c>
      <c r="E127" s="3118">
        <v>0.1</v>
      </c>
      <c r="F127" s="3118">
        <v>15</v>
      </c>
    </row>
    <row r="128" spans="1:6" ht="13.5">
      <c r="A128" s="3118">
        <v>56</v>
      </c>
      <c r="B128" s="3776"/>
      <c r="C128" s="3118" t="s">
        <v>2775</v>
      </c>
      <c r="D128" s="3092" t="s">
        <v>2776</v>
      </c>
      <c r="E128" s="3118">
        <v>0.1</v>
      </c>
      <c r="F128" s="3118">
        <v>15</v>
      </c>
    </row>
    <row r="129" spans="1:6" ht="24">
      <c r="A129" s="3118">
        <v>57</v>
      </c>
      <c r="B129" s="3776"/>
      <c r="C129" s="3118" t="s">
        <v>2777</v>
      </c>
      <c r="D129" s="3092" t="s">
        <v>2778</v>
      </c>
      <c r="E129" s="3118">
        <v>0.1</v>
      </c>
      <c r="F129" s="3118">
        <v>15</v>
      </c>
    </row>
    <row r="130" spans="1:6" ht="24">
      <c r="A130" s="3118">
        <v>58</v>
      </c>
      <c r="B130" s="3776" t="s">
        <v>2779</v>
      </c>
      <c r="C130" s="3118" t="s">
        <v>2780</v>
      </c>
      <c r="D130" s="3092" t="s">
        <v>2781</v>
      </c>
      <c r="E130" s="3118">
        <v>0.1</v>
      </c>
      <c r="F130" s="3118">
        <v>15</v>
      </c>
    </row>
    <row r="131" spans="1:6" ht="13.5">
      <c r="A131" s="3118">
        <v>59</v>
      </c>
      <c r="B131" s="3776"/>
      <c r="C131" s="3118" t="s">
        <v>2782</v>
      </c>
      <c r="D131" s="3092" t="s">
        <v>2783</v>
      </c>
      <c r="E131" s="3118">
        <v>0.1</v>
      </c>
      <c r="F131" s="3118">
        <v>15</v>
      </c>
    </row>
    <row r="132" spans="1:6" ht="13.5">
      <c r="A132" s="3118">
        <v>60</v>
      </c>
      <c r="B132" s="3777" t="s">
        <v>2784</v>
      </c>
      <c r="C132" s="3118" t="s">
        <v>2785</v>
      </c>
      <c r="D132" s="3092" t="s">
        <v>2786</v>
      </c>
      <c r="E132" s="3118">
        <v>0.1</v>
      </c>
      <c r="F132" s="3118">
        <v>15</v>
      </c>
    </row>
    <row r="133" spans="1:6" ht="13.5">
      <c r="A133" s="3118">
        <v>61</v>
      </c>
      <c r="B133" s="3778"/>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76" t="s">
        <v>2792</v>
      </c>
      <c r="C135" s="3118" t="s">
        <v>2793</v>
      </c>
      <c r="D135" s="3092" t="s">
        <v>2794</v>
      </c>
      <c r="E135" s="3118">
        <v>0.1</v>
      </c>
      <c r="F135" s="3118">
        <v>15</v>
      </c>
    </row>
    <row r="136" spans="1:6" ht="13.5">
      <c r="A136" s="3118">
        <v>64</v>
      </c>
      <c r="B136" s="3776"/>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29552</v>
      </c>
      <c r="C2" s="2" t="s">
        <v>106</v>
      </c>
      <c r="D2" s="199"/>
      <c r="E2" s="199"/>
      <c r="F2" s="199"/>
      <c r="G2" s="199"/>
    </row>
    <row r="3" spans="1:7" s="200" customFormat="1" ht="18" customHeight="1" thickBot="1">
      <c r="A3" s="203" t="s">
        <v>58</v>
      </c>
      <c r="B3" s="204">
        <f ca="1">ROUND(B2*10000/'数据-汇总表'!E3,0)</f>
        <v>8598196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34.369999999999997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34.369999999999997</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29538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v>
      </c>
      <c r="D37" s="217">
        <f>'数据-汇总表'!E3</f>
        <v>34.369999999999997</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52" t="s">
        <v>94</v>
      </c>
    </row>
    <row r="43" spans="1:7" ht="13.5" customHeight="1">
      <c r="A43" s="780" t="s">
        <v>347</v>
      </c>
      <c r="B43" s="215" t="s">
        <v>426</v>
      </c>
      <c r="C43" s="238">
        <f ca="1">ROUND(IF('数据-取费表'!B22&lt;=1,C39*F22*'数据-取费表'!B21/2,C39*(POWER((1+F22),'数据-取费表'!B21/2)-1)),0)</f>
        <v>0</v>
      </c>
      <c r="D43" s="238"/>
      <c r="E43" s="238"/>
      <c r="F43" s="239"/>
      <c r="G43" s="3653"/>
    </row>
    <row r="44" spans="1:7" ht="13.5" customHeight="1">
      <c r="A44" s="780" t="s">
        <v>348</v>
      </c>
      <c r="B44" s="215" t="s">
        <v>428</v>
      </c>
      <c r="C44" s="238">
        <f ca="1">ROUND(IF('数据-取费表'!B22&lt;=1,C40*F22*'数据-取费表'!B21/2,C40*(POWER((1+F22),'数据-取费表'!B21/2)-1)),4)</f>
        <v>1E-3</v>
      </c>
      <c r="D44" s="238"/>
      <c r="E44" s="238"/>
      <c r="F44" s="239"/>
      <c r="G44" s="3654"/>
    </row>
    <row r="45" spans="1:7" s="214" customFormat="1" ht="13.5" customHeight="1">
      <c r="A45" s="777" t="s">
        <v>341</v>
      </c>
      <c r="B45" s="244" t="s">
        <v>85</v>
      </c>
      <c r="C45" s="245">
        <f>C46</f>
        <v>2</v>
      </c>
      <c r="D45" s="235">
        <f>C47</f>
        <v>4.0000000000000001E-3</v>
      </c>
      <c r="E45" s="236" t="s">
        <v>102</v>
      </c>
      <c r="F45" s="246"/>
      <c r="G45" s="247" t="s">
        <v>434</v>
      </c>
    </row>
    <row r="46" spans="1:7" s="214" customFormat="1" ht="13.5" customHeight="1">
      <c r="A46" s="780" t="s">
        <v>349</v>
      </c>
      <c r="B46" s="248" t="s">
        <v>427</v>
      </c>
      <c r="C46" s="249">
        <f>ROUND((C33+C39)*F27,0)</f>
        <v>2</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16</v>
      </c>
      <c r="D49" s="232"/>
      <c r="E49" s="232"/>
      <c r="F49" s="264"/>
      <c r="G49" s="234" t="s">
        <v>435</v>
      </c>
    </row>
    <row r="50" spans="1:7" s="258" customFormat="1" ht="24">
      <c r="A50" s="777" t="s">
        <v>344</v>
      </c>
      <c r="B50" s="210" t="s">
        <v>97</v>
      </c>
      <c r="C50" s="232"/>
      <c r="D50" s="232"/>
      <c r="E50" s="232"/>
      <c r="F50" s="264">
        <f>IF('数据-取费表'!B24=0,'数据-取费表'!N16,1)</f>
        <v>0.89</v>
      </c>
      <c r="G50" s="247" t="s">
        <v>98</v>
      </c>
    </row>
    <row r="51" spans="1:7" ht="16.5" customHeight="1">
      <c r="A51" s="777" t="s">
        <v>345</v>
      </c>
      <c r="B51" s="210" t="s">
        <v>105</v>
      </c>
      <c r="C51" s="232">
        <f ca="1">ROUND(C49*F50,0)</f>
        <v>14</v>
      </c>
      <c r="D51" s="232"/>
      <c r="E51" s="232"/>
      <c r="F51" s="264"/>
      <c r="G51" s="234" t="s">
        <v>37</v>
      </c>
    </row>
    <row r="52" spans="1:7" s="208" customFormat="1" ht="16.5" thickBot="1">
      <c r="A52" s="265" t="s">
        <v>38</v>
      </c>
      <c r="B52" s="266"/>
      <c r="C52" s="267">
        <f ca="1">C31+C51</f>
        <v>29552</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0" t="s">
        <v>2842</v>
      </c>
      <c r="B1" s="3790"/>
      <c r="C1" s="3790"/>
      <c r="D1" s="3790"/>
      <c r="E1" s="3790"/>
      <c r="F1" s="3790"/>
      <c r="G1" s="3791"/>
      <c r="I1" s="3223" t="s">
        <v>2843</v>
      </c>
      <c r="J1" s="3224" t="s">
        <v>2844</v>
      </c>
      <c r="K1" s="3224" t="s">
        <v>2845</v>
      </c>
      <c r="L1" s="3224" t="s">
        <v>2846</v>
      </c>
      <c r="M1" s="3224" t="s">
        <v>2847</v>
      </c>
      <c r="N1" s="3224" t="s">
        <v>2848</v>
      </c>
      <c r="O1" s="3224" t="s">
        <v>2849</v>
      </c>
      <c r="P1" s="3224" t="s">
        <v>2850</v>
      </c>
      <c r="Q1" s="3224" t="s">
        <v>2851</v>
      </c>
      <c r="R1" s="3224" t="s">
        <v>2852</v>
      </c>
      <c r="S1" s="3224" t="s">
        <v>2853</v>
      </c>
      <c r="T1" s="3225" t="s">
        <v>2854</v>
      </c>
    </row>
    <row r="2" spans="1:20" ht="12" thickBot="1">
      <c r="A2" s="3227" t="s">
        <v>2855</v>
      </c>
      <c r="B2" s="3227"/>
      <c r="C2" s="3227"/>
      <c r="D2" s="3227"/>
      <c r="E2" s="3227"/>
      <c r="F2" s="3227"/>
      <c r="G2" s="3228" t="s">
        <v>2856</v>
      </c>
      <c r="I2" s="3229" t="s">
        <v>2857</v>
      </c>
      <c r="J2" s="3229" t="s">
        <v>2858</v>
      </c>
      <c r="K2" s="3229" t="s">
        <v>2859</v>
      </c>
      <c r="L2" s="3229" t="s">
        <v>2860</v>
      </c>
      <c r="M2" s="3229" t="s">
        <v>2861</v>
      </c>
      <c r="N2" s="3229" t="s">
        <v>2862</v>
      </c>
      <c r="O2" s="3229" t="s">
        <v>2863</v>
      </c>
      <c r="P2" s="3229" t="s">
        <v>2864</v>
      </c>
      <c r="Q2" s="3229" t="s">
        <v>2865</v>
      </c>
      <c r="R2" s="3229" t="s">
        <v>2866</v>
      </c>
      <c r="S2" s="3229" t="s">
        <v>2867</v>
      </c>
      <c r="T2" s="3229" t="s">
        <v>2868</v>
      </c>
    </row>
    <row r="3" spans="1:20" s="3235" customFormat="1">
      <c r="A3" s="3788" t="s">
        <v>2869</v>
      </c>
      <c r="B3" s="3230"/>
      <c r="C3" s="3231" t="s">
        <v>2814</v>
      </c>
      <c r="D3" s="3231" t="s">
        <v>2870</v>
      </c>
      <c r="E3" s="3231" t="s">
        <v>2816</v>
      </c>
      <c r="F3" s="3231" t="s">
        <v>2871</v>
      </c>
      <c r="G3" s="3231" t="s">
        <v>2634</v>
      </c>
      <c r="H3" s="3232"/>
      <c r="I3" s="3233" t="s">
        <v>2872</v>
      </c>
      <c r="J3" s="3234" t="s">
        <v>128</v>
      </c>
      <c r="K3" s="3234" t="s">
        <v>129</v>
      </c>
      <c r="L3" s="3233" t="s">
        <v>130</v>
      </c>
      <c r="M3" s="3233" t="s">
        <v>131</v>
      </c>
      <c r="N3" s="3233" t="s">
        <v>132</v>
      </c>
      <c r="O3" s="3233" t="s">
        <v>133</v>
      </c>
      <c r="P3" s="3233" t="s">
        <v>134</v>
      </c>
      <c r="Q3" s="3233" t="s">
        <v>135</v>
      </c>
      <c r="R3" s="3233" t="s">
        <v>136</v>
      </c>
      <c r="S3" s="3233" t="s">
        <v>2873</v>
      </c>
      <c r="T3" s="3233" t="s">
        <v>2874</v>
      </c>
    </row>
    <row r="4" spans="1:20" s="3235" customFormat="1" ht="12" thickBot="1">
      <c r="A4" s="3789"/>
      <c r="B4" s="3236" t="s">
        <v>2875</v>
      </c>
      <c r="C4" s="3236" t="s">
        <v>2876</v>
      </c>
      <c r="D4" s="3236" t="s">
        <v>2876</v>
      </c>
      <c r="E4" s="3236" t="s">
        <v>2876</v>
      </c>
      <c r="F4" s="3237" t="s">
        <v>2876</v>
      </c>
      <c r="G4" s="3237" t="s">
        <v>2876</v>
      </c>
      <c r="H4" s="3232"/>
      <c r="I4" s="3234" t="s">
        <v>137</v>
      </c>
      <c r="J4" s="3234" t="s">
        <v>111</v>
      </c>
      <c r="K4" s="3234" t="s">
        <v>138</v>
      </c>
      <c r="L4" s="3233" t="s">
        <v>139</v>
      </c>
      <c r="M4" s="3233" t="s">
        <v>140</v>
      </c>
      <c r="N4" s="3233" t="s">
        <v>141</v>
      </c>
      <c r="O4" s="3233" t="s">
        <v>142</v>
      </c>
      <c r="P4" s="3233" t="s">
        <v>143</v>
      </c>
      <c r="Q4" s="3233" t="s">
        <v>2877</v>
      </c>
      <c r="R4" s="3233" t="s">
        <v>2878</v>
      </c>
      <c r="S4" s="3233" t="s">
        <v>2879</v>
      </c>
      <c r="T4" s="3233" t="s">
        <v>2880</v>
      </c>
    </row>
    <row r="5" spans="1:20">
      <c r="A5" s="3238" t="s">
        <v>2843</v>
      </c>
      <c r="B5" s="3229" t="s">
        <v>2857</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2881</v>
      </c>
      <c r="R5" s="3233" t="s">
        <v>2882</v>
      </c>
      <c r="S5" s="3233" t="s">
        <v>153</v>
      </c>
      <c r="T5" s="3233" t="s">
        <v>2883</v>
      </c>
    </row>
    <row r="6" spans="1:20" ht="12" thickBot="1">
      <c r="A6" s="3233" t="s">
        <v>144</v>
      </c>
      <c r="B6" s="3233" t="s">
        <v>2872</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2884</v>
      </c>
      <c r="Q6" s="3233" t="s">
        <v>2885</v>
      </c>
      <c r="R6" s="3233" t="s">
        <v>161</v>
      </c>
      <c r="S6" s="3233" t="s">
        <v>2886</v>
      </c>
      <c r="T6" s="3233" t="s">
        <v>2887</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2888</v>
      </c>
      <c r="Q7" s="3233" t="s">
        <v>2889</v>
      </c>
      <c r="R7" s="3233" t="s">
        <v>2890</v>
      </c>
      <c r="S7" s="3233" t="s">
        <v>2891</v>
      </c>
      <c r="T7" s="3233" t="s">
        <v>2892</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2893</v>
      </c>
      <c r="Q8" s="3233" t="s">
        <v>174</v>
      </c>
      <c r="R8" s="3233" t="s">
        <v>2894</v>
      </c>
      <c r="S8" s="3233" t="s">
        <v>2895</v>
      </c>
      <c r="T8" s="3240" t="s">
        <v>2896</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2897</v>
      </c>
      <c r="Q9" s="3233" t="s">
        <v>182</v>
      </c>
      <c r="R9" s="3233" t="s">
        <v>183</v>
      </c>
      <c r="S9" s="3233" t="s">
        <v>200</v>
      </c>
    </row>
    <row r="10" spans="1:20">
      <c r="A10" s="3238" t="s">
        <v>184</v>
      </c>
      <c r="B10" s="3229" t="s">
        <v>2858</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2898</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2899</v>
      </c>
      <c r="P11" s="3233" t="s">
        <v>191</v>
      </c>
      <c r="Q11" s="3233" t="s">
        <v>199</v>
      </c>
      <c r="R11" s="3233" t="s">
        <v>2900</v>
      </c>
      <c r="S11" s="3233" t="s">
        <v>2901</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2902</v>
      </c>
      <c r="P12" s="3233" t="s">
        <v>2903</v>
      </c>
      <c r="Q12" s="3233" t="s">
        <v>2904</v>
      </c>
      <c r="R12" s="3233" t="s">
        <v>2905</v>
      </c>
      <c r="S12" s="3233" t="s">
        <v>2906</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2907</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2908</v>
      </c>
      <c r="K14" s="3234" t="s">
        <v>215</v>
      </c>
      <c r="L14" s="3233" t="s">
        <v>216</v>
      </c>
      <c r="M14" s="3233" t="s">
        <v>217</v>
      </c>
      <c r="N14" s="3233" t="s">
        <v>218</v>
      </c>
      <c r="O14" s="3233" t="s">
        <v>240</v>
      </c>
      <c r="P14" s="3233" t="s">
        <v>213</v>
      </c>
      <c r="Q14" s="3233" t="s">
        <v>2909</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2910</v>
      </c>
      <c r="P15" s="3233" t="s">
        <v>2911</v>
      </c>
      <c r="Q15" s="3233" t="s">
        <v>242</v>
      </c>
      <c r="R15" s="3233" t="s">
        <v>2912</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2913</v>
      </c>
      <c r="P16" s="3233" t="s">
        <v>227</v>
      </c>
      <c r="Q16" s="3233" t="s">
        <v>250</v>
      </c>
      <c r="R16" s="3233" t="s">
        <v>207</v>
      </c>
      <c r="S16" s="3233" t="s">
        <v>2914</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2915</v>
      </c>
      <c r="P17" s="3233" t="s">
        <v>2916</v>
      </c>
      <c r="Q17" s="3233" t="s">
        <v>256</v>
      </c>
      <c r="R17" s="3233" t="s">
        <v>2917</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2918</v>
      </c>
      <c r="P18" s="3233" t="s">
        <v>241</v>
      </c>
      <c r="Q18" s="3233" t="s">
        <v>2919</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2920</v>
      </c>
      <c r="P19" s="3233" t="s">
        <v>249</v>
      </c>
      <c r="Q19" s="3233" t="s">
        <v>2921</v>
      </c>
      <c r="R19" s="3233" t="s">
        <v>265</v>
      </c>
      <c r="S19" s="3233" t="s">
        <v>2922</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2923</v>
      </c>
      <c r="P20" s="3233" t="s">
        <v>2924</v>
      </c>
      <c r="Q20" s="3233" t="s">
        <v>290</v>
      </c>
      <c r="R20" s="3233" t="s">
        <v>2925</v>
      </c>
      <c r="S20" s="3233" t="s">
        <v>277</v>
      </c>
    </row>
    <row r="21" spans="1:19" ht="14.25" customHeight="1" thickBot="1">
      <c r="A21" s="3233" t="s">
        <v>184</v>
      </c>
      <c r="B21" s="3234" t="s">
        <v>208</v>
      </c>
      <c r="C21" s="3233">
        <v>32370</v>
      </c>
      <c r="D21" s="3233">
        <v>26730</v>
      </c>
      <c r="E21" s="3233">
        <v>26640</v>
      </c>
      <c r="F21" s="3233"/>
      <c r="G21" s="3233">
        <v>19440</v>
      </c>
      <c r="J21" s="3240" t="s">
        <v>2926</v>
      </c>
      <c r="K21" s="3234" t="s">
        <v>267</v>
      </c>
      <c r="L21" s="3233" t="s">
        <v>268</v>
      </c>
      <c r="M21" s="3233" t="s">
        <v>269</v>
      </c>
      <c r="N21" s="3233" t="s">
        <v>270</v>
      </c>
      <c r="O21" s="3233" t="s">
        <v>264</v>
      </c>
      <c r="P21" s="3233" t="s">
        <v>283</v>
      </c>
      <c r="Q21" s="3233" t="s">
        <v>293</v>
      </c>
      <c r="R21" s="3233" t="s">
        <v>2927</v>
      </c>
      <c r="S21" s="3240" t="s">
        <v>2928</v>
      </c>
    </row>
    <row r="22" spans="1:19" ht="14.25" customHeight="1">
      <c r="A22" s="3233" t="s">
        <v>184</v>
      </c>
      <c r="B22" s="3234" t="s">
        <v>2908</v>
      </c>
      <c r="C22" s="3233">
        <v>29830</v>
      </c>
      <c r="D22" s="3233">
        <v>27600</v>
      </c>
      <c r="E22" s="3233">
        <v>28150</v>
      </c>
      <c r="F22" s="3233"/>
      <c r="G22" s="3233">
        <v>20080</v>
      </c>
      <c r="K22" s="3234" t="s">
        <v>2929</v>
      </c>
      <c r="L22" s="3233" t="s">
        <v>272</v>
      </c>
      <c r="M22" s="3233" t="s">
        <v>273</v>
      </c>
      <c r="N22" s="3233" t="s">
        <v>274</v>
      </c>
      <c r="O22" s="3233" t="s">
        <v>2930</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2931</v>
      </c>
      <c r="L23" s="3233" t="s">
        <v>278</v>
      </c>
      <c r="M23" s="3233" t="s">
        <v>279</v>
      </c>
      <c r="N23" s="3233" t="s">
        <v>2932</v>
      </c>
      <c r="O23" s="3233" t="s">
        <v>2933</v>
      </c>
      <c r="P23" s="3233" t="s">
        <v>289</v>
      </c>
      <c r="Q23" s="3233" t="s">
        <v>298</v>
      </c>
      <c r="R23" s="3233" t="s">
        <v>2934</v>
      </c>
    </row>
    <row r="24" spans="1:19" ht="14.25" customHeight="1">
      <c r="A24" s="3233" t="s">
        <v>184</v>
      </c>
      <c r="B24" s="3234" t="s">
        <v>230</v>
      </c>
      <c r="C24" s="3233">
        <v>27930</v>
      </c>
      <c r="D24" s="3233">
        <v>32260</v>
      </c>
      <c r="E24" s="3233">
        <v>32120</v>
      </c>
      <c r="F24" s="3233"/>
      <c r="G24" s="3233">
        <v>23470</v>
      </c>
      <c r="K24" s="3234" t="s">
        <v>2935</v>
      </c>
      <c r="L24" s="3233" t="s">
        <v>281</v>
      </c>
      <c r="M24" s="3233" t="s">
        <v>282</v>
      </c>
      <c r="N24" s="3233" t="s">
        <v>2936</v>
      </c>
      <c r="O24" s="3233" t="s">
        <v>285</v>
      </c>
      <c r="P24" s="3233" t="s">
        <v>2937</v>
      </c>
      <c r="Q24" s="3242" t="s">
        <v>2938</v>
      </c>
      <c r="R24" s="3233" t="s">
        <v>2939</v>
      </c>
    </row>
    <row r="25" spans="1:19" ht="14.25" customHeight="1">
      <c r="A25" s="3233" t="s">
        <v>184</v>
      </c>
      <c r="B25" s="3234" t="s">
        <v>235</v>
      </c>
      <c r="C25" s="3233">
        <v>32230</v>
      </c>
      <c r="D25" s="3233">
        <v>29640</v>
      </c>
      <c r="E25" s="3233">
        <v>29510</v>
      </c>
      <c r="F25" s="3233"/>
      <c r="G25" s="3233">
        <v>21560</v>
      </c>
      <c r="K25" s="3234" t="s">
        <v>2940</v>
      </c>
      <c r="L25" s="3233" t="s">
        <v>2941</v>
      </c>
      <c r="M25" s="3233" t="s">
        <v>284</v>
      </c>
      <c r="N25" s="3233" t="s">
        <v>292</v>
      </c>
      <c r="O25" s="3233" t="s">
        <v>288</v>
      </c>
      <c r="P25" s="3233" t="s">
        <v>275</v>
      </c>
      <c r="Q25" s="3242" t="s">
        <v>271</v>
      </c>
      <c r="R25" s="3233" t="s">
        <v>2942</v>
      </c>
    </row>
    <row r="26" spans="1:19" ht="14.25" customHeight="1" thickBot="1">
      <c r="A26" s="3233" t="s">
        <v>184</v>
      </c>
      <c r="B26" s="3234" t="s">
        <v>244</v>
      </c>
      <c r="C26" s="3233">
        <v>31690</v>
      </c>
      <c r="D26" s="3233">
        <v>27650</v>
      </c>
      <c r="E26" s="3233">
        <v>28200</v>
      </c>
      <c r="F26" s="3233"/>
      <c r="G26" s="3233">
        <v>20110</v>
      </c>
      <c r="K26" s="3239" t="s">
        <v>2943</v>
      </c>
      <c r="L26" s="3233" t="s">
        <v>2944</v>
      </c>
      <c r="M26" s="3233" t="s">
        <v>287</v>
      </c>
      <c r="N26" s="3233" t="s">
        <v>294</v>
      </c>
      <c r="O26" s="3233" t="s">
        <v>2945</v>
      </c>
      <c r="P26" s="3233" t="s">
        <v>2946</v>
      </c>
      <c r="Q26" s="3242" t="s">
        <v>276</v>
      </c>
      <c r="R26" s="3233" t="s">
        <v>2947</v>
      </c>
    </row>
    <row r="27" spans="1:19" ht="14.25" customHeight="1">
      <c r="A27" s="3233" t="s">
        <v>184</v>
      </c>
      <c r="B27" s="3234" t="s">
        <v>251</v>
      </c>
      <c r="C27" s="3233">
        <v>29610</v>
      </c>
      <c r="D27" s="3233">
        <v>27770</v>
      </c>
      <c r="E27" s="3233">
        <v>28300</v>
      </c>
      <c r="F27" s="3233"/>
      <c r="G27" s="3233">
        <v>20210</v>
      </c>
      <c r="L27" s="3233" t="s">
        <v>2948</v>
      </c>
      <c r="M27" s="3233" t="s">
        <v>291</v>
      </c>
      <c r="N27" s="3233" t="s">
        <v>297</v>
      </c>
      <c r="O27" s="3233" t="s">
        <v>2949</v>
      </c>
      <c r="P27" s="3233" t="s">
        <v>2950</v>
      </c>
      <c r="Q27" s="3233" t="s">
        <v>2951</v>
      </c>
      <c r="R27" s="3233" t="s">
        <v>2952</v>
      </c>
    </row>
    <row r="28" spans="1:19" ht="14.25" customHeight="1">
      <c r="A28" s="3233" t="s">
        <v>184</v>
      </c>
      <c r="B28" s="3234" t="s">
        <v>259</v>
      </c>
      <c r="C28" s="3233"/>
      <c r="D28" s="3233">
        <v>31520</v>
      </c>
      <c r="E28" s="3233">
        <v>31410</v>
      </c>
      <c r="F28" s="3233"/>
      <c r="G28" s="3233">
        <v>22940</v>
      </c>
      <c r="L28" s="3233" t="s">
        <v>2953</v>
      </c>
      <c r="M28" s="3233" t="s">
        <v>2954</v>
      </c>
      <c r="N28" s="3233" t="s">
        <v>2955</v>
      </c>
      <c r="O28" s="3233" t="s">
        <v>2956</v>
      </c>
      <c r="P28" s="3233" t="s">
        <v>2957</v>
      </c>
      <c r="Q28" s="3233" t="s">
        <v>2958</v>
      </c>
      <c r="R28" s="3233" t="s">
        <v>2959</v>
      </c>
    </row>
    <row r="29" spans="1:19" ht="14.25" customHeight="1" thickBot="1">
      <c r="A29" s="3241" t="s">
        <v>184</v>
      </c>
      <c r="B29" s="3243" t="s">
        <v>2926</v>
      </c>
      <c r="C29" s="3244"/>
      <c r="D29" s="3244">
        <v>29460</v>
      </c>
      <c r="E29" s="3244">
        <v>28640</v>
      </c>
      <c r="F29" s="3244"/>
      <c r="G29" s="3244">
        <v>21430</v>
      </c>
      <c r="L29" s="3233" t="s">
        <v>2960</v>
      </c>
      <c r="M29" s="3233" t="s">
        <v>2961</v>
      </c>
      <c r="N29" s="3233" t="s">
        <v>2962</v>
      </c>
      <c r="O29" s="3233" t="s">
        <v>2963</v>
      </c>
      <c r="P29" s="3233" t="s">
        <v>2964</v>
      </c>
      <c r="Q29" s="3233" t="s">
        <v>2965</v>
      </c>
      <c r="R29" s="3233" t="s">
        <v>280</v>
      </c>
    </row>
    <row r="30" spans="1:19" ht="14.25" customHeight="1">
      <c r="A30" s="3238" t="s">
        <v>296</v>
      </c>
      <c r="B30" s="3229" t="s">
        <v>2859</v>
      </c>
      <c r="C30" s="3229">
        <v>26890</v>
      </c>
      <c r="D30" s="3229">
        <v>26770</v>
      </c>
      <c r="E30" s="3229">
        <v>25700</v>
      </c>
      <c r="F30" s="3229">
        <v>8180</v>
      </c>
      <c r="G30" s="3245">
        <v>18740</v>
      </c>
      <c r="L30" s="3233" t="s">
        <v>2966</v>
      </c>
      <c r="M30" s="3233" t="s">
        <v>2967</v>
      </c>
      <c r="N30" s="3233" t="s">
        <v>2968</v>
      </c>
      <c r="O30" s="3233" t="s">
        <v>2969</v>
      </c>
      <c r="P30" s="3233" t="s">
        <v>2970</v>
      </c>
      <c r="Q30" s="3233" t="s">
        <v>2971</v>
      </c>
      <c r="R30" s="3233" t="s">
        <v>2972</v>
      </c>
    </row>
    <row r="31" spans="1:19" ht="14.25" customHeight="1">
      <c r="A31" s="3233" t="s">
        <v>296</v>
      </c>
      <c r="B31" s="3234" t="s">
        <v>129</v>
      </c>
      <c r="C31" s="3233">
        <v>24550</v>
      </c>
      <c r="D31" s="3233">
        <v>23990</v>
      </c>
      <c r="E31" s="3233">
        <v>22930</v>
      </c>
      <c r="F31" s="3233">
        <v>7470</v>
      </c>
      <c r="G31" s="3246">
        <v>16790</v>
      </c>
      <c r="L31" s="3233" t="s">
        <v>2973</v>
      </c>
      <c r="M31" s="3233" t="s">
        <v>2974</v>
      </c>
      <c r="N31" s="3233" t="s">
        <v>2975</v>
      </c>
      <c r="O31" s="3233" t="s">
        <v>2976</v>
      </c>
      <c r="P31" s="3233" t="s">
        <v>2977</v>
      </c>
      <c r="Q31" s="3233" t="s">
        <v>2978</v>
      </c>
      <c r="R31" s="3233" t="s">
        <v>2979</v>
      </c>
    </row>
    <row r="32" spans="1:19" ht="14.25" customHeight="1" thickBot="1">
      <c r="A32" s="3233" t="s">
        <v>296</v>
      </c>
      <c r="B32" s="3234" t="s">
        <v>138</v>
      </c>
      <c r="C32" s="3233">
        <v>27210</v>
      </c>
      <c r="D32" s="3233">
        <v>23240</v>
      </c>
      <c r="E32" s="3233">
        <v>23260</v>
      </c>
      <c r="F32" s="3233">
        <v>7130</v>
      </c>
      <c r="G32" s="3246">
        <v>16270</v>
      </c>
      <c r="L32" s="3233" t="s">
        <v>2980</v>
      </c>
      <c r="M32" s="3233" t="s">
        <v>2981</v>
      </c>
      <c r="N32" s="3233" t="s">
        <v>300</v>
      </c>
      <c r="O32" s="3233" t="s">
        <v>2982</v>
      </c>
      <c r="P32" s="3233" t="s">
        <v>299</v>
      </c>
      <c r="Q32" s="3233" t="s">
        <v>2983</v>
      </c>
      <c r="R32" s="3240" t="s">
        <v>2984</v>
      </c>
    </row>
    <row r="33" spans="1:17" ht="14.25" customHeight="1" thickBot="1">
      <c r="A33" s="3233" t="s">
        <v>296</v>
      </c>
      <c r="B33" s="3234" t="s">
        <v>147</v>
      </c>
      <c r="C33" s="3233">
        <v>27300</v>
      </c>
      <c r="D33" s="3233">
        <v>22980</v>
      </c>
      <c r="E33" s="3233">
        <v>24260</v>
      </c>
      <c r="F33" s="3233">
        <v>5860</v>
      </c>
      <c r="G33" s="3246">
        <v>16090</v>
      </c>
      <c r="L33" s="3240" t="s">
        <v>2985</v>
      </c>
      <c r="M33" s="3233" t="s">
        <v>2986</v>
      </c>
      <c r="N33" s="3233" t="s">
        <v>301</v>
      </c>
      <c r="O33" s="3233" t="s">
        <v>2987</v>
      </c>
      <c r="P33" s="3233" t="s">
        <v>2988</v>
      </c>
      <c r="Q33" s="3233" t="s">
        <v>2989</v>
      </c>
    </row>
    <row r="34" spans="1:17" ht="14.25" customHeight="1">
      <c r="A34" s="3233" t="s">
        <v>296</v>
      </c>
      <c r="B34" s="3234" t="s">
        <v>156</v>
      </c>
      <c r="C34" s="3233">
        <v>23090</v>
      </c>
      <c r="D34" s="3233">
        <v>23390</v>
      </c>
      <c r="E34" s="3233">
        <v>23510</v>
      </c>
      <c r="F34" s="3233">
        <v>6700</v>
      </c>
      <c r="G34" s="3246">
        <v>16370</v>
      </c>
      <c r="M34" s="3233" t="s">
        <v>2990</v>
      </c>
      <c r="N34" s="3233" t="s">
        <v>302</v>
      </c>
      <c r="O34" s="3233" t="s">
        <v>2991</v>
      </c>
      <c r="P34" s="3233" t="s">
        <v>2992</v>
      </c>
      <c r="Q34" s="3233" t="s">
        <v>2993</v>
      </c>
    </row>
    <row r="35" spans="1:17" ht="14.25" customHeight="1">
      <c r="A35" s="3233" t="s">
        <v>296</v>
      </c>
      <c r="B35" s="3234" t="s">
        <v>163</v>
      </c>
      <c r="C35" s="3233">
        <v>27270</v>
      </c>
      <c r="D35" s="3233">
        <v>24270</v>
      </c>
      <c r="E35" s="3233">
        <v>24950</v>
      </c>
      <c r="F35" s="3233">
        <v>6600</v>
      </c>
      <c r="G35" s="3246">
        <v>16990</v>
      </c>
      <c r="M35" s="3233" t="s">
        <v>2994</v>
      </c>
      <c r="N35" s="3233" t="s">
        <v>2995</v>
      </c>
      <c r="O35" s="3233" t="s">
        <v>2996</v>
      </c>
      <c r="P35" s="3233" t="s">
        <v>2997</v>
      </c>
      <c r="Q35" s="3233" t="s">
        <v>2998</v>
      </c>
    </row>
    <row r="36" spans="1:17" ht="14.25" customHeight="1">
      <c r="A36" s="3233" t="s">
        <v>296</v>
      </c>
      <c r="B36" s="3234" t="s">
        <v>169</v>
      </c>
      <c r="C36" s="3233">
        <v>23490</v>
      </c>
      <c r="D36" s="3233">
        <v>23020</v>
      </c>
      <c r="E36" s="3233">
        <v>25230</v>
      </c>
      <c r="F36" s="3233">
        <v>6780</v>
      </c>
      <c r="G36" s="3246">
        <v>16120</v>
      </c>
      <c r="M36" s="3233" t="s">
        <v>2999</v>
      </c>
      <c r="N36" s="3233" t="s">
        <v>3000</v>
      </c>
      <c r="O36" s="3233" t="s">
        <v>3001</v>
      </c>
      <c r="P36" s="3233" t="s">
        <v>3002</v>
      </c>
      <c r="Q36" s="3233" t="s">
        <v>3003</v>
      </c>
    </row>
    <row r="37" spans="1:17" ht="14.25" customHeight="1">
      <c r="A37" s="3233" t="s">
        <v>296</v>
      </c>
      <c r="B37" s="3234" t="s">
        <v>176</v>
      </c>
      <c r="C37" s="3233">
        <v>24380</v>
      </c>
      <c r="D37" s="3233">
        <v>22240</v>
      </c>
      <c r="E37" s="3233">
        <v>25980</v>
      </c>
      <c r="F37" s="3233">
        <v>8160</v>
      </c>
      <c r="G37" s="3246">
        <v>15570</v>
      </c>
      <c r="M37" s="3233" t="s">
        <v>3004</v>
      </c>
      <c r="N37" s="3233" t="s">
        <v>3005</v>
      </c>
      <c r="O37" s="3233" t="s">
        <v>3006</v>
      </c>
      <c r="P37" s="3233" t="s">
        <v>3007</v>
      </c>
      <c r="Q37" s="3233" t="s">
        <v>3008</v>
      </c>
    </row>
    <row r="38" spans="1:17" ht="14.25" customHeight="1">
      <c r="A38" s="3233" t="s">
        <v>296</v>
      </c>
      <c r="B38" s="3234" t="s">
        <v>186</v>
      </c>
      <c r="C38" s="3233">
        <v>23120</v>
      </c>
      <c r="D38" s="3233">
        <v>24630</v>
      </c>
      <c r="E38" s="3233">
        <v>25030</v>
      </c>
      <c r="F38" s="3233">
        <v>7710</v>
      </c>
      <c r="G38" s="3246">
        <v>17240</v>
      </c>
      <c r="M38" s="3233" t="s">
        <v>3009</v>
      </c>
      <c r="N38" s="3233" t="s">
        <v>3010</v>
      </c>
      <c r="O38" s="3233" t="s">
        <v>3011</v>
      </c>
      <c r="P38" s="3233" t="s">
        <v>3012</v>
      </c>
      <c r="Q38" s="3233" t="s">
        <v>3013</v>
      </c>
    </row>
    <row r="39" spans="1:17" ht="14.25" customHeight="1">
      <c r="A39" s="3233" t="s">
        <v>296</v>
      </c>
      <c r="B39" s="3234" t="s">
        <v>195</v>
      </c>
      <c r="C39" s="3233">
        <v>22330</v>
      </c>
      <c r="D39" s="3233">
        <v>21140</v>
      </c>
      <c r="E39" s="3233">
        <v>23970</v>
      </c>
      <c r="F39" s="3233">
        <v>7940</v>
      </c>
      <c r="G39" s="3246">
        <v>14790</v>
      </c>
      <c r="M39" s="3233" t="s">
        <v>3014</v>
      </c>
      <c r="N39" s="3233" t="s">
        <v>3015</v>
      </c>
      <c r="O39" s="3233" t="s">
        <v>3016</v>
      </c>
      <c r="P39" s="3233" t="s">
        <v>3017</v>
      </c>
      <c r="Q39" s="3233" t="s">
        <v>3018</v>
      </c>
    </row>
    <row r="40" spans="1:17" ht="14.25" customHeight="1">
      <c r="A40" s="3233" t="s">
        <v>296</v>
      </c>
      <c r="B40" s="3234" t="s">
        <v>202</v>
      </c>
      <c r="C40" s="3233">
        <v>24740</v>
      </c>
      <c r="D40" s="3233">
        <v>24690</v>
      </c>
      <c r="E40" s="3233">
        <v>22610</v>
      </c>
      <c r="F40" s="3233"/>
      <c r="G40" s="3246">
        <v>17280</v>
      </c>
      <c r="M40" s="3233" t="s">
        <v>3019</v>
      </c>
      <c r="N40" s="3233" t="s">
        <v>3020</v>
      </c>
      <c r="O40" s="3233" t="s">
        <v>3021</v>
      </c>
      <c r="P40" s="3233" t="s">
        <v>3022</v>
      </c>
      <c r="Q40" s="3233" t="s">
        <v>3023</v>
      </c>
    </row>
    <row r="41" spans="1:17" ht="14.25" customHeight="1" thickBot="1">
      <c r="A41" s="3233" t="s">
        <v>296</v>
      </c>
      <c r="B41" s="3234" t="s">
        <v>209</v>
      </c>
      <c r="C41" s="3233">
        <v>21220</v>
      </c>
      <c r="D41" s="3233">
        <v>21120</v>
      </c>
      <c r="E41" s="3233">
        <v>22590</v>
      </c>
      <c r="F41" s="3233"/>
      <c r="G41" s="3246">
        <v>14780</v>
      </c>
      <c r="M41" s="3240" t="s">
        <v>3024</v>
      </c>
      <c r="N41" s="3233" t="s">
        <v>3025</v>
      </c>
      <c r="O41" s="3233" t="s">
        <v>3026</v>
      </c>
      <c r="P41" s="3233" t="s">
        <v>3027</v>
      </c>
      <c r="Q41" s="3233" t="s">
        <v>3028</v>
      </c>
    </row>
    <row r="42" spans="1:17" ht="14.25" customHeight="1">
      <c r="A42" s="3233" t="s">
        <v>296</v>
      </c>
      <c r="B42" s="3234" t="s">
        <v>215</v>
      </c>
      <c r="C42" s="3233">
        <v>24800</v>
      </c>
      <c r="D42" s="3233">
        <v>22280</v>
      </c>
      <c r="E42" s="3233">
        <v>24350</v>
      </c>
      <c r="F42" s="3233"/>
      <c r="G42" s="3246">
        <v>15590</v>
      </c>
      <c r="N42" s="3233" t="s">
        <v>3029</v>
      </c>
      <c r="O42" s="3233" t="s">
        <v>3030</v>
      </c>
      <c r="P42" s="3233" t="s">
        <v>3031</v>
      </c>
      <c r="Q42" s="3233" t="s">
        <v>3032</v>
      </c>
    </row>
    <row r="43" spans="1:17" ht="14.25" customHeight="1">
      <c r="A43" s="3233" t="s">
        <v>3033</v>
      </c>
      <c r="B43" s="3234" t="s">
        <v>223</v>
      </c>
      <c r="C43" s="3233">
        <v>21210</v>
      </c>
      <c r="D43" s="3233">
        <v>21160</v>
      </c>
      <c r="E43" s="3233">
        <v>22650</v>
      </c>
      <c r="F43" s="3233"/>
      <c r="G43" s="3246">
        <v>14800</v>
      </c>
      <c r="N43" s="3233" t="s">
        <v>3034</v>
      </c>
      <c r="O43" s="3233" t="s">
        <v>3035</v>
      </c>
      <c r="P43" s="3233" t="s">
        <v>3036</v>
      </c>
      <c r="Q43" s="3233" t="s">
        <v>3037</v>
      </c>
    </row>
    <row r="44" spans="1:17" ht="14.25" customHeight="1" thickBot="1">
      <c r="A44" s="3233" t="s">
        <v>296</v>
      </c>
      <c r="B44" s="3234" t="s">
        <v>231</v>
      </c>
      <c r="C44" s="3233">
        <v>22370</v>
      </c>
      <c r="D44" s="3233">
        <v>23140</v>
      </c>
      <c r="E44" s="3233">
        <v>25090</v>
      </c>
      <c r="F44" s="3233"/>
      <c r="G44" s="3246">
        <v>16190</v>
      </c>
      <c r="N44" s="3233" t="s">
        <v>3038</v>
      </c>
      <c r="O44" s="3233" t="s">
        <v>3039</v>
      </c>
      <c r="P44" s="3240" t="s">
        <v>3040</v>
      </c>
      <c r="Q44" s="3233" t="s">
        <v>3041</v>
      </c>
    </row>
    <row r="45" spans="1:17" ht="14.25" customHeight="1" thickBot="1">
      <c r="A45" s="3233" t="s">
        <v>296</v>
      </c>
      <c r="B45" s="3234" t="s">
        <v>236</v>
      </c>
      <c r="C45" s="3233">
        <v>21240</v>
      </c>
      <c r="D45" s="3233">
        <v>27050</v>
      </c>
      <c r="E45" s="3233">
        <v>28000</v>
      </c>
      <c r="F45" s="3233"/>
      <c r="G45" s="3246">
        <v>18940</v>
      </c>
      <c r="N45" s="3233" t="s">
        <v>3042</v>
      </c>
      <c r="O45" s="3240" t="s">
        <v>3043</v>
      </c>
      <c r="Q45" s="3233" t="s">
        <v>3044</v>
      </c>
    </row>
    <row r="46" spans="1:17" ht="14.25" customHeight="1">
      <c r="A46" s="3233" t="s">
        <v>296</v>
      </c>
      <c r="B46" s="3234" t="s">
        <v>245</v>
      </c>
      <c r="C46" s="3233">
        <v>23240</v>
      </c>
      <c r="D46" s="3233">
        <v>23000</v>
      </c>
      <c r="E46" s="3233">
        <v>24980</v>
      </c>
      <c r="F46" s="3233"/>
      <c r="G46" s="3246">
        <v>16100</v>
      </c>
      <c r="N46" s="3233" t="s">
        <v>3045</v>
      </c>
      <c r="Q46" s="3233" t="s">
        <v>3046</v>
      </c>
    </row>
    <row r="47" spans="1:17" ht="14.25" customHeight="1">
      <c r="A47" s="3233" t="s">
        <v>296</v>
      </c>
      <c r="B47" s="3234" t="s">
        <v>252</v>
      </c>
      <c r="C47" s="3233">
        <v>27150</v>
      </c>
      <c r="D47" s="3233">
        <v>23310</v>
      </c>
      <c r="E47" s="3233">
        <v>25150</v>
      </c>
      <c r="F47" s="3233"/>
      <c r="G47" s="3246">
        <v>16310</v>
      </c>
      <c r="N47" s="3233" t="s">
        <v>3047</v>
      </c>
      <c r="Q47" s="3233" t="s">
        <v>3048</v>
      </c>
    </row>
    <row r="48" spans="1:17" ht="14.25" customHeight="1">
      <c r="A48" s="3233" t="s">
        <v>296</v>
      </c>
      <c r="B48" s="3234" t="s">
        <v>260</v>
      </c>
      <c r="C48" s="3233">
        <v>23100</v>
      </c>
      <c r="D48" s="3233">
        <v>21110</v>
      </c>
      <c r="E48" s="3233">
        <v>23080</v>
      </c>
      <c r="F48" s="3233"/>
      <c r="G48" s="3246">
        <v>14780</v>
      </c>
      <c r="N48" s="3233" t="s">
        <v>3049</v>
      </c>
      <c r="Q48" s="3233" t="s">
        <v>3050</v>
      </c>
    </row>
    <row r="49" spans="1:17" ht="14.25" customHeight="1">
      <c r="A49" s="3233" t="s">
        <v>296</v>
      </c>
      <c r="B49" s="3234" t="s">
        <v>267</v>
      </c>
      <c r="C49" s="3233">
        <v>23400</v>
      </c>
      <c r="D49" s="3233">
        <v>22920</v>
      </c>
      <c r="E49" s="3233">
        <v>24900</v>
      </c>
      <c r="F49" s="3233"/>
      <c r="G49" s="3246">
        <v>16040</v>
      </c>
      <c r="N49" s="3233" t="s">
        <v>3051</v>
      </c>
      <c r="Q49" s="3233" t="s">
        <v>3052</v>
      </c>
    </row>
    <row r="50" spans="1:17" ht="14.25" customHeight="1">
      <c r="A50" s="3233" t="s">
        <v>296</v>
      </c>
      <c r="B50" s="3234" t="s">
        <v>2929</v>
      </c>
      <c r="C50" s="3233">
        <v>21200</v>
      </c>
      <c r="D50" s="3233">
        <v>26540</v>
      </c>
      <c r="E50" s="3233">
        <v>23200</v>
      </c>
      <c r="F50" s="3233"/>
      <c r="G50" s="3246">
        <v>18580</v>
      </c>
      <c r="N50" s="3233" t="s">
        <v>3053</v>
      </c>
      <c r="Q50" s="3234" t="s">
        <v>3054</v>
      </c>
    </row>
    <row r="51" spans="1:17" ht="14.25" customHeight="1" thickBot="1">
      <c r="A51" s="3233" t="s">
        <v>296</v>
      </c>
      <c r="B51" s="3234" t="s">
        <v>2931</v>
      </c>
      <c r="C51" s="3233">
        <v>23000</v>
      </c>
      <c r="D51" s="3233">
        <v>23460</v>
      </c>
      <c r="E51" s="3233">
        <v>25290</v>
      </c>
      <c r="F51" s="3233"/>
      <c r="G51" s="3246">
        <v>16420</v>
      </c>
      <c r="N51" s="3233" t="s">
        <v>3055</v>
      </c>
      <c r="Q51" s="3240" t="s">
        <v>3056</v>
      </c>
    </row>
    <row r="52" spans="1:17" ht="14.25" customHeight="1">
      <c r="A52" s="3233" t="s">
        <v>296</v>
      </c>
      <c r="B52" s="3234" t="s">
        <v>2935</v>
      </c>
      <c r="C52" s="3233">
        <v>26660</v>
      </c>
      <c r="D52" s="3233">
        <v>22350</v>
      </c>
      <c r="E52" s="3233">
        <v>22920</v>
      </c>
      <c r="F52" s="3233"/>
      <c r="G52" s="3246">
        <v>15640</v>
      </c>
      <c r="N52" s="3233" t="s">
        <v>3057</v>
      </c>
    </row>
    <row r="53" spans="1:17" ht="14.25" customHeight="1">
      <c r="A53" s="3233" t="s">
        <v>296</v>
      </c>
      <c r="B53" s="3234" t="s">
        <v>2940</v>
      </c>
      <c r="C53" s="3233">
        <v>23580</v>
      </c>
      <c r="D53" s="3233"/>
      <c r="E53" s="3233">
        <v>24280</v>
      </c>
      <c r="F53" s="3233"/>
      <c r="G53" s="3246"/>
      <c r="N53" s="3233" t="s">
        <v>3058</v>
      </c>
    </row>
    <row r="54" spans="1:17" ht="14.25" customHeight="1" thickBot="1">
      <c r="A54" s="3247" t="s">
        <v>296</v>
      </c>
      <c r="B54" s="3239" t="s">
        <v>2943</v>
      </c>
      <c r="C54" s="3240">
        <v>22460</v>
      </c>
      <c r="D54" s="3240"/>
      <c r="E54" s="3240"/>
      <c r="F54" s="3240"/>
      <c r="G54" s="3248"/>
      <c r="N54" s="3233" t="s">
        <v>3059</v>
      </c>
    </row>
    <row r="55" spans="1:17" ht="14.25" customHeight="1">
      <c r="A55" s="3238" t="s">
        <v>110</v>
      </c>
      <c r="B55" s="3229" t="s">
        <v>3060</v>
      </c>
      <c r="C55" s="3233">
        <v>21970</v>
      </c>
      <c r="D55" s="3233">
        <v>20370</v>
      </c>
      <c r="E55" s="3233">
        <v>20180</v>
      </c>
      <c r="F55" s="3233">
        <v>5730</v>
      </c>
      <c r="G55" s="3233">
        <v>13820</v>
      </c>
      <c r="N55" s="3233" t="s">
        <v>3061</v>
      </c>
    </row>
    <row r="56" spans="1:17" ht="14.25" customHeight="1">
      <c r="A56" s="3233" t="s">
        <v>110</v>
      </c>
      <c r="B56" s="3233" t="s">
        <v>130</v>
      </c>
      <c r="C56" s="3233">
        <v>20470</v>
      </c>
      <c r="D56" s="3233">
        <v>20700</v>
      </c>
      <c r="E56" s="3233">
        <v>20380</v>
      </c>
      <c r="F56" s="3233">
        <v>4760</v>
      </c>
      <c r="G56" s="3233">
        <v>14050</v>
      </c>
      <c r="N56" s="3233" t="s">
        <v>3062</v>
      </c>
    </row>
    <row r="57" spans="1:17" ht="14.25" customHeight="1">
      <c r="A57" s="3233" t="s">
        <v>110</v>
      </c>
      <c r="B57" s="3233" t="s">
        <v>139</v>
      </c>
      <c r="C57" s="3233">
        <v>20790</v>
      </c>
      <c r="D57" s="3233">
        <v>21370</v>
      </c>
      <c r="E57" s="3233">
        <v>20890</v>
      </c>
      <c r="F57" s="3233">
        <v>4910</v>
      </c>
      <c r="G57" s="3233">
        <v>14510</v>
      </c>
      <c r="N57" s="3233" t="s">
        <v>3063</v>
      </c>
    </row>
    <row r="58" spans="1:17" ht="14.25" customHeight="1">
      <c r="A58" s="3233" t="s">
        <v>110</v>
      </c>
      <c r="B58" s="3233" t="s">
        <v>148</v>
      </c>
      <c r="C58" s="3233">
        <v>21460</v>
      </c>
      <c r="D58" s="3233">
        <v>20920</v>
      </c>
      <c r="E58" s="3233">
        <v>23410</v>
      </c>
      <c r="F58" s="3233">
        <v>5100</v>
      </c>
      <c r="G58" s="3233">
        <v>14200</v>
      </c>
      <c r="N58" s="3233" t="s">
        <v>3064</v>
      </c>
    </row>
    <row r="59" spans="1:17" ht="14.25" customHeight="1">
      <c r="A59" s="3233" t="s">
        <v>110</v>
      </c>
      <c r="B59" s="3233" t="s">
        <v>157</v>
      </c>
      <c r="C59" s="3233">
        <v>21000</v>
      </c>
      <c r="D59" s="3233">
        <v>21550</v>
      </c>
      <c r="E59" s="3233">
        <v>21150</v>
      </c>
      <c r="F59" s="3233">
        <v>5250</v>
      </c>
      <c r="G59" s="3233">
        <v>14630</v>
      </c>
      <c r="N59" s="3233" t="s">
        <v>3065</v>
      </c>
    </row>
    <row r="60" spans="1:17" ht="14.25" customHeight="1">
      <c r="A60" s="3233" t="s">
        <v>110</v>
      </c>
      <c r="B60" s="3233" t="s">
        <v>164</v>
      </c>
      <c r="C60" s="3233">
        <v>21640</v>
      </c>
      <c r="D60" s="3233">
        <v>21260</v>
      </c>
      <c r="E60" s="3233">
        <v>24040</v>
      </c>
      <c r="F60" s="3233">
        <v>4470</v>
      </c>
      <c r="G60" s="3233">
        <v>14430</v>
      </c>
      <c r="N60" s="3233" t="s">
        <v>3066</v>
      </c>
    </row>
    <row r="61" spans="1:17" ht="14.25" customHeight="1">
      <c r="A61" s="3233" t="s">
        <v>110</v>
      </c>
      <c r="B61" s="3233" t="s">
        <v>170</v>
      </c>
      <c r="C61" s="3233">
        <v>21330</v>
      </c>
      <c r="D61" s="3233">
        <v>18640</v>
      </c>
      <c r="E61" s="3233">
        <v>21190</v>
      </c>
      <c r="F61" s="3233">
        <v>4180</v>
      </c>
      <c r="G61" s="3233">
        <v>12650</v>
      </c>
      <c r="N61" s="3233" t="s">
        <v>3067</v>
      </c>
    </row>
    <row r="62" spans="1:17" ht="14.25" customHeight="1">
      <c r="A62" s="3233" t="s">
        <v>110</v>
      </c>
      <c r="B62" s="3233" t="s">
        <v>177</v>
      </c>
      <c r="C62" s="3233">
        <v>18710</v>
      </c>
      <c r="D62" s="3233">
        <v>19400</v>
      </c>
      <c r="E62" s="3233">
        <v>23750</v>
      </c>
      <c r="F62" s="3233">
        <v>4860</v>
      </c>
      <c r="G62" s="3233">
        <v>13170</v>
      </c>
      <c r="N62" s="3233" t="s">
        <v>3068</v>
      </c>
    </row>
    <row r="63" spans="1:17" ht="14.25" customHeight="1">
      <c r="A63" s="3233" t="s">
        <v>110</v>
      </c>
      <c r="B63" s="3233" t="s">
        <v>187</v>
      </c>
      <c r="C63" s="3233">
        <v>19480</v>
      </c>
      <c r="D63" s="3233">
        <v>16830</v>
      </c>
      <c r="E63" s="3233">
        <v>21590</v>
      </c>
      <c r="F63" s="3233">
        <v>4560</v>
      </c>
      <c r="G63" s="3233">
        <v>11420</v>
      </c>
      <c r="N63" s="3233" t="s">
        <v>3069</v>
      </c>
    </row>
    <row r="64" spans="1:17" ht="14.25" customHeight="1" thickBot="1">
      <c r="A64" s="3233" t="s">
        <v>110</v>
      </c>
      <c r="B64" s="3233" t="s">
        <v>196</v>
      </c>
      <c r="C64" s="3233">
        <v>16920</v>
      </c>
      <c r="D64" s="3233">
        <v>19190</v>
      </c>
      <c r="E64" s="3233">
        <v>22200</v>
      </c>
      <c r="F64" s="3233">
        <v>4390</v>
      </c>
      <c r="G64" s="3233">
        <v>13030</v>
      </c>
      <c r="N64" s="3240" t="s">
        <v>3070</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2941</v>
      </c>
      <c r="C78" s="3233">
        <v>19820</v>
      </c>
      <c r="D78" s="3233">
        <v>19780</v>
      </c>
      <c r="E78" s="3233">
        <v>18560</v>
      </c>
      <c r="F78" s="3233"/>
      <c r="G78" s="3233">
        <v>13430</v>
      </c>
    </row>
    <row r="79" spans="1:7" s="3222" customFormat="1" ht="14.25" customHeight="1">
      <c r="A79" s="3233" t="s">
        <v>110</v>
      </c>
      <c r="B79" s="3233" t="s">
        <v>2944</v>
      </c>
      <c r="C79" s="3233">
        <v>21660</v>
      </c>
      <c r="D79" s="3233">
        <v>18000</v>
      </c>
      <c r="E79" s="3233">
        <v>22570</v>
      </c>
      <c r="F79" s="3233"/>
      <c r="G79" s="3233">
        <v>12220</v>
      </c>
    </row>
    <row r="80" spans="1:7" s="3222" customFormat="1" ht="14.25" customHeight="1">
      <c r="A80" s="3233" t="s">
        <v>110</v>
      </c>
      <c r="B80" s="3233" t="s">
        <v>2948</v>
      </c>
      <c r="C80" s="3233">
        <v>19850</v>
      </c>
      <c r="D80" s="3233"/>
      <c r="E80" s="3233">
        <v>21700</v>
      </c>
      <c r="F80" s="3233"/>
      <c r="G80" s="3233"/>
    </row>
    <row r="81" spans="1:7" s="3222" customFormat="1" ht="14.25" customHeight="1">
      <c r="A81" s="3233" t="s">
        <v>110</v>
      </c>
      <c r="B81" s="3233" t="s">
        <v>2953</v>
      </c>
      <c r="C81" s="3233">
        <v>18080</v>
      </c>
      <c r="D81" s="3233"/>
      <c r="E81" s="3233">
        <v>20900</v>
      </c>
      <c r="F81" s="3233"/>
      <c r="G81" s="3233"/>
    </row>
    <row r="82" spans="1:7" s="3222" customFormat="1" ht="14.25" customHeight="1">
      <c r="A82" s="3233" t="s">
        <v>110</v>
      </c>
      <c r="B82" s="3233" t="s">
        <v>2960</v>
      </c>
      <c r="C82" s="3233"/>
      <c r="D82" s="3233"/>
      <c r="E82" s="3233">
        <v>20840</v>
      </c>
      <c r="F82" s="3233"/>
      <c r="G82" s="3233"/>
    </row>
    <row r="83" spans="1:7" s="3222" customFormat="1" ht="14.25" customHeight="1">
      <c r="A83" s="3233" t="s">
        <v>110</v>
      </c>
      <c r="B83" s="3233" t="s">
        <v>3071</v>
      </c>
      <c r="C83" s="3233"/>
      <c r="D83" s="3233"/>
      <c r="E83" s="3233"/>
      <c r="F83" s="3233">
        <v>4770</v>
      </c>
      <c r="G83" s="3233"/>
    </row>
    <row r="84" spans="1:7" s="3222" customFormat="1" ht="14.25" customHeight="1">
      <c r="A84" s="3233" t="s">
        <v>110</v>
      </c>
      <c r="B84" s="3233" t="s">
        <v>3072</v>
      </c>
      <c r="C84" s="3233"/>
      <c r="D84" s="3233"/>
      <c r="E84" s="3233"/>
      <c r="F84" s="3233">
        <v>4600</v>
      </c>
      <c r="G84" s="3233"/>
    </row>
    <row r="85" spans="1:7" s="3222" customFormat="1" ht="14.25" customHeight="1">
      <c r="A85" s="3233" t="s">
        <v>110</v>
      </c>
      <c r="B85" s="3233" t="s">
        <v>3073</v>
      </c>
      <c r="C85" s="3233"/>
      <c r="D85" s="3233"/>
      <c r="E85" s="3233"/>
      <c r="F85" s="3233">
        <v>4680</v>
      </c>
      <c r="G85" s="3233"/>
    </row>
    <row r="86" spans="1:7" s="3222" customFormat="1" ht="14.25" customHeight="1" thickBot="1">
      <c r="A86" s="3241" t="s">
        <v>110</v>
      </c>
      <c r="B86" s="3243" t="s">
        <v>3074</v>
      </c>
      <c r="C86" s="3244">
        <v>16610</v>
      </c>
      <c r="D86" s="3244">
        <v>16540</v>
      </c>
      <c r="E86" s="3244">
        <v>18850</v>
      </c>
      <c r="F86" s="3244"/>
      <c r="G86" s="3244">
        <v>11220</v>
      </c>
    </row>
    <row r="87" spans="1:7" s="3222" customFormat="1" ht="14.25" customHeight="1">
      <c r="A87" s="3238" t="s">
        <v>303</v>
      </c>
      <c r="B87" s="3229" t="s">
        <v>3075</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2954</v>
      </c>
      <c r="C113" s="3233">
        <v>15520</v>
      </c>
      <c r="D113" s="3233">
        <v>15450</v>
      </c>
      <c r="E113" s="3233"/>
      <c r="F113" s="3233"/>
      <c r="G113" s="3246">
        <v>10210</v>
      </c>
    </row>
    <row r="114" spans="1:7" s="3222" customFormat="1" ht="14.25" customHeight="1">
      <c r="A114" s="3233" t="s">
        <v>303</v>
      </c>
      <c r="B114" s="3233" t="s">
        <v>2961</v>
      </c>
      <c r="C114" s="3233">
        <v>13110</v>
      </c>
      <c r="D114" s="3233">
        <v>13050</v>
      </c>
      <c r="E114" s="3233"/>
      <c r="F114" s="3233"/>
      <c r="G114" s="3246">
        <v>8620</v>
      </c>
    </row>
    <row r="115" spans="1:7" s="3222" customFormat="1" ht="14.25" customHeight="1">
      <c r="A115" s="3233" t="s">
        <v>303</v>
      </c>
      <c r="B115" s="3233" t="s">
        <v>2967</v>
      </c>
      <c r="C115" s="3233">
        <v>12460</v>
      </c>
      <c r="D115" s="3233">
        <v>12390</v>
      </c>
      <c r="E115" s="3233"/>
      <c r="F115" s="3233"/>
      <c r="G115" s="3246">
        <v>8190</v>
      </c>
    </row>
    <row r="116" spans="1:7" s="3222" customFormat="1" ht="14.25" customHeight="1">
      <c r="A116" s="3233" t="s">
        <v>303</v>
      </c>
      <c r="B116" s="3233" t="s">
        <v>2974</v>
      </c>
      <c r="C116" s="3233">
        <v>13580</v>
      </c>
      <c r="D116" s="3233">
        <v>13520</v>
      </c>
      <c r="E116" s="3233"/>
      <c r="F116" s="3233"/>
      <c r="G116" s="3246">
        <v>8930</v>
      </c>
    </row>
    <row r="117" spans="1:7" s="3222" customFormat="1" ht="14.25" customHeight="1">
      <c r="A117" s="3233" t="s">
        <v>303</v>
      </c>
      <c r="B117" s="3233" t="s">
        <v>2981</v>
      </c>
      <c r="C117" s="3233">
        <v>17120</v>
      </c>
      <c r="D117" s="3233">
        <v>17040</v>
      </c>
      <c r="E117" s="3233"/>
      <c r="F117" s="3233"/>
      <c r="G117" s="3246">
        <v>11260</v>
      </c>
    </row>
    <row r="118" spans="1:7" s="3222" customFormat="1" ht="14.25" customHeight="1">
      <c r="A118" s="3233" t="s">
        <v>303</v>
      </c>
      <c r="B118" s="3233" t="s">
        <v>2986</v>
      </c>
      <c r="C118" s="3233">
        <v>14860</v>
      </c>
      <c r="D118" s="3233">
        <v>14790</v>
      </c>
      <c r="E118" s="3233"/>
      <c r="F118" s="3233"/>
      <c r="G118" s="3246">
        <v>9780</v>
      </c>
    </row>
    <row r="119" spans="1:7" s="3222" customFormat="1" ht="14.25" customHeight="1">
      <c r="A119" s="3233" t="s">
        <v>303</v>
      </c>
      <c r="B119" s="3233" t="s">
        <v>2990</v>
      </c>
      <c r="C119" s="3233">
        <v>16470</v>
      </c>
      <c r="D119" s="3233">
        <v>16400</v>
      </c>
      <c r="E119" s="3233"/>
      <c r="F119" s="3233"/>
      <c r="G119" s="3246">
        <v>10840</v>
      </c>
    </row>
    <row r="120" spans="1:7" s="3222" customFormat="1" ht="14.25" customHeight="1">
      <c r="A120" s="3233" t="s">
        <v>303</v>
      </c>
      <c r="B120" s="3233" t="s">
        <v>3076</v>
      </c>
      <c r="C120" s="3233"/>
      <c r="D120" s="3233"/>
      <c r="E120" s="3233"/>
      <c r="F120" s="3233">
        <v>4160</v>
      </c>
      <c r="G120" s="3246"/>
    </row>
    <row r="121" spans="1:7" s="3222" customFormat="1" ht="14.25" customHeight="1">
      <c r="A121" s="3233" t="s">
        <v>303</v>
      </c>
      <c r="B121" s="3233" t="s">
        <v>3077</v>
      </c>
      <c r="C121" s="3233"/>
      <c r="D121" s="3233"/>
      <c r="E121" s="3233"/>
      <c r="F121" s="3233">
        <v>3880</v>
      </c>
      <c r="G121" s="3246"/>
    </row>
    <row r="122" spans="1:7" s="3222" customFormat="1" ht="14.25" customHeight="1">
      <c r="A122" s="3233" t="s">
        <v>303</v>
      </c>
      <c r="B122" s="3233" t="s">
        <v>3078</v>
      </c>
      <c r="C122" s="3233">
        <v>13750</v>
      </c>
      <c r="D122" s="3233">
        <v>13680</v>
      </c>
      <c r="E122" s="3233">
        <v>16460</v>
      </c>
      <c r="F122" s="3233">
        <v>2880</v>
      </c>
      <c r="G122" s="3246">
        <v>9040</v>
      </c>
    </row>
    <row r="123" spans="1:7" s="3222" customFormat="1" ht="14.25" customHeight="1">
      <c r="A123" s="3233" t="s">
        <v>303</v>
      </c>
      <c r="B123" s="3233" t="s">
        <v>3009</v>
      </c>
      <c r="C123" s="3233">
        <v>13590</v>
      </c>
      <c r="D123" s="3233">
        <v>13520</v>
      </c>
      <c r="E123" s="3233">
        <v>16290</v>
      </c>
      <c r="F123" s="3233">
        <v>2790</v>
      </c>
      <c r="G123" s="3246">
        <v>8930</v>
      </c>
    </row>
    <row r="124" spans="1:7" s="3222" customFormat="1" ht="14.25" customHeight="1">
      <c r="A124" s="3233" t="s">
        <v>303</v>
      </c>
      <c r="B124" s="3233" t="s">
        <v>3014</v>
      </c>
      <c r="C124" s="3233">
        <v>13400</v>
      </c>
      <c r="D124" s="3233">
        <v>13320</v>
      </c>
      <c r="E124" s="3233">
        <v>16100</v>
      </c>
      <c r="F124" s="3233">
        <v>2320</v>
      </c>
      <c r="G124" s="3246">
        <v>8800</v>
      </c>
    </row>
    <row r="125" spans="1:7" s="3222" customFormat="1" ht="14.25" customHeight="1">
      <c r="A125" s="3233" t="s">
        <v>303</v>
      </c>
      <c r="B125" s="3233" t="s">
        <v>3019</v>
      </c>
      <c r="C125" s="3233">
        <v>12860</v>
      </c>
      <c r="D125" s="3233">
        <v>12790</v>
      </c>
      <c r="E125" s="3233">
        <v>15370</v>
      </c>
      <c r="F125" s="3233">
        <v>2280</v>
      </c>
      <c r="G125" s="3246">
        <v>8450</v>
      </c>
    </row>
    <row r="126" spans="1:7" s="3222" customFormat="1" ht="14.25" customHeight="1" thickBot="1">
      <c r="A126" s="3247" t="s">
        <v>303</v>
      </c>
      <c r="B126" s="3240" t="s">
        <v>3024</v>
      </c>
      <c r="C126" s="3240">
        <v>12960</v>
      </c>
      <c r="D126" s="3240">
        <v>12890</v>
      </c>
      <c r="E126" s="3240">
        <v>15530</v>
      </c>
      <c r="F126" s="3240">
        <v>2910</v>
      </c>
      <c r="G126" s="3248">
        <v>8520</v>
      </c>
    </row>
    <row r="127" spans="1:7" s="3222" customFormat="1" ht="14.25" customHeight="1">
      <c r="A127" s="3238" t="s">
        <v>29</v>
      </c>
      <c r="B127" s="3229" t="s">
        <v>3079</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3080</v>
      </c>
      <c r="C148" s="3233">
        <v>10370</v>
      </c>
      <c r="D148" s="3233">
        <v>10310</v>
      </c>
      <c r="E148" s="3233">
        <v>12970</v>
      </c>
      <c r="F148" s="3233"/>
      <c r="G148" s="3233">
        <v>6630</v>
      </c>
    </row>
    <row r="149" spans="1:7" s="3222" customFormat="1" ht="14.25" customHeight="1">
      <c r="A149" s="3233" t="s">
        <v>29</v>
      </c>
      <c r="B149" s="3233" t="s">
        <v>3081</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2955</v>
      </c>
      <c r="C153" s="3233">
        <v>10880</v>
      </c>
      <c r="D153" s="3233">
        <v>10820</v>
      </c>
      <c r="E153" s="3233">
        <v>13660</v>
      </c>
      <c r="F153" s="3233">
        <v>2260</v>
      </c>
      <c r="G153" s="3233">
        <v>6970</v>
      </c>
    </row>
    <row r="154" spans="1:7" s="3222" customFormat="1" ht="14.25" customHeight="1">
      <c r="A154" s="3233" t="s">
        <v>29</v>
      </c>
      <c r="B154" s="3233" t="s">
        <v>3082</v>
      </c>
      <c r="C154" s="3233">
        <v>11220</v>
      </c>
      <c r="D154" s="3233">
        <v>11160</v>
      </c>
      <c r="E154" s="3233">
        <v>14130</v>
      </c>
      <c r="F154" s="3233">
        <v>2230</v>
      </c>
      <c r="G154" s="3233">
        <v>7180</v>
      </c>
    </row>
    <row r="155" spans="1:7" s="3222" customFormat="1" ht="14.25" customHeight="1">
      <c r="A155" s="3233" t="s">
        <v>29</v>
      </c>
      <c r="B155" s="3233" t="s">
        <v>2968</v>
      </c>
      <c r="C155" s="3233">
        <v>10430</v>
      </c>
      <c r="D155" s="3233">
        <v>10380</v>
      </c>
      <c r="E155" s="3233">
        <v>13140</v>
      </c>
      <c r="F155" s="3233">
        <v>2080</v>
      </c>
      <c r="G155" s="3233">
        <v>6650</v>
      </c>
    </row>
    <row r="156" spans="1:7" s="3222" customFormat="1" ht="14.25" customHeight="1">
      <c r="A156" s="3233" t="s">
        <v>29</v>
      </c>
      <c r="B156" s="3233" t="s">
        <v>3083</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3084</v>
      </c>
      <c r="C160" s="3233">
        <v>11180</v>
      </c>
      <c r="D160" s="3233">
        <v>11140</v>
      </c>
      <c r="E160" s="3233">
        <v>14050</v>
      </c>
      <c r="F160" s="3233">
        <v>2270</v>
      </c>
      <c r="G160" s="3233">
        <v>7170</v>
      </c>
    </row>
    <row r="161" spans="1:7" s="3222" customFormat="1" ht="14.25" customHeight="1">
      <c r="A161" s="3233" t="s">
        <v>29</v>
      </c>
      <c r="B161" s="3233" t="s">
        <v>3000</v>
      </c>
      <c r="C161" s="3233">
        <v>11160</v>
      </c>
      <c r="D161" s="3233">
        <v>11120</v>
      </c>
      <c r="E161" s="3233">
        <v>14020</v>
      </c>
      <c r="F161" s="3233">
        <v>2150</v>
      </c>
      <c r="G161" s="3233">
        <v>7160</v>
      </c>
    </row>
    <row r="162" spans="1:7" s="3222" customFormat="1" ht="14.25" customHeight="1">
      <c r="A162" s="3233" t="s">
        <v>29</v>
      </c>
      <c r="B162" s="3233" t="s">
        <v>3005</v>
      </c>
      <c r="C162" s="3233">
        <v>9620</v>
      </c>
      <c r="D162" s="3233">
        <v>9570</v>
      </c>
      <c r="E162" s="3233">
        <v>12320</v>
      </c>
      <c r="F162" s="3233">
        <v>2010</v>
      </c>
      <c r="G162" s="3233">
        <v>6160</v>
      </c>
    </row>
    <row r="163" spans="1:7" s="3222" customFormat="1" ht="14.25" customHeight="1">
      <c r="A163" s="3233" t="s">
        <v>29</v>
      </c>
      <c r="B163" s="3233" t="s">
        <v>3010</v>
      </c>
      <c r="C163" s="3233">
        <v>9320</v>
      </c>
      <c r="D163" s="3233">
        <v>9270</v>
      </c>
      <c r="E163" s="3233">
        <v>11790</v>
      </c>
      <c r="F163" s="3233">
        <v>1920</v>
      </c>
      <c r="G163" s="3233">
        <v>5960</v>
      </c>
    </row>
    <row r="164" spans="1:7" s="3222" customFormat="1" ht="14.25" customHeight="1">
      <c r="A164" s="3233" t="s">
        <v>29</v>
      </c>
      <c r="B164" s="3233" t="s">
        <v>3015</v>
      </c>
      <c r="C164" s="3233"/>
      <c r="D164" s="3233"/>
      <c r="E164" s="3233"/>
      <c r="F164" s="3233">
        <v>1980</v>
      </c>
      <c r="G164" s="3233"/>
    </row>
    <row r="165" spans="1:7" s="3222" customFormat="1" ht="14.25" customHeight="1">
      <c r="A165" s="3233" t="s">
        <v>29</v>
      </c>
      <c r="B165" s="3233" t="s">
        <v>3085</v>
      </c>
      <c r="C165" s="3233">
        <v>11060</v>
      </c>
      <c r="D165" s="3233">
        <v>11030</v>
      </c>
      <c r="E165" s="3233">
        <v>13850</v>
      </c>
      <c r="F165" s="3233">
        <v>2170</v>
      </c>
      <c r="G165" s="3233">
        <v>7090</v>
      </c>
    </row>
    <row r="166" spans="1:7" s="3222" customFormat="1" ht="14.25" customHeight="1">
      <c r="A166" s="3233" t="s">
        <v>29</v>
      </c>
      <c r="B166" s="3233" t="s">
        <v>3025</v>
      </c>
      <c r="C166" s="3233">
        <v>11050</v>
      </c>
      <c r="D166" s="3233">
        <v>11010</v>
      </c>
      <c r="E166" s="3233">
        <v>13920</v>
      </c>
      <c r="F166" s="3233">
        <v>2140</v>
      </c>
      <c r="G166" s="3233">
        <v>7080</v>
      </c>
    </row>
    <row r="167" spans="1:7" s="3222" customFormat="1" ht="14.25" customHeight="1">
      <c r="A167" s="3233" t="s">
        <v>29</v>
      </c>
      <c r="B167" s="3233" t="s">
        <v>3029</v>
      </c>
      <c r="C167" s="3233">
        <v>10930</v>
      </c>
      <c r="D167" s="3233">
        <v>10890</v>
      </c>
      <c r="E167" s="3233">
        <v>13790</v>
      </c>
      <c r="F167" s="3233">
        <v>2010</v>
      </c>
      <c r="G167" s="3233">
        <v>7000</v>
      </c>
    </row>
    <row r="168" spans="1:7" s="3222" customFormat="1" ht="14.25" customHeight="1">
      <c r="A168" s="3233" t="s">
        <v>29</v>
      </c>
      <c r="B168" s="3233" t="s">
        <v>3034</v>
      </c>
      <c r="C168" s="3233">
        <v>9420</v>
      </c>
      <c r="D168" s="3233">
        <v>9380</v>
      </c>
      <c r="E168" s="3233">
        <v>11970</v>
      </c>
      <c r="F168" s="3233"/>
      <c r="G168" s="3233">
        <v>6040</v>
      </c>
    </row>
    <row r="169" spans="1:7" s="3222" customFormat="1" ht="14.25" customHeight="1">
      <c r="A169" s="3233" t="s">
        <v>29</v>
      </c>
      <c r="B169" s="3233" t="s">
        <v>3086</v>
      </c>
      <c r="C169" s="3233"/>
      <c r="D169" s="3233"/>
      <c r="E169" s="3233"/>
      <c r="F169" s="3233">
        <v>2880</v>
      </c>
      <c r="G169" s="3233"/>
    </row>
    <row r="170" spans="1:7" s="3222" customFormat="1" ht="14.25" customHeight="1">
      <c r="A170" s="3233" t="s">
        <v>29</v>
      </c>
      <c r="B170" s="3233" t="s">
        <v>3042</v>
      </c>
      <c r="C170" s="3233"/>
      <c r="D170" s="3233"/>
      <c r="E170" s="3233"/>
      <c r="F170" s="3233">
        <v>2880</v>
      </c>
      <c r="G170" s="3233"/>
    </row>
    <row r="171" spans="1:7" s="3222" customFormat="1" ht="14.25" customHeight="1">
      <c r="A171" s="3233" t="s">
        <v>29</v>
      </c>
      <c r="B171" s="3233" t="s">
        <v>3045</v>
      </c>
      <c r="C171" s="3233"/>
      <c r="D171" s="3233"/>
      <c r="E171" s="3233"/>
      <c r="F171" s="3233">
        <v>2880</v>
      </c>
      <c r="G171" s="3233"/>
    </row>
    <row r="172" spans="1:7" s="3222" customFormat="1" ht="14.25" customHeight="1">
      <c r="A172" s="3233" t="s">
        <v>29</v>
      </c>
      <c r="B172" s="3233" t="s">
        <v>3047</v>
      </c>
      <c r="C172" s="3233"/>
      <c r="D172" s="3233"/>
      <c r="E172" s="3233"/>
      <c r="F172" s="3233">
        <v>2880</v>
      </c>
      <c r="G172" s="3233"/>
    </row>
    <row r="173" spans="1:7" s="3222" customFormat="1" ht="14.25" customHeight="1">
      <c r="A173" s="3233" t="s">
        <v>29</v>
      </c>
      <c r="B173" s="3233" t="s">
        <v>3049</v>
      </c>
      <c r="C173" s="3233"/>
      <c r="D173" s="3233"/>
      <c r="E173" s="3233"/>
      <c r="F173" s="3233">
        <v>2150</v>
      </c>
      <c r="G173" s="3233"/>
    </row>
    <row r="174" spans="1:7" s="3222" customFormat="1" ht="14.25" customHeight="1">
      <c r="A174" s="3233" t="s">
        <v>29</v>
      </c>
      <c r="B174" s="3233" t="s">
        <v>3051</v>
      </c>
      <c r="C174" s="3233"/>
      <c r="D174" s="3233"/>
      <c r="E174" s="3233"/>
      <c r="F174" s="3233">
        <v>2030</v>
      </c>
      <c r="G174" s="3233"/>
    </row>
    <row r="175" spans="1:7" s="3222" customFormat="1" ht="14.25" customHeight="1">
      <c r="A175" s="3233" t="s">
        <v>29</v>
      </c>
      <c r="B175" s="3233" t="s">
        <v>3053</v>
      </c>
      <c r="C175" s="3233"/>
      <c r="D175" s="3233"/>
      <c r="E175" s="3233"/>
      <c r="F175" s="3233">
        <v>2780</v>
      </c>
      <c r="G175" s="3233"/>
    </row>
    <row r="176" spans="1:7" s="3222" customFormat="1" ht="14.25" customHeight="1">
      <c r="A176" s="3233" t="s">
        <v>29</v>
      </c>
      <c r="B176" s="3233" t="s">
        <v>3055</v>
      </c>
      <c r="C176" s="3233"/>
      <c r="D176" s="3233"/>
      <c r="E176" s="3233"/>
      <c r="F176" s="3233">
        <v>2780</v>
      </c>
      <c r="G176" s="3233"/>
    </row>
    <row r="177" spans="1:7" s="3222" customFormat="1" ht="14.25" customHeight="1">
      <c r="A177" s="3233" t="s">
        <v>29</v>
      </c>
      <c r="B177" s="3233" t="s">
        <v>3087</v>
      </c>
      <c r="C177" s="3233"/>
      <c r="D177" s="3233"/>
      <c r="E177" s="3233"/>
      <c r="F177" s="3233">
        <v>2780</v>
      </c>
      <c r="G177" s="3233"/>
    </row>
    <row r="178" spans="1:7" s="3222" customFormat="1" ht="14.25" customHeight="1">
      <c r="A178" s="3233" t="s">
        <v>29</v>
      </c>
      <c r="B178" s="3233" t="s">
        <v>3088</v>
      </c>
      <c r="C178" s="3233"/>
      <c r="D178" s="3233"/>
      <c r="E178" s="3233"/>
      <c r="F178" s="3233">
        <v>2060</v>
      </c>
      <c r="G178" s="3233"/>
    </row>
    <row r="179" spans="1:7" s="3222" customFormat="1" ht="14.25" customHeight="1">
      <c r="A179" s="3233" t="s">
        <v>29</v>
      </c>
      <c r="B179" s="3233" t="s">
        <v>3089</v>
      </c>
      <c r="C179" s="3233"/>
      <c r="D179" s="3233"/>
      <c r="E179" s="3233"/>
      <c r="F179" s="3233">
        <v>2120</v>
      </c>
      <c r="G179" s="3233"/>
    </row>
    <row r="180" spans="1:7" s="3222" customFormat="1" ht="14.25" customHeight="1">
      <c r="A180" s="3233" t="s">
        <v>29</v>
      </c>
      <c r="B180" s="3233" t="s">
        <v>3061</v>
      </c>
      <c r="C180" s="3233"/>
      <c r="D180" s="3233"/>
      <c r="E180" s="3233"/>
      <c r="F180" s="3233">
        <v>2340</v>
      </c>
      <c r="G180" s="3233"/>
    </row>
    <row r="181" spans="1:7" s="3222" customFormat="1" ht="14.25" customHeight="1">
      <c r="A181" s="3233" t="s">
        <v>29</v>
      </c>
      <c r="B181" s="3233" t="s">
        <v>3062</v>
      </c>
      <c r="C181" s="3233"/>
      <c r="D181" s="3233"/>
      <c r="E181" s="3233"/>
      <c r="F181" s="3233">
        <v>2340</v>
      </c>
      <c r="G181" s="3233"/>
    </row>
    <row r="182" spans="1:7" s="3222" customFormat="1" ht="14.25" customHeight="1">
      <c r="A182" s="3233" t="s">
        <v>29</v>
      </c>
      <c r="B182" s="3233" t="s">
        <v>3063</v>
      </c>
      <c r="C182" s="3233"/>
      <c r="D182" s="3233"/>
      <c r="E182" s="3233"/>
      <c r="F182" s="3233">
        <v>2340</v>
      </c>
      <c r="G182" s="3233"/>
    </row>
    <row r="183" spans="1:7" s="3222" customFormat="1" ht="14.25" customHeight="1">
      <c r="A183" s="3233" t="s">
        <v>29</v>
      </c>
      <c r="B183" s="3233" t="s">
        <v>3064</v>
      </c>
      <c r="C183" s="3233"/>
      <c r="D183" s="3233"/>
      <c r="E183" s="3233"/>
      <c r="F183" s="3233">
        <v>2340</v>
      </c>
      <c r="G183" s="3233"/>
    </row>
    <row r="184" spans="1:7" s="3222" customFormat="1" ht="14.25" customHeight="1">
      <c r="A184" s="3233" t="s">
        <v>29</v>
      </c>
      <c r="B184" s="3233" t="s">
        <v>3065</v>
      </c>
      <c r="C184" s="3233"/>
      <c r="D184" s="3233"/>
      <c r="E184" s="3233"/>
      <c r="F184" s="3233">
        <v>2340</v>
      </c>
      <c r="G184" s="3233"/>
    </row>
    <row r="185" spans="1:7" s="3222" customFormat="1" ht="14.25" customHeight="1">
      <c r="A185" s="3233" t="s">
        <v>29</v>
      </c>
      <c r="B185" s="3233" t="s">
        <v>3066</v>
      </c>
      <c r="C185" s="3233"/>
      <c r="D185" s="3233"/>
      <c r="E185" s="3233"/>
      <c r="F185" s="3233">
        <v>2530</v>
      </c>
      <c r="G185" s="3233"/>
    </row>
    <row r="186" spans="1:7" s="3222" customFormat="1" ht="14.25" customHeight="1">
      <c r="A186" s="3233" t="s">
        <v>29</v>
      </c>
      <c r="B186" s="3233" t="s">
        <v>3067</v>
      </c>
      <c r="C186" s="3233"/>
      <c r="D186" s="3233"/>
      <c r="E186" s="3233"/>
      <c r="F186" s="3233">
        <v>2550</v>
      </c>
      <c r="G186" s="3233"/>
    </row>
    <row r="187" spans="1:7" s="3222" customFormat="1" ht="14.25" customHeight="1">
      <c r="A187" s="3233" t="s">
        <v>29</v>
      </c>
      <c r="B187" s="3233" t="s">
        <v>3068</v>
      </c>
      <c r="C187" s="3233"/>
      <c r="D187" s="3233"/>
      <c r="E187" s="3233"/>
      <c r="F187" s="3233">
        <v>2070</v>
      </c>
      <c r="G187" s="3233"/>
    </row>
    <row r="188" spans="1:7" s="3222" customFormat="1" ht="14.25" customHeight="1">
      <c r="A188" s="3233" t="s">
        <v>29</v>
      </c>
      <c r="B188" s="3233" t="s">
        <v>3069</v>
      </c>
      <c r="C188" s="3233"/>
      <c r="D188" s="3233"/>
      <c r="E188" s="3233"/>
      <c r="F188" s="3233">
        <v>2340</v>
      </c>
      <c r="G188" s="3233"/>
    </row>
    <row r="189" spans="1:7" s="3222" customFormat="1" ht="14.25" customHeight="1" thickBot="1">
      <c r="A189" s="3241" t="s">
        <v>29</v>
      </c>
      <c r="B189" s="3244" t="s">
        <v>3070</v>
      </c>
      <c r="C189" s="3244"/>
      <c r="D189" s="3244"/>
      <c r="E189" s="3244"/>
      <c r="F189" s="3244">
        <v>2050</v>
      </c>
      <c r="G189" s="3244"/>
    </row>
    <row r="190" spans="1:7" s="3222" customFormat="1" ht="14.25" customHeight="1">
      <c r="A190" s="3238" t="s">
        <v>304</v>
      </c>
      <c r="B190" s="3229" t="s">
        <v>3090</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3091</v>
      </c>
      <c r="C199" s="3233">
        <v>8690</v>
      </c>
      <c r="D199" s="3233">
        <v>8630</v>
      </c>
      <c r="E199" s="3233">
        <v>11350</v>
      </c>
      <c r="F199" s="3233">
        <v>1600</v>
      </c>
      <c r="G199" s="3246">
        <v>5450</v>
      </c>
    </row>
    <row r="200" spans="1:7" s="3222" customFormat="1" ht="14.25" customHeight="1">
      <c r="A200" s="3233" t="s">
        <v>304</v>
      </c>
      <c r="B200" s="3233" t="s">
        <v>2902</v>
      </c>
      <c r="C200" s="3233"/>
      <c r="D200" s="3233"/>
      <c r="E200" s="3233"/>
      <c r="F200" s="3233">
        <v>1510</v>
      </c>
      <c r="G200" s="3246"/>
    </row>
    <row r="201" spans="1:7" s="3222" customFormat="1" ht="14.25" customHeight="1">
      <c r="A201" s="3233" t="s">
        <v>304</v>
      </c>
      <c r="B201" s="3233" t="s">
        <v>3092</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3093</v>
      </c>
      <c r="C203" s="3233">
        <v>8130</v>
      </c>
      <c r="D203" s="3233">
        <v>8070</v>
      </c>
      <c r="E203" s="3233">
        <v>10820</v>
      </c>
      <c r="F203" s="3233">
        <v>1690</v>
      </c>
      <c r="G203" s="3246">
        <v>5100</v>
      </c>
    </row>
    <row r="204" spans="1:7" s="3222" customFormat="1" ht="14.25" customHeight="1">
      <c r="A204" s="3233" t="s">
        <v>304</v>
      </c>
      <c r="B204" s="3233" t="s">
        <v>2913</v>
      </c>
      <c r="C204" s="3233">
        <v>8350</v>
      </c>
      <c r="D204" s="3233">
        <v>8290</v>
      </c>
      <c r="E204" s="3233">
        <v>11080</v>
      </c>
      <c r="F204" s="3233">
        <v>1450</v>
      </c>
      <c r="G204" s="3246">
        <v>5240</v>
      </c>
    </row>
    <row r="205" spans="1:7" s="3222" customFormat="1" ht="14.25" customHeight="1">
      <c r="A205" s="3233" t="s">
        <v>304</v>
      </c>
      <c r="B205" s="3233" t="s">
        <v>2915</v>
      </c>
      <c r="C205" s="3233">
        <v>7190</v>
      </c>
      <c r="D205" s="3233">
        <v>7130</v>
      </c>
      <c r="E205" s="3233">
        <v>9490</v>
      </c>
      <c r="F205" s="3233">
        <v>1470</v>
      </c>
      <c r="G205" s="3246">
        <v>4510</v>
      </c>
    </row>
    <row r="206" spans="1:7" s="3222" customFormat="1" ht="14.25" customHeight="1">
      <c r="A206" s="3233" t="s">
        <v>304</v>
      </c>
      <c r="B206" s="3233" t="s">
        <v>2918</v>
      </c>
      <c r="C206" s="3233">
        <v>7000</v>
      </c>
      <c r="D206" s="3233">
        <v>6950</v>
      </c>
      <c r="E206" s="3233">
        <v>9170</v>
      </c>
      <c r="F206" s="3233">
        <v>1400</v>
      </c>
      <c r="G206" s="3246">
        <v>4380</v>
      </c>
    </row>
    <row r="207" spans="1:7" s="3222" customFormat="1" ht="14.25" customHeight="1">
      <c r="A207" s="3233" t="s">
        <v>304</v>
      </c>
      <c r="B207" s="3233" t="s">
        <v>2920</v>
      </c>
      <c r="C207" s="3233">
        <v>6950</v>
      </c>
      <c r="D207" s="3233">
        <v>6900</v>
      </c>
      <c r="E207" s="3233">
        <v>9110</v>
      </c>
      <c r="F207" s="3233">
        <v>1790</v>
      </c>
      <c r="G207" s="3246">
        <v>4360</v>
      </c>
    </row>
    <row r="208" spans="1:7" s="3222" customFormat="1" ht="14.25" customHeight="1">
      <c r="A208" s="3233" t="s">
        <v>304</v>
      </c>
      <c r="B208" s="3233" t="s">
        <v>3094</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2930</v>
      </c>
      <c r="C210" s="3233">
        <v>8710</v>
      </c>
      <c r="D210" s="3233">
        <v>8660</v>
      </c>
      <c r="E210" s="3233">
        <v>11440</v>
      </c>
      <c r="F210" s="3233">
        <v>1740</v>
      </c>
      <c r="G210" s="3246">
        <v>5470</v>
      </c>
    </row>
    <row r="211" spans="1:7" s="3222" customFormat="1" ht="14.25" customHeight="1">
      <c r="A211" s="3233" t="s">
        <v>304</v>
      </c>
      <c r="B211" s="3233" t="s">
        <v>3095</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3096</v>
      </c>
      <c r="C214" s="3233">
        <v>8090</v>
      </c>
      <c r="D214" s="3233">
        <v>8030</v>
      </c>
      <c r="E214" s="3233">
        <v>10780</v>
      </c>
      <c r="F214" s="3233">
        <v>1570</v>
      </c>
      <c r="G214" s="3246">
        <v>5070</v>
      </c>
    </row>
    <row r="215" spans="1:7" s="3222" customFormat="1" ht="14.25" customHeight="1">
      <c r="A215" s="3233" t="s">
        <v>304</v>
      </c>
      <c r="B215" s="3233" t="s">
        <v>3097</v>
      </c>
      <c r="C215" s="3233">
        <v>7950</v>
      </c>
      <c r="D215" s="3233">
        <v>7900</v>
      </c>
      <c r="E215" s="3233">
        <v>10560</v>
      </c>
      <c r="F215" s="3233">
        <v>1630</v>
      </c>
      <c r="G215" s="3246">
        <v>4990</v>
      </c>
    </row>
    <row r="216" spans="1:7" s="3222" customFormat="1" ht="14.25" customHeight="1">
      <c r="A216" s="3233" t="s">
        <v>304</v>
      </c>
      <c r="B216" s="3233" t="s">
        <v>3098</v>
      </c>
      <c r="C216" s="3233">
        <v>8490</v>
      </c>
      <c r="D216" s="3233">
        <v>8440</v>
      </c>
      <c r="E216" s="3233">
        <v>11260</v>
      </c>
      <c r="F216" s="3233">
        <v>1690</v>
      </c>
      <c r="G216" s="3246">
        <v>5330</v>
      </c>
    </row>
    <row r="217" spans="1:7" s="3222" customFormat="1" ht="14.25" customHeight="1">
      <c r="A217" s="3233" t="s">
        <v>304</v>
      </c>
      <c r="B217" s="3233" t="s">
        <v>2963</v>
      </c>
      <c r="C217" s="3233">
        <v>8200</v>
      </c>
      <c r="D217" s="3233">
        <v>8150</v>
      </c>
      <c r="E217" s="3233">
        <v>10910</v>
      </c>
      <c r="F217" s="3233">
        <v>1670</v>
      </c>
      <c r="G217" s="3246">
        <v>5150</v>
      </c>
    </row>
    <row r="218" spans="1:7" s="3222" customFormat="1" ht="14.25" customHeight="1">
      <c r="A218" s="3233" t="s">
        <v>304</v>
      </c>
      <c r="B218" s="3233" t="s">
        <v>3099</v>
      </c>
      <c r="C218" s="3233"/>
      <c r="D218" s="3233"/>
      <c r="E218" s="3233"/>
      <c r="F218" s="3233">
        <v>2040</v>
      </c>
      <c r="G218" s="3246"/>
    </row>
    <row r="219" spans="1:7" s="3222" customFormat="1" ht="14.25" customHeight="1">
      <c r="A219" s="3233" t="s">
        <v>304</v>
      </c>
      <c r="B219" s="3233" t="s">
        <v>3100</v>
      </c>
      <c r="C219" s="3233"/>
      <c r="D219" s="3233"/>
      <c r="E219" s="3233"/>
      <c r="F219" s="3233">
        <v>2040</v>
      </c>
      <c r="G219" s="3246"/>
    </row>
    <row r="220" spans="1:7" s="3222" customFormat="1" ht="14.25" customHeight="1">
      <c r="A220" s="3233" t="s">
        <v>304</v>
      </c>
      <c r="B220" s="3233" t="s">
        <v>3101</v>
      </c>
      <c r="C220" s="3233"/>
      <c r="D220" s="3233"/>
      <c r="E220" s="3233"/>
      <c r="F220" s="3233">
        <v>2040</v>
      </c>
      <c r="G220" s="3246"/>
    </row>
    <row r="221" spans="1:7" s="3222" customFormat="1" ht="14.25" customHeight="1">
      <c r="A221" s="3233" t="s">
        <v>304</v>
      </c>
      <c r="B221" s="3233" t="s">
        <v>3102</v>
      </c>
      <c r="C221" s="3233"/>
      <c r="D221" s="3233"/>
      <c r="E221" s="3233"/>
      <c r="F221" s="3233">
        <v>2040</v>
      </c>
      <c r="G221" s="3246"/>
    </row>
    <row r="222" spans="1:7" s="3222" customFormat="1" ht="14.25" customHeight="1">
      <c r="A222" s="3233" t="s">
        <v>304</v>
      </c>
      <c r="B222" s="3233" t="s">
        <v>3103</v>
      </c>
      <c r="C222" s="3233"/>
      <c r="D222" s="3233"/>
      <c r="E222" s="3233"/>
      <c r="F222" s="3233">
        <v>2040</v>
      </c>
      <c r="G222" s="3246"/>
    </row>
    <row r="223" spans="1:7" s="3222" customFormat="1" ht="14.25" customHeight="1">
      <c r="A223" s="3233" t="s">
        <v>304</v>
      </c>
      <c r="B223" s="3233" t="s">
        <v>3104</v>
      </c>
      <c r="C223" s="3233"/>
      <c r="D223" s="3233"/>
      <c r="E223" s="3233"/>
      <c r="F223" s="3233">
        <v>1930</v>
      </c>
      <c r="G223" s="3246"/>
    </row>
    <row r="224" spans="1:7" s="3222" customFormat="1" ht="14.25" customHeight="1">
      <c r="A224" s="3233" t="s">
        <v>304</v>
      </c>
      <c r="B224" s="3233" t="s">
        <v>3105</v>
      </c>
      <c r="C224" s="3233"/>
      <c r="D224" s="3233"/>
      <c r="E224" s="3233"/>
      <c r="F224" s="3233">
        <v>1930</v>
      </c>
      <c r="G224" s="3246"/>
    </row>
    <row r="225" spans="1:7" s="3222" customFormat="1" ht="14.25" customHeight="1">
      <c r="A225" s="3233" t="s">
        <v>304</v>
      </c>
      <c r="B225" s="3233" t="s">
        <v>3106</v>
      </c>
      <c r="C225" s="3233"/>
      <c r="D225" s="3233"/>
      <c r="E225" s="3233"/>
      <c r="F225" s="3233">
        <v>1930</v>
      </c>
      <c r="G225" s="3246"/>
    </row>
    <row r="226" spans="1:7" s="3222" customFormat="1" ht="14.25" customHeight="1">
      <c r="A226" s="3233" t="s">
        <v>304</v>
      </c>
      <c r="B226" s="3233" t="s">
        <v>3107</v>
      </c>
      <c r="C226" s="3233"/>
      <c r="D226" s="3233"/>
      <c r="E226" s="3233"/>
      <c r="F226" s="3233">
        <v>1700</v>
      </c>
      <c r="G226" s="3246"/>
    </row>
    <row r="227" spans="1:7" s="3222" customFormat="1" ht="14.25" customHeight="1">
      <c r="A227" s="3233" t="s">
        <v>304</v>
      </c>
      <c r="B227" s="3233" t="s">
        <v>3108</v>
      </c>
      <c r="C227" s="3233"/>
      <c r="D227" s="3233"/>
      <c r="E227" s="3233"/>
      <c r="F227" s="3233">
        <v>1520</v>
      </c>
      <c r="G227" s="3246"/>
    </row>
    <row r="228" spans="1:7" s="3222" customFormat="1" ht="14.25" customHeight="1">
      <c r="A228" s="3233" t="s">
        <v>304</v>
      </c>
      <c r="B228" s="3233" t="s">
        <v>3109</v>
      </c>
      <c r="C228" s="3233"/>
      <c r="D228" s="3233"/>
      <c r="E228" s="3233"/>
      <c r="F228" s="3233">
        <v>1520</v>
      </c>
      <c r="G228" s="3246"/>
    </row>
    <row r="229" spans="1:7" s="3222" customFormat="1" ht="14.25" customHeight="1">
      <c r="A229" s="3233" t="s">
        <v>304</v>
      </c>
      <c r="B229" s="3233" t="s">
        <v>3026</v>
      </c>
      <c r="C229" s="3233"/>
      <c r="D229" s="3233"/>
      <c r="E229" s="3233"/>
      <c r="F229" s="3233">
        <v>1520</v>
      </c>
      <c r="G229" s="3246"/>
    </row>
    <row r="230" spans="1:7" s="3222" customFormat="1" ht="14.25" customHeight="1">
      <c r="A230" s="3233" t="s">
        <v>304</v>
      </c>
      <c r="B230" s="3233" t="s">
        <v>3110</v>
      </c>
      <c r="C230" s="3233"/>
      <c r="D230" s="3233"/>
      <c r="E230" s="3233"/>
      <c r="F230" s="3233">
        <v>1820</v>
      </c>
      <c r="G230" s="3246"/>
    </row>
    <row r="231" spans="1:7" s="3222" customFormat="1" ht="14.25" customHeight="1">
      <c r="A231" s="3233" t="s">
        <v>304</v>
      </c>
      <c r="B231" s="3233" t="s">
        <v>3111</v>
      </c>
      <c r="C231" s="3233"/>
      <c r="D231" s="3233"/>
      <c r="E231" s="3233"/>
      <c r="F231" s="3233">
        <v>1760</v>
      </c>
      <c r="G231" s="3246"/>
    </row>
    <row r="232" spans="1:7" s="3222" customFormat="1" ht="14.25" customHeight="1">
      <c r="A232" s="3233" t="s">
        <v>304</v>
      </c>
      <c r="B232" s="3233" t="s">
        <v>3112</v>
      </c>
      <c r="C232" s="3233"/>
      <c r="D232" s="3233"/>
      <c r="E232" s="3233"/>
      <c r="F232" s="3233">
        <v>1840</v>
      </c>
      <c r="G232" s="3246"/>
    </row>
    <row r="233" spans="1:7" s="3222" customFormat="1" ht="14.25" customHeight="1" thickBot="1">
      <c r="A233" s="3247" t="s">
        <v>304</v>
      </c>
      <c r="B233" s="3240" t="s">
        <v>3043</v>
      </c>
      <c r="C233" s="3240"/>
      <c r="D233" s="3240"/>
      <c r="E233" s="3240"/>
      <c r="F233" s="3240">
        <v>1770</v>
      </c>
      <c r="G233" s="3248"/>
    </row>
    <row r="234" spans="1:7" s="3222" customFormat="1" ht="14.25" customHeight="1">
      <c r="A234" s="3238" t="s">
        <v>305</v>
      </c>
      <c r="B234" s="3229" t="s">
        <v>3113</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2884</v>
      </c>
      <c r="C238" s="3233">
        <v>6920</v>
      </c>
      <c r="D238" s="3233">
        <v>6890</v>
      </c>
      <c r="E238" s="3233">
        <v>8640</v>
      </c>
      <c r="F238" s="3233">
        <v>1310</v>
      </c>
      <c r="G238" s="3233">
        <v>4230</v>
      </c>
    </row>
    <row r="239" spans="1:7" s="3222" customFormat="1" ht="14.25" customHeight="1">
      <c r="A239" s="3233" t="s">
        <v>305</v>
      </c>
      <c r="B239" s="3233" t="s">
        <v>3114</v>
      </c>
      <c r="C239" s="3233">
        <v>6780</v>
      </c>
      <c r="D239" s="3233">
        <v>6750</v>
      </c>
      <c r="E239" s="3233">
        <v>8440</v>
      </c>
      <c r="F239" s="3233">
        <v>1160</v>
      </c>
      <c r="G239" s="3233">
        <v>4140</v>
      </c>
    </row>
    <row r="240" spans="1:7" s="3222" customFormat="1" ht="14.25" customHeight="1">
      <c r="A240" s="3233" t="s">
        <v>305</v>
      </c>
      <c r="B240" s="3233" t="s">
        <v>3115</v>
      </c>
      <c r="C240" s="3233">
        <v>5420</v>
      </c>
      <c r="D240" s="3233">
        <v>5380</v>
      </c>
      <c r="E240" s="3233">
        <v>6640</v>
      </c>
      <c r="F240" s="3233">
        <v>1020</v>
      </c>
      <c r="G240" s="3233">
        <v>3300</v>
      </c>
    </row>
    <row r="241" spans="1:7" s="3222" customFormat="1" ht="14.25" customHeight="1">
      <c r="A241" s="3233" t="s">
        <v>305</v>
      </c>
      <c r="B241" s="3233" t="s">
        <v>3116</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3117</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3118</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3119</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3120</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3121</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2946</v>
      </c>
      <c r="C258" s="3233">
        <v>6190</v>
      </c>
      <c r="D258" s="3233">
        <v>6160</v>
      </c>
      <c r="E258" s="3233">
        <v>7680</v>
      </c>
      <c r="F258" s="3233">
        <v>1170</v>
      </c>
      <c r="G258" s="3233">
        <v>3780</v>
      </c>
    </row>
    <row r="259" spans="1:7" s="3222" customFormat="1" ht="14.25" customHeight="1">
      <c r="A259" s="3233" t="s">
        <v>305</v>
      </c>
      <c r="B259" s="3233" t="s">
        <v>3122</v>
      </c>
      <c r="C259" s="3233">
        <v>7610</v>
      </c>
      <c r="D259" s="3233">
        <v>7570</v>
      </c>
      <c r="E259" s="3233">
        <v>9350</v>
      </c>
      <c r="F259" s="3233">
        <v>1350</v>
      </c>
      <c r="G259" s="3233">
        <v>4650</v>
      </c>
    </row>
    <row r="260" spans="1:7" s="3222" customFormat="1" ht="14.25" customHeight="1">
      <c r="A260" s="3233" t="s">
        <v>305</v>
      </c>
      <c r="B260" s="3233" t="s">
        <v>3123</v>
      </c>
      <c r="C260" s="3233">
        <v>6920</v>
      </c>
      <c r="D260" s="3233">
        <v>6880</v>
      </c>
      <c r="E260" s="3233">
        <v>8380</v>
      </c>
      <c r="F260" s="3233">
        <v>1160</v>
      </c>
      <c r="G260" s="3233">
        <v>4220</v>
      </c>
    </row>
    <row r="261" spans="1:7" s="3222" customFormat="1" ht="14.25" customHeight="1">
      <c r="A261" s="3233" t="s">
        <v>305</v>
      </c>
      <c r="B261" s="3233" t="s">
        <v>3124</v>
      </c>
      <c r="C261" s="3233">
        <v>6850</v>
      </c>
      <c r="D261" s="3233">
        <v>6810</v>
      </c>
      <c r="E261" s="3233">
        <v>8290</v>
      </c>
      <c r="F261" s="3233">
        <v>1130</v>
      </c>
      <c r="G261" s="3233">
        <v>4180</v>
      </c>
    </row>
    <row r="262" spans="1:7" s="3222" customFormat="1" ht="14.25" customHeight="1">
      <c r="A262" s="3233" t="s">
        <v>305</v>
      </c>
      <c r="B262" s="3233" t="s">
        <v>3125</v>
      </c>
      <c r="C262" s="3233">
        <v>5860</v>
      </c>
      <c r="D262" s="3233">
        <v>5820</v>
      </c>
      <c r="E262" s="3233">
        <v>7640</v>
      </c>
      <c r="F262" s="3233">
        <v>1070</v>
      </c>
      <c r="G262" s="3233">
        <v>3570</v>
      </c>
    </row>
    <row r="263" spans="1:7" s="3222" customFormat="1" ht="14.25" customHeight="1">
      <c r="A263" s="3233" t="s">
        <v>305</v>
      </c>
      <c r="B263" s="3233" t="s">
        <v>3126</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3127</v>
      </c>
      <c r="C265" s="3233"/>
      <c r="D265" s="3233"/>
      <c r="E265" s="3233"/>
      <c r="F265" s="3233">
        <v>1500</v>
      </c>
      <c r="G265" s="3233"/>
    </row>
    <row r="266" spans="1:7" s="3222" customFormat="1" ht="14.25" customHeight="1">
      <c r="A266" s="3233" t="s">
        <v>305</v>
      </c>
      <c r="B266" s="3233" t="s">
        <v>3128</v>
      </c>
      <c r="C266" s="3233"/>
      <c r="D266" s="3233"/>
      <c r="E266" s="3233"/>
      <c r="F266" s="3233">
        <v>1500</v>
      </c>
      <c r="G266" s="3233"/>
    </row>
    <row r="267" spans="1:7" s="3222" customFormat="1" ht="14.25" customHeight="1">
      <c r="A267" s="3233" t="s">
        <v>305</v>
      </c>
      <c r="B267" s="3233" t="s">
        <v>3129</v>
      </c>
      <c r="C267" s="3233"/>
      <c r="D267" s="3233"/>
      <c r="E267" s="3233"/>
      <c r="F267" s="3233">
        <v>1500</v>
      </c>
      <c r="G267" s="3233"/>
    </row>
    <row r="268" spans="1:7" s="3222" customFormat="1" ht="14.25" customHeight="1">
      <c r="A268" s="3233" t="s">
        <v>305</v>
      </c>
      <c r="B268" s="3233" t="s">
        <v>3130</v>
      </c>
      <c r="C268" s="3233"/>
      <c r="D268" s="3233"/>
      <c r="E268" s="3233"/>
      <c r="F268" s="3233">
        <v>1290</v>
      </c>
      <c r="G268" s="3233"/>
    </row>
    <row r="269" spans="1:7" s="3222" customFormat="1" ht="14.25" customHeight="1">
      <c r="A269" s="3233" t="s">
        <v>305</v>
      </c>
      <c r="B269" s="3233" t="s">
        <v>3131</v>
      </c>
      <c r="C269" s="3233"/>
      <c r="D269" s="3233"/>
      <c r="E269" s="3233"/>
      <c r="F269" s="3233">
        <v>1150</v>
      </c>
      <c r="G269" s="3233"/>
    </row>
    <row r="270" spans="1:7" s="3222" customFormat="1" ht="14.25" customHeight="1">
      <c r="A270" s="3233" t="s">
        <v>305</v>
      </c>
      <c r="B270" s="3233" t="s">
        <v>3132</v>
      </c>
      <c r="C270" s="3233"/>
      <c r="D270" s="3233"/>
      <c r="E270" s="3233"/>
      <c r="F270" s="3233">
        <v>1380</v>
      </c>
      <c r="G270" s="3233"/>
    </row>
    <row r="271" spans="1:7" s="3222" customFormat="1" ht="14.25" customHeight="1">
      <c r="A271" s="3233" t="s">
        <v>305</v>
      </c>
      <c r="B271" s="3233" t="s">
        <v>3133</v>
      </c>
      <c r="C271" s="3233"/>
      <c r="D271" s="3233"/>
      <c r="E271" s="3233"/>
      <c r="F271" s="3233">
        <v>1460</v>
      </c>
      <c r="G271" s="3233"/>
    </row>
    <row r="272" spans="1:7" s="3222" customFormat="1" ht="14.25" customHeight="1">
      <c r="A272" s="3233" t="s">
        <v>305</v>
      </c>
      <c r="B272" s="3233" t="s">
        <v>3134</v>
      </c>
      <c r="C272" s="3233"/>
      <c r="D272" s="3233"/>
      <c r="E272" s="3233"/>
      <c r="F272" s="3233">
        <v>1460</v>
      </c>
      <c r="G272" s="3233"/>
    </row>
    <row r="273" spans="1:7" s="3222" customFormat="1" ht="14.25" customHeight="1">
      <c r="A273" s="3233" t="s">
        <v>305</v>
      </c>
      <c r="B273" s="3233" t="s">
        <v>3027</v>
      </c>
      <c r="C273" s="3233"/>
      <c r="D273" s="3233"/>
      <c r="E273" s="3233"/>
      <c r="F273" s="3233">
        <v>1490</v>
      </c>
      <c r="G273" s="3233"/>
    </row>
    <row r="274" spans="1:7" s="3222" customFormat="1" ht="14.25" customHeight="1">
      <c r="A274" s="3233" t="s">
        <v>305</v>
      </c>
      <c r="B274" s="3233" t="s">
        <v>3135</v>
      </c>
      <c r="C274" s="3233"/>
      <c r="D274" s="3233"/>
      <c r="E274" s="3233"/>
      <c r="F274" s="3233">
        <v>1490</v>
      </c>
      <c r="G274" s="3233"/>
    </row>
    <row r="275" spans="1:7" s="3222" customFormat="1" ht="14.25" customHeight="1">
      <c r="A275" s="3233" t="s">
        <v>305</v>
      </c>
      <c r="B275" s="3233" t="s">
        <v>3136</v>
      </c>
      <c r="C275" s="3233"/>
      <c r="D275" s="3233"/>
      <c r="E275" s="3233"/>
      <c r="F275" s="3233">
        <v>1220</v>
      </c>
      <c r="G275" s="3233"/>
    </row>
    <row r="276" spans="1:7" s="3222" customFormat="1" ht="14.25" customHeight="1" thickBot="1">
      <c r="A276" s="3241" t="s">
        <v>305</v>
      </c>
      <c r="B276" s="3243" t="s">
        <v>3137</v>
      </c>
      <c r="C276" s="3244"/>
      <c r="D276" s="3244"/>
      <c r="E276" s="3244"/>
      <c r="F276" s="3244">
        <v>1380</v>
      </c>
      <c r="G276" s="3244"/>
    </row>
    <row r="277" spans="1:7" s="3222" customFormat="1" ht="14.25" customHeight="1">
      <c r="A277" s="3238" t="s">
        <v>306</v>
      </c>
      <c r="B277" s="3229" t="s">
        <v>3138</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3139</v>
      </c>
      <c r="C279" s="3233">
        <v>4760</v>
      </c>
      <c r="D279" s="3233">
        <v>4720</v>
      </c>
      <c r="E279" s="3233">
        <v>5540</v>
      </c>
      <c r="F279" s="3233">
        <v>810</v>
      </c>
      <c r="G279" s="3246">
        <v>2850</v>
      </c>
    </row>
    <row r="280" spans="1:7" s="3222" customFormat="1" ht="14.25" customHeight="1">
      <c r="A280" s="3233" t="s">
        <v>306</v>
      </c>
      <c r="B280" s="3233" t="s">
        <v>3140</v>
      </c>
      <c r="C280" s="3233">
        <v>4010</v>
      </c>
      <c r="D280" s="3233">
        <v>3950</v>
      </c>
      <c r="E280" s="3233">
        <v>4710</v>
      </c>
      <c r="F280" s="3233">
        <v>800</v>
      </c>
      <c r="G280" s="3246">
        <v>2390</v>
      </c>
    </row>
    <row r="281" spans="1:7" s="3222" customFormat="1" ht="14.25" customHeight="1">
      <c r="A281" s="3233" t="s">
        <v>306</v>
      </c>
      <c r="B281" s="3233" t="s">
        <v>3141</v>
      </c>
      <c r="C281" s="3233">
        <v>4480</v>
      </c>
      <c r="D281" s="3233">
        <v>4420</v>
      </c>
      <c r="E281" s="3233">
        <v>5230</v>
      </c>
      <c r="F281" s="3233">
        <v>870</v>
      </c>
      <c r="G281" s="3246">
        <v>2660</v>
      </c>
    </row>
    <row r="282" spans="1:7" s="3222" customFormat="1" ht="14.25" customHeight="1">
      <c r="A282" s="3233" t="s">
        <v>306</v>
      </c>
      <c r="B282" s="3233" t="s">
        <v>3142</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3143</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3144</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2919</v>
      </c>
      <c r="C293" s="3233">
        <v>5320</v>
      </c>
      <c r="D293" s="3233">
        <v>5270</v>
      </c>
      <c r="E293" s="3233">
        <v>6160</v>
      </c>
      <c r="F293" s="3233">
        <v>990</v>
      </c>
      <c r="G293" s="3246">
        <v>3170</v>
      </c>
    </row>
    <row r="294" spans="1:7" s="3222" customFormat="1" ht="14.25" customHeight="1">
      <c r="A294" s="3233" t="s">
        <v>306</v>
      </c>
      <c r="B294" s="3233" t="s">
        <v>3145</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2938</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3146</v>
      </c>
      <c r="C302" s="3233">
        <v>5520</v>
      </c>
      <c r="D302" s="3233">
        <v>5470</v>
      </c>
      <c r="E302" s="3233">
        <v>6410</v>
      </c>
      <c r="F302" s="3233">
        <v>950</v>
      </c>
      <c r="G302" s="3246">
        <v>3300</v>
      </c>
    </row>
    <row r="303" spans="1:7" s="3222" customFormat="1" ht="14.25" customHeight="1">
      <c r="A303" s="3233" t="s">
        <v>306</v>
      </c>
      <c r="B303" s="3233" t="s">
        <v>2958</v>
      </c>
      <c r="C303" s="3233">
        <v>5630</v>
      </c>
      <c r="D303" s="3233">
        <v>5590</v>
      </c>
      <c r="E303" s="3233">
        <v>6550</v>
      </c>
      <c r="F303" s="3233">
        <v>1010</v>
      </c>
      <c r="G303" s="3246">
        <v>3370</v>
      </c>
    </row>
    <row r="304" spans="1:7" s="3222" customFormat="1" ht="14.25" customHeight="1">
      <c r="A304" s="3233" t="s">
        <v>306</v>
      </c>
      <c r="B304" s="3233" t="s">
        <v>2965</v>
      </c>
      <c r="C304" s="3233">
        <v>5680</v>
      </c>
      <c r="D304" s="3233">
        <v>5620</v>
      </c>
      <c r="E304" s="3233">
        <v>6620</v>
      </c>
      <c r="F304" s="3233">
        <v>1050</v>
      </c>
      <c r="G304" s="3246">
        <v>3390</v>
      </c>
    </row>
    <row r="305" spans="1:7" s="3222" customFormat="1" ht="14.25" customHeight="1">
      <c r="A305" s="3233" t="s">
        <v>306</v>
      </c>
      <c r="B305" s="3233" t="s">
        <v>2971</v>
      </c>
      <c r="C305" s="3233">
        <v>5590</v>
      </c>
      <c r="D305" s="3233">
        <v>5530</v>
      </c>
      <c r="E305" s="3233">
        <v>6460</v>
      </c>
      <c r="F305" s="3233">
        <v>900</v>
      </c>
      <c r="G305" s="3246">
        <v>3340</v>
      </c>
    </row>
    <row r="306" spans="1:7" s="3222" customFormat="1" ht="14.25" customHeight="1">
      <c r="A306" s="3233" t="s">
        <v>306</v>
      </c>
      <c r="B306" s="3233" t="s">
        <v>3147</v>
      </c>
      <c r="C306" s="3233">
        <v>5560</v>
      </c>
      <c r="D306" s="3233">
        <v>5510</v>
      </c>
      <c r="E306" s="3233">
        <v>6440</v>
      </c>
      <c r="F306" s="3233">
        <v>900</v>
      </c>
      <c r="G306" s="3246">
        <v>3320</v>
      </c>
    </row>
    <row r="307" spans="1:7" s="3222" customFormat="1" ht="14.25" customHeight="1">
      <c r="A307" s="3233" t="s">
        <v>306</v>
      </c>
      <c r="B307" s="3233" t="s">
        <v>2983</v>
      </c>
      <c r="C307" s="3233">
        <v>5650</v>
      </c>
      <c r="D307" s="3233">
        <v>5600</v>
      </c>
      <c r="E307" s="3233">
        <v>6590</v>
      </c>
      <c r="F307" s="3233">
        <v>930</v>
      </c>
      <c r="G307" s="3246">
        <v>3380</v>
      </c>
    </row>
    <row r="308" spans="1:7" s="3222" customFormat="1" ht="14.25" customHeight="1">
      <c r="A308" s="3233" t="s">
        <v>306</v>
      </c>
      <c r="B308" s="3233" t="s">
        <v>3148</v>
      </c>
      <c r="C308" s="3233">
        <v>5620</v>
      </c>
      <c r="D308" s="3233">
        <v>5580</v>
      </c>
      <c r="E308" s="3233">
        <v>6540</v>
      </c>
      <c r="F308" s="3233">
        <v>910</v>
      </c>
      <c r="G308" s="3246">
        <v>3370</v>
      </c>
    </row>
    <row r="309" spans="1:7" s="3222" customFormat="1" ht="14.25" customHeight="1">
      <c r="A309" s="3233" t="s">
        <v>306</v>
      </c>
      <c r="B309" s="3233" t="s">
        <v>3149</v>
      </c>
      <c r="C309" s="3233">
        <v>5060</v>
      </c>
      <c r="D309" s="3233">
        <v>5020</v>
      </c>
      <c r="E309" s="3233">
        <v>6370</v>
      </c>
      <c r="F309" s="3233">
        <v>800</v>
      </c>
      <c r="G309" s="3246">
        <v>3020</v>
      </c>
    </row>
    <row r="310" spans="1:7" s="3222" customFormat="1" ht="14.25" customHeight="1">
      <c r="A310" s="3233" t="s">
        <v>306</v>
      </c>
      <c r="B310" s="3233" t="s">
        <v>2998</v>
      </c>
      <c r="C310" s="3233">
        <v>5150</v>
      </c>
      <c r="D310" s="3233">
        <v>5110</v>
      </c>
      <c r="E310" s="3233">
        <v>6500</v>
      </c>
      <c r="F310" s="3233">
        <v>880</v>
      </c>
      <c r="G310" s="3246">
        <v>3080</v>
      </c>
    </row>
    <row r="311" spans="1:7" s="3222" customFormat="1" ht="14.25" customHeight="1">
      <c r="A311" s="3233" t="s">
        <v>306</v>
      </c>
      <c r="B311" s="3233" t="s">
        <v>3150</v>
      </c>
      <c r="C311" s="3233">
        <v>4750</v>
      </c>
      <c r="D311" s="3233">
        <v>4710</v>
      </c>
      <c r="E311" s="3233">
        <v>5510</v>
      </c>
      <c r="F311" s="3233">
        <v>880</v>
      </c>
      <c r="G311" s="3246">
        <v>2840</v>
      </c>
    </row>
    <row r="312" spans="1:7" s="3222" customFormat="1" ht="14.25" customHeight="1">
      <c r="A312" s="3233" t="s">
        <v>306</v>
      </c>
      <c r="B312" s="3233" t="s">
        <v>3008</v>
      </c>
      <c r="C312" s="3233">
        <v>4690</v>
      </c>
      <c r="D312" s="3233">
        <v>4640</v>
      </c>
      <c r="E312" s="3233">
        <v>5420</v>
      </c>
      <c r="F312" s="3233">
        <v>800</v>
      </c>
      <c r="G312" s="3246">
        <v>2800</v>
      </c>
    </row>
    <row r="313" spans="1:7" s="3222" customFormat="1" ht="14.25" customHeight="1">
      <c r="A313" s="3233" t="s">
        <v>306</v>
      </c>
      <c r="B313" s="3233" t="s">
        <v>3013</v>
      </c>
      <c r="C313" s="3233">
        <v>4810</v>
      </c>
      <c r="D313" s="3233">
        <v>4760</v>
      </c>
      <c r="E313" s="3233">
        <v>5550</v>
      </c>
      <c r="F313" s="3233">
        <v>920</v>
      </c>
      <c r="G313" s="3246">
        <v>2870</v>
      </c>
    </row>
    <row r="314" spans="1:7" s="3222" customFormat="1" ht="14.25" customHeight="1">
      <c r="A314" s="3233" t="s">
        <v>306</v>
      </c>
      <c r="B314" s="3233" t="s">
        <v>3151</v>
      </c>
      <c r="C314" s="3233"/>
      <c r="D314" s="3233"/>
      <c r="E314" s="3233"/>
      <c r="F314" s="3233">
        <v>1020</v>
      </c>
      <c r="G314" s="3246"/>
    </row>
    <row r="315" spans="1:7" s="3222" customFormat="1" ht="14.25" customHeight="1">
      <c r="A315" s="3233" t="s">
        <v>306</v>
      </c>
      <c r="B315" s="3233" t="s">
        <v>3152</v>
      </c>
      <c r="C315" s="3233"/>
      <c r="D315" s="3233"/>
      <c r="E315" s="3233"/>
      <c r="F315" s="3233">
        <v>1050</v>
      </c>
      <c r="G315" s="3246"/>
    </row>
    <row r="316" spans="1:7" s="3222" customFormat="1" ht="14.25" customHeight="1">
      <c r="A316" s="3233" t="s">
        <v>306</v>
      </c>
      <c r="B316" s="3233" t="s">
        <v>3028</v>
      </c>
      <c r="C316" s="3233"/>
      <c r="D316" s="3233"/>
      <c r="E316" s="3233"/>
      <c r="F316" s="3233">
        <v>900</v>
      </c>
      <c r="G316" s="3246"/>
    </row>
    <row r="317" spans="1:7" s="3222" customFormat="1" ht="14.25" customHeight="1">
      <c r="A317" s="3233" t="s">
        <v>306</v>
      </c>
      <c r="B317" s="3233" t="s">
        <v>3153</v>
      </c>
      <c r="C317" s="3233"/>
      <c r="D317" s="3233"/>
      <c r="E317" s="3233"/>
      <c r="F317" s="3233">
        <v>920</v>
      </c>
      <c r="G317" s="3246"/>
    </row>
    <row r="318" spans="1:7" s="3222" customFormat="1" ht="14.25" customHeight="1">
      <c r="A318" s="3233" t="s">
        <v>306</v>
      </c>
      <c r="B318" s="3233" t="s">
        <v>3154</v>
      </c>
      <c r="C318" s="3233"/>
      <c r="D318" s="3233"/>
      <c r="E318" s="3233"/>
      <c r="F318" s="3233">
        <v>1080</v>
      </c>
      <c r="G318" s="3246"/>
    </row>
    <row r="319" spans="1:7" s="3222" customFormat="1" ht="14.25" customHeight="1">
      <c r="A319" s="3233" t="s">
        <v>306</v>
      </c>
      <c r="B319" s="3233" t="s">
        <v>3041</v>
      </c>
      <c r="C319" s="3233"/>
      <c r="D319" s="3233"/>
      <c r="E319" s="3233"/>
      <c r="F319" s="3233">
        <v>1020</v>
      </c>
      <c r="G319" s="3246"/>
    </row>
    <row r="320" spans="1:7" s="3222" customFormat="1" ht="14.25" customHeight="1">
      <c r="A320" s="3233" t="s">
        <v>306</v>
      </c>
      <c r="B320" s="3233" t="s">
        <v>3044</v>
      </c>
      <c r="C320" s="3233"/>
      <c r="D320" s="3233"/>
      <c r="E320" s="3233"/>
      <c r="F320" s="3233">
        <v>1050</v>
      </c>
      <c r="G320" s="3246"/>
    </row>
    <row r="321" spans="1:7" s="3222" customFormat="1" ht="14.25" customHeight="1">
      <c r="A321" s="3233" t="s">
        <v>306</v>
      </c>
      <c r="B321" s="3233" t="s">
        <v>3046</v>
      </c>
      <c r="C321" s="3233"/>
      <c r="D321" s="3233"/>
      <c r="E321" s="3233"/>
      <c r="F321" s="3233">
        <v>960</v>
      </c>
      <c r="G321" s="3246"/>
    </row>
    <row r="322" spans="1:7" s="3222" customFormat="1" ht="14.25" customHeight="1">
      <c r="A322" s="3233" t="s">
        <v>306</v>
      </c>
      <c r="B322" s="3233" t="s">
        <v>3048</v>
      </c>
      <c r="C322" s="3233"/>
      <c r="D322" s="3233"/>
      <c r="E322" s="3233"/>
      <c r="F322" s="3233">
        <v>960</v>
      </c>
      <c r="G322" s="3246"/>
    </row>
    <row r="323" spans="1:7" s="3222" customFormat="1" ht="14.25" customHeight="1">
      <c r="A323" s="3233" t="s">
        <v>306</v>
      </c>
      <c r="B323" s="3233" t="s">
        <v>3050</v>
      </c>
      <c r="C323" s="3233"/>
      <c r="D323" s="3233"/>
      <c r="E323" s="3233"/>
      <c r="F323" s="3233">
        <v>880</v>
      </c>
      <c r="G323" s="3246"/>
    </row>
    <row r="324" spans="1:7" s="3222" customFormat="1" ht="14.25" customHeight="1">
      <c r="A324" s="3233" t="s">
        <v>306</v>
      </c>
      <c r="B324" s="3233" t="s">
        <v>3052</v>
      </c>
      <c r="C324" s="3233"/>
      <c r="D324" s="3233"/>
      <c r="E324" s="3233"/>
      <c r="F324" s="3233">
        <v>930</v>
      </c>
      <c r="G324" s="3246"/>
    </row>
    <row r="325" spans="1:7" s="3222" customFormat="1" ht="14.25" customHeight="1">
      <c r="A325" s="3233" t="s">
        <v>306</v>
      </c>
      <c r="B325" s="3234" t="s">
        <v>3054</v>
      </c>
      <c r="C325" s="3233"/>
      <c r="D325" s="3233"/>
      <c r="E325" s="3233"/>
      <c r="F325" s="3233">
        <v>900</v>
      </c>
      <c r="G325" s="3246"/>
    </row>
    <row r="326" spans="1:7" s="3222" customFormat="1" ht="14.25" customHeight="1" thickBot="1">
      <c r="A326" s="3247" t="s">
        <v>306</v>
      </c>
      <c r="B326" s="3240" t="s">
        <v>3056</v>
      </c>
      <c r="C326" s="3240"/>
      <c r="D326" s="3240"/>
      <c r="E326" s="3240"/>
      <c r="F326" s="3240">
        <v>790</v>
      </c>
      <c r="G326" s="3248"/>
    </row>
    <row r="327" spans="1:7" s="3222" customFormat="1" ht="14.25" customHeight="1">
      <c r="A327" s="3238" t="s">
        <v>307</v>
      </c>
      <c r="B327" s="3229" t="s">
        <v>3155</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3156</v>
      </c>
      <c r="C329" s="3233">
        <v>2730</v>
      </c>
      <c r="D329" s="3233">
        <v>2690</v>
      </c>
      <c r="E329" s="3233">
        <v>3100</v>
      </c>
      <c r="F329" s="3233">
        <v>660</v>
      </c>
      <c r="G329" s="3233">
        <v>1610</v>
      </c>
    </row>
    <row r="330" spans="1:7" s="3222" customFormat="1" ht="14.25" customHeight="1">
      <c r="A330" s="3233" t="s">
        <v>307</v>
      </c>
      <c r="B330" s="3233" t="s">
        <v>3157</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2890</v>
      </c>
      <c r="C332" s="3233">
        <v>3520</v>
      </c>
      <c r="D332" s="3233">
        <v>3480</v>
      </c>
      <c r="E332" s="3233">
        <v>3830</v>
      </c>
      <c r="F332" s="3233">
        <v>720</v>
      </c>
      <c r="G332" s="3233">
        <v>2090</v>
      </c>
    </row>
    <row r="333" spans="1:7" s="3222" customFormat="1" ht="14.25" customHeight="1">
      <c r="A333" s="3233" t="s">
        <v>307</v>
      </c>
      <c r="B333" s="3233" t="s">
        <v>3158</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2900</v>
      </c>
      <c r="C336" s="3233">
        <v>3570</v>
      </c>
      <c r="D336" s="3233">
        <v>3530</v>
      </c>
      <c r="E336" s="3233">
        <v>3880</v>
      </c>
      <c r="F336" s="3233">
        <v>770</v>
      </c>
      <c r="G336" s="3233">
        <v>2110</v>
      </c>
    </row>
    <row r="337" spans="1:10" s="3222" customFormat="1" ht="14.25" customHeight="1">
      <c r="A337" s="3233" t="s">
        <v>307</v>
      </c>
      <c r="B337" s="3233" t="s">
        <v>3159</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3160</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3161</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2925</v>
      </c>
      <c r="C345" s="3233">
        <v>3190</v>
      </c>
      <c r="D345" s="3233">
        <v>3140</v>
      </c>
      <c r="E345" s="3233">
        <v>3450</v>
      </c>
      <c r="F345" s="3233">
        <v>720</v>
      </c>
      <c r="G345" s="3233">
        <v>1880</v>
      </c>
      <c r="J345" s="3222"/>
    </row>
    <row r="346" spans="1:10">
      <c r="A346" s="3233" t="s">
        <v>307</v>
      </c>
      <c r="B346" s="3233" t="s">
        <v>3162</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2934</v>
      </c>
      <c r="C348" s="3233">
        <v>4000</v>
      </c>
      <c r="D348" s="3233">
        <v>3950</v>
      </c>
      <c r="E348" s="3233">
        <v>4430</v>
      </c>
      <c r="F348" s="3233">
        <v>760</v>
      </c>
      <c r="G348" s="3233">
        <v>2360</v>
      </c>
      <c r="J348" s="3222"/>
    </row>
    <row r="349" spans="1:10">
      <c r="A349" s="3233" t="s">
        <v>307</v>
      </c>
      <c r="B349" s="3233" t="s">
        <v>2939</v>
      </c>
      <c r="C349" s="3233">
        <v>3820</v>
      </c>
      <c r="D349" s="3233">
        <v>3780</v>
      </c>
      <c r="E349" s="3233">
        <v>4170</v>
      </c>
      <c r="F349" s="3233">
        <v>710</v>
      </c>
      <c r="G349" s="3233">
        <v>2260</v>
      </c>
      <c r="J349" s="3222"/>
    </row>
    <row r="350" spans="1:10">
      <c r="A350" s="3233" t="s">
        <v>307</v>
      </c>
      <c r="B350" s="3233" t="s">
        <v>3163</v>
      </c>
      <c r="C350" s="3233">
        <v>3760</v>
      </c>
      <c r="D350" s="3233">
        <v>3730</v>
      </c>
      <c r="E350" s="3233">
        <v>4100</v>
      </c>
      <c r="F350" s="3233">
        <v>800</v>
      </c>
      <c r="G350" s="3233">
        <v>2230</v>
      </c>
      <c r="J350" s="3222"/>
    </row>
    <row r="351" spans="1:10">
      <c r="A351" s="3233" t="s">
        <v>307</v>
      </c>
      <c r="B351" s="3233" t="s">
        <v>2947</v>
      </c>
      <c r="C351" s="3233">
        <v>3610</v>
      </c>
      <c r="D351" s="3233">
        <v>3580</v>
      </c>
      <c r="E351" s="3233">
        <v>3930</v>
      </c>
      <c r="F351" s="3233">
        <v>700</v>
      </c>
      <c r="G351" s="3233">
        <v>2140</v>
      </c>
      <c r="J351" s="3222"/>
    </row>
    <row r="352" spans="1:10">
      <c r="A352" s="3233" t="s">
        <v>307</v>
      </c>
      <c r="B352" s="3233" t="s">
        <v>2952</v>
      </c>
      <c r="C352" s="3233">
        <v>3670</v>
      </c>
      <c r="D352" s="3233">
        <v>3630</v>
      </c>
      <c r="E352" s="3233">
        <v>4000</v>
      </c>
      <c r="F352" s="3233">
        <v>750</v>
      </c>
      <c r="G352" s="3233">
        <v>2180</v>
      </c>
    </row>
    <row r="353" spans="1:7" s="3226" customFormat="1">
      <c r="A353" s="3233" t="s">
        <v>307</v>
      </c>
      <c r="B353" s="3233" t="s">
        <v>3164</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2972</v>
      </c>
      <c r="C355" s="3233">
        <v>3650</v>
      </c>
      <c r="D355" s="3233">
        <v>3610</v>
      </c>
      <c r="E355" s="3233">
        <v>4200</v>
      </c>
      <c r="F355" s="3233">
        <v>640</v>
      </c>
      <c r="G355" s="3233">
        <v>2160</v>
      </c>
    </row>
    <row r="356" spans="1:7" s="3226" customFormat="1">
      <c r="A356" s="3233" t="s">
        <v>307</v>
      </c>
      <c r="B356" s="3233" t="s">
        <v>2979</v>
      </c>
      <c r="C356" s="3233">
        <v>3260</v>
      </c>
      <c r="D356" s="3233">
        <v>3230</v>
      </c>
      <c r="E356" s="3233">
        <v>3740</v>
      </c>
      <c r="F356" s="3233">
        <v>600</v>
      </c>
      <c r="G356" s="3233">
        <v>1930</v>
      </c>
    </row>
    <row r="357" spans="1:7" s="3226" customFormat="1" ht="12" thickBot="1">
      <c r="A357" s="3241" t="s">
        <v>307</v>
      </c>
      <c r="B357" s="3244" t="s">
        <v>3165</v>
      </c>
      <c r="C357" s="3244">
        <v>3690</v>
      </c>
      <c r="D357" s="3244">
        <v>3650</v>
      </c>
      <c r="E357" s="3244">
        <v>4020</v>
      </c>
      <c r="F357" s="3244">
        <v>700</v>
      </c>
      <c r="G357" s="3244">
        <v>2190</v>
      </c>
    </row>
    <row r="358" spans="1:7" s="3226" customFormat="1">
      <c r="A358" s="3238" t="s">
        <v>3166</v>
      </c>
      <c r="B358" s="3229" t="s">
        <v>3167</v>
      </c>
      <c r="C358" s="3229">
        <v>2080</v>
      </c>
      <c r="D358" s="3229">
        <v>2040</v>
      </c>
      <c r="E358" s="3229">
        <v>2010</v>
      </c>
      <c r="F358" s="3229">
        <v>530</v>
      </c>
      <c r="G358" s="3245">
        <v>1230</v>
      </c>
    </row>
    <row r="359" spans="1:7" s="3226" customFormat="1">
      <c r="A359" s="3233" t="s">
        <v>3166</v>
      </c>
      <c r="B359" s="3233" t="s">
        <v>3168</v>
      </c>
      <c r="C359" s="3233">
        <v>1850</v>
      </c>
      <c r="D359" s="3233">
        <v>1820</v>
      </c>
      <c r="E359" s="3233">
        <v>1780</v>
      </c>
      <c r="F359" s="3233">
        <v>520</v>
      </c>
      <c r="G359" s="3246">
        <v>1100</v>
      </c>
    </row>
    <row r="360" spans="1:7" s="3226" customFormat="1">
      <c r="A360" s="3233" t="s">
        <v>3166</v>
      </c>
      <c r="B360" s="3233" t="s">
        <v>3169</v>
      </c>
      <c r="C360" s="3233">
        <v>2020</v>
      </c>
      <c r="D360" s="3233">
        <v>1990</v>
      </c>
      <c r="E360" s="3233">
        <v>1950</v>
      </c>
      <c r="F360" s="3233">
        <v>500</v>
      </c>
      <c r="G360" s="3246">
        <v>1200</v>
      </c>
    </row>
    <row r="361" spans="1:7" s="3226" customFormat="1">
      <c r="A361" s="3233" t="s">
        <v>3166</v>
      </c>
      <c r="B361" s="3233" t="s">
        <v>153</v>
      </c>
      <c r="C361" s="3233">
        <v>2260</v>
      </c>
      <c r="D361" s="3233">
        <v>2220</v>
      </c>
      <c r="E361" s="3233">
        <v>2180</v>
      </c>
      <c r="F361" s="3233">
        <v>580</v>
      </c>
      <c r="G361" s="3246">
        <v>1340</v>
      </c>
    </row>
    <row r="362" spans="1:7" s="3226" customFormat="1">
      <c r="A362" s="3233" t="s">
        <v>3166</v>
      </c>
      <c r="B362" s="3233" t="s">
        <v>3170</v>
      </c>
      <c r="C362" s="3233">
        <v>2650</v>
      </c>
      <c r="D362" s="3233">
        <v>2610</v>
      </c>
      <c r="E362" s="3233">
        <v>2570</v>
      </c>
      <c r="F362" s="3233">
        <v>630</v>
      </c>
      <c r="G362" s="3246">
        <v>1570</v>
      </c>
    </row>
    <row r="363" spans="1:7" s="3226" customFormat="1">
      <c r="A363" s="3233" t="s">
        <v>3166</v>
      </c>
      <c r="B363" s="3233" t="s">
        <v>2891</v>
      </c>
      <c r="C363" s="3233">
        <v>2390</v>
      </c>
      <c r="D363" s="3233">
        <v>2360</v>
      </c>
      <c r="E363" s="3233">
        <v>2320</v>
      </c>
      <c r="F363" s="3233">
        <v>600</v>
      </c>
      <c r="G363" s="3246">
        <v>1420</v>
      </c>
    </row>
    <row r="364" spans="1:7" s="3226" customFormat="1">
      <c r="A364" s="3233" t="s">
        <v>3166</v>
      </c>
      <c r="B364" s="3233" t="s">
        <v>3171</v>
      </c>
      <c r="C364" s="3233">
        <v>2050</v>
      </c>
      <c r="D364" s="3233">
        <v>2030</v>
      </c>
      <c r="E364" s="3233">
        <v>1990</v>
      </c>
      <c r="F364" s="3233">
        <v>550</v>
      </c>
      <c r="G364" s="3246">
        <v>1220</v>
      </c>
    </row>
    <row r="365" spans="1:7" s="3226" customFormat="1">
      <c r="A365" s="3233" t="s">
        <v>3166</v>
      </c>
      <c r="B365" s="3233" t="s">
        <v>200</v>
      </c>
      <c r="C365" s="3233">
        <v>2140</v>
      </c>
      <c r="D365" s="3233">
        <v>2100</v>
      </c>
      <c r="E365" s="3233">
        <v>2060</v>
      </c>
      <c r="F365" s="3233">
        <v>540</v>
      </c>
      <c r="G365" s="3246">
        <v>1270</v>
      </c>
    </row>
    <row r="366" spans="1:7" s="3226" customFormat="1">
      <c r="A366" s="3233" t="s">
        <v>3166</v>
      </c>
      <c r="B366" s="3233" t="s">
        <v>2898</v>
      </c>
      <c r="C366" s="3233">
        <v>2410</v>
      </c>
      <c r="D366" s="3233">
        <v>2370</v>
      </c>
      <c r="E366" s="3233">
        <v>2330</v>
      </c>
      <c r="F366" s="3233">
        <v>570</v>
      </c>
      <c r="G366" s="3246">
        <v>1440</v>
      </c>
    </row>
    <row r="367" spans="1:7" s="3226" customFormat="1">
      <c r="A367" s="3233" t="s">
        <v>3166</v>
      </c>
      <c r="B367" s="3233" t="s">
        <v>3172</v>
      </c>
      <c r="C367" s="3233">
        <v>2300</v>
      </c>
      <c r="D367" s="3233">
        <v>2260</v>
      </c>
      <c r="E367" s="3233">
        <v>2220</v>
      </c>
      <c r="F367" s="3233">
        <v>560</v>
      </c>
      <c r="G367" s="3246">
        <v>1370</v>
      </c>
    </row>
    <row r="368" spans="1:7" s="3226" customFormat="1">
      <c r="A368" s="3233" t="s">
        <v>3166</v>
      </c>
      <c r="B368" s="3233" t="s">
        <v>3173</v>
      </c>
      <c r="C368" s="3233">
        <v>2430</v>
      </c>
      <c r="D368" s="3233">
        <v>2390</v>
      </c>
      <c r="E368" s="3233">
        <v>2350</v>
      </c>
      <c r="F368" s="3233">
        <v>570</v>
      </c>
      <c r="G368" s="3246">
        <v>1450</v>
      </c>
    </row>
    <row r="369" spans="1:7" s="3226" customFormat="1">
      <c r="A369" s="3233" t="s">
        <v>3166</v>
      </c>
      <c r="B369" s="3233" t="s">
        <v>214</v>
      </c>
      <c r="C369" s="3233">
        <v>2320</v>
      </c>
      <c r="D369" s="3233">
        <v>2290</v>
      </c>
      <c r="E369" s="3233">
        <v>2250</v>
      </c>
      <c r="F369" s="3233">
        <v>550</v>
      </c>
      <c r="G369" s="3246">
        <v>1380</v>
      </c>
    </row>
    <row r="370" spans="1:7" s="3226" customFormat="1">
      <c r="A370" s="3233" t="s">
        <v>3166</v>
      </c>
      <c r="B370" s="3233" t="s">
        <v>221</v>
      </c>
      <c r="C370" s="3233">
        <v>2190</v>
      </c>
      <c r="D370" s="3233">
        <v>2170</v>
      </c>
      <c r="E370" s="3233">
        <v>2130</v>
      </c>
      <c r="F370" s="3233">
        <v>530</v>
      </c>
      <c r="G370" s="3246">
        <v>1310</v>
      </c>
    </row>
    <row r="371" spans="1:7" s="3226" customFormat="1">
      <c r="A371" s="3233" t="s">
        <v>3166</v>
      </c>
      <c r="B371" s="3233" t="s">
        <v>229</v>
      </c>
      <c r="C371" s="3233">
        <v>2460</v>
      </c>
      <c r="D371" s="3233">
        <v>2420</v>
      </c>
      <c r="E371" s="3233">
        <v>2370</v>
      </c>
      <c r="F371" s="3233">
        <v>560</v>
      </c>
      <c r="G371" s="3246">
        <v>1470</v>
      </c>
    </row>
    <row r="372" spans="1:7" s="3226" customFormat="1">
      <c r="A372" s="3233" t="s">
        <v>3166</v>
      </c>
      <c r="B372" s="3233" t="s">
        <v>3174</v>
      </c>
      <c r="C372" s="3233">
        <v>2250</v>
      </c>
      <c r="D372" s="3233">
        <v>2210</v>
      </c>
      <c r="E372" s="3233">
        <v>2180</v>
      </c>
      <c r="F372" s="3233">
        <v>550</v>
      </c>
      <c r="G372" s="3246">
        <v>1340</v>
      </c>
    </row>
    <row r="373" spans="1:7" s="3226" customFormat="1">
      <c r="A373" s="3233" t="s">
        <v>3166</v>
      </c>
      <c r="B373" s="3233" t="s">
        <v>258</v>
      </c>
      <c r="C373" s="3233">
        <v>2210</v>
      </c>
      <c r="D373" s="3233">
        <v>2190</v>
      </c>
      <c r="E373" s="3233">
        <v>2150</v>
      </c>
      <c r="F373" s="3233">
        <v>530</v>
      </c>
      <c r="G373" s="3246">
        <v>1320</v>
      </c>
    </row>
    <row r="374" spans="1:7" s="3226" customFormat="1">
      <c r="A374" s="3233" t="s">
        <v>3166</v>
      </c>
      <c r="B374" s="3233" t="s">
        <v>266</v>
      </c>
      <c r="C374" s="3233">
        <v>2320</v>
      </c>
      <c r="D374" s="3233">
        <v>2280</v>
      </c>
      <c r="E374" s="3233">
        <v>2230</v>
      </c>
      <c r="F374" s="3233">
        <v>580</v>
      </c>
      <c r="G374" s="3246">
        <v>1380</v>
      </c>
    </row>
    <row r="375" spans="1:7" s="3226" customFormat="1">
      <c r="A375" s="3233" t="s">
        <v>3166</v>
      </c>
      <c r="B375" s="3233" t="s">
        <v>3175</v>
      </c>
      <c r="C375" s="3233">
        <v>2090</v>
      </c>
      <c r="D375" s="3233">
        <v>2050</v>
      </c>
      <c r="E375" s="3233">
        <v>2020</v>
      </c>
      <c r="F375" s="3233">
        <v>520</v>
      </c>
      <c r="G375" s="3246">
        <v>1240</v>
      </c>
    </row>
    <row r="376" spans="1:7" s="3226" customFormat="1">
      <c r="A376" s="3233" t="s">
        <v>3166</v>
      </c>
      <c r="B376" s="3233" t="s">
        <v>277</v>
      </c>
      <c r="C376" s="3233">
        <v>2010</v>
      </c>
      <c r="D376" s="3233">
        <v>1980</v>
      </c>
      <c r="E376" s="3233">
        <v>1940</v>
      </c>
      <c r="F376" s="3233">
        <v>540</v>
      </c>
      <c r="G376" s="3246">
        <v>1190</v>
      </c>
    </row>
    <row r="377" spans="1:7" s="3226" customFormat="1" ht="12" thickBot="1">
      <c r="A377" s="3241" t="s">
        <v>3166</v>
      </c>
      <c r="B377" s="3244" t="s">
        <v>2928</v>
      </c>
      <c r="C377" s="3244">
        <v>1930</v>
      </c>
      <c r="D377" s="3244">
        <v>1890</v>
      </c>
      <c r="E377" s="3244">
        <v>1860</v>
      </c>
      <c r="F377" s="3244">
        <v>530</v>
      </c>
      <c r="G377" s="3249">
        <v>1150</v>
      </c>
    </row>
    <row r="378" spans="1:7" s="3226" customFormat="1">
      <c r="A378" s="3250" t="s">
        <v>3176</v>
      </c>
      <c r="B378" s="3229" t="s">
        <v>3177</v>
      </c>
      <c r="C378" s="3229">
        <v>1520</v>
      </c>
      <c r="D378" s="3229">
        <v>1490</v>
      </c>
      <c r="E378" s="3229">
        <v>1460</v>
      </c>
      <c r="F378" s="3229">
        <v>460</v>
      </c>
      <c r="G378" s="3245">
        <v>940</v>
      </c>
    </row>
    <row r="379" spans="1:7" s="3226" customFormat="1">
      <c r="A379" s="3251" t="s">
        <v>3176</v>
      </c>
      <c r="B379" s="3233" t="s">
        <v>3178</v>
      </c>
      <c r="C379" s="3233">
        <v>1500</v>
      </c>
      <c r="D379" s="3233">
        <v>1470</v>
      </c>
      <c r="E379" s="3233">
        <v>1430</v>
      </c>
      <c r="F379" s="3233">
        <v>460</v>
      </c>
      <c r="G379" s="3246">
        <v>920</v>
      </c>
    </row>
    <row r="380" spans="1:7" s="3226" customFormat="1">
      <c r="A380" s="3251" t="s">
        <v>3176</v>
      </c>
      <c r="B380" s="3233" t="s">
        <v>3179</v>
      </c>
      <c r="C380" s="3233">
        <v>1620</v>
      </c>
      <c r="D380" s="3233">
        <v>1590</v>
      </c>
      <c r="E380" s="3233">
        <v>1560</v>
      </c>
      <c r="F380" s="3233">
        <v>480</v>
      </c>
      <c r="G380" s="3246">
        <v>1000</v>
      </c>
    </row>
    <row r="381" spans="1:7" s="3226" customFormat="1">
      <c r="A381" s="3251" t="s">
        <v>3176</v>
      </c>
      <c r="B381" s="3233" t="s">
        <v>3180</v>
      </c>
      <c r="C381" s="3233">
        <v>1460</v>
      </c>
      <c r="D381" s="3233">
        <v>1430</v>
      </c>
      <c r="E381" s="3233">
        <v>1390</v>
      </c>
      <c r="F381" s="3233">
        <v>450</v>
      </c>
      <c r="G381" s="3246">
        <v>900</v>
      </c>
    </row>
    <row r="382" spans="1:7" s="3226" customFormat="1">
      <c r="A382" s="3251" t="s">
        <v>3176</v>
      </c>
      <c r="B382" s="3233" t="s">
        <v>3181</v>
      </c>
      <c r="C382" s="3233">
        <v>1310</v>
      </c>
      <c r="D382" s="3233">
        <v>1280</v>
      </c>
      <c r="E382" s="3233">
        <v>1250</v>
      </c>
      <c r="F382" s="3233">
        <v>440</v>
      </c>
      <c r="G382" s="3246">
        <v>800</v>
      </c>
    </row>
    <row r="383" spans="1:7" s="3226" customFormat="1">
      <c r="A383" s="3251" t="s">
        <v>3176</v>
      </c>
      <c r="B383" s="3233" t="s">
        <v>3182</v>
      </c>
      <c r="C383" s="3233">
        <v>1260</v>
      </c>
      <c r="D383" s="3233">
        <v>1230</v>
      </c>
      <c r="E383" s="3233">
        <v>1200</v>
      </c>
      <c r="F383" s="3233">
        <v>420</v>
      </c>
      <c r="G383" s="3246">
        <v>770</v>
      </c>
    </row>
    <row r="384" spans="1:7" s="3226" customFormat="1" ht="12" thickBot="1">
      <c r="A384" s="3252" t="s">
        <v>3176</v>
      </c>
      <c r="B384" s="3240" t="s">
        <v>3183</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2" t="s">
        <v>3184</v>
      </c>
      <c r="B1" s="3792"/>
    </row>
    <row r="2" spans="1:7" ht="14.25" thickBot="1">
      <c r="A2" s="3255"/>
      <c r="B2" s="3255"/>
    </row>
    <row r="3" spans="1:7" ht="14.25" thickBot="1">
      <c r="A3" s="3255"/>
      <c r="B3" s="3255"/>
      <c r="C3" s="3256" t="s">
        <v>2814</v>
      </c>
      <c r="D3" s="3256" t="s">
        <v>2870</v>
      </c>
      <c r="E3" s="3256" t="s">
        <v>2816</v>
      </c>
      <c r="F3" s="3256" t="s">
        <v>2871</v>
      </c>
      <c r="G3" s="3256" t="s">
        <v>2634</v>
      </c>
    </row>
    <row r="4" spans="1:7" ht="14.25" thickBot="1">
      <c r="A4" s="3257" t="s">
        <v>2869</v>
      </c>
      <c r="B4" s="3258" t="s">
        <v>2875</v>
      </c>
      <c r="C4" s="3256"/>
      <c r="D4" s="3256"/>
      <c r="E4" s="3256"/>
      <c r="F4" s="3256"/>
      <c r="G4" s="3256"/>
    </row>
    <row r="5" spans="1:7">
      <c r="A5" s="3259" t="s">
        <v>2843</v>
      </c>
      <c r="B5" s="3260" t="s">
        <v>2857</v>
      </c>
      <c r="C5" s="3261">
        <v>9.8000000000000004E-2</v>
      </c>
      <c r="D5" s="3261">
        <v>8.6999999999999994E-2</v>
      </c>
      <c r="E5" s="3261">
        <v>8.6999999999999994E-2</v>
      </c>
      <c r="F5" s="3261">
        <v>9.8000000000000004E-2</v>
      </c>
      <c r="G5" s="3262">
        <v>9.5000000000000001E-2</v>
      </c>
    </row>
    <row r="6" spans="1:7">
      <c r="A6" s="3263" t="s">
        <v>144</v>
      </c>
      <c r="B6" s="3264" t="s">
        <v>2872</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2858</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2908</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2926</v>
      </c>
      <c r="C29" s="3273"/>
      <c r="D29" s="3269">
        <v>5.1999999999999998E-2</v>
      </c>
      <c r="E29" s="3269">
        <v>7.0000000000000007E-2</v>
      </c>
      <c r="F29" s="3273"/>
      <c r="G29" s="3271">
        <v>7.0999999999999994E-2</v>
      </c>
    </row>
    <row r="30" spans="1:7">
      <c r="A30" s="3274" t="s">
        <v>296</v>
      </c>
      <c r="B30" s="3260" t="s">
        <v>2859</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2845</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2929</v>
      </c>
      <c r="C50" s="3265">
        <v>9.8000000000000004E-2</v>
      </c>
      <c r="D50" s="3265">
        <v>7.2999999999999995E-2</v>
      </c>
      <c r="E50" s="3265">
        <v>7.0999999999999994E-2</v>
      </c>
      <c r="F50" s="3276"/>
      <c r="G50" s="3266">
        <v>7.2999999999999995E-2</v>
      </c>
    </row>
    <row r="51" spans="1:7">
      <c r="A51" s="3275" t="s">
        <v>296</v>
      </c>
      <c r="B51" s="3264" t="s">
        <v>2931</v>
      </c>
      <c r="C51" s="3265">
        <v>9.9000000000000005E-2</v>
      </c>
      <c r="D51" s="3265">
        <v>8.5000000000000006E-2</v>
      </c>
      <c r="E51" s="3265">
        <v>6.3E-2</v>
      </c>
      <c r="F51" s="3276"/>
      <c r="G51" s="3266">
        <v>9.6000000000000002E-2</v>
      </c>
    </row>
    <row r="52" spans="1:7">
      <c r="A52" s="3275" t="s">
        <v>296</v>
      </c>
      <c r="B52" s="3264" t="s">
        <v>2935</v>
      </c>
      <c r="C52" s="3265">
        <v>7.3999999999999996E-2</v>
      </c>
      <c r="D52" s="3265">
        <v>9.6000000000000002E-2</v>
      </c>
      <c r="E52" s="3265">
        <v>0.05</v>
      </c>
      <c r="F52" s="3276"/>
      <c r="G52" s="3266">
        <v>9.8000000000000004E-2</v>
      </c>
    </row>
    <row r="53" spans="1:7">
      <c r="A53" s="3275" t="s">
        <v>296</v>
      </c>
      <c r="B53" s="3264" t="s">
        <v>2940</v>
      </c>
      <c r="C53" s="3265">
        <v>8.5999999999999993E-2</v>
      </c>
      <c r="D53" s="3276"/>
      <c r="E53" s="3265">
        <v>9.1999999999999998E-2</v>
      </c>
      <c r="F53" s="3276"/>
      <c r="G53" s="3277"/>
    </row>
    <row r="54" spans="1:7" ht="14.25" thickBot="1">
      <c r="A54" s="3278" t="s">
        <v>296</v>
      </c>
      <c r="B54" s="3268" t="s">
        <v>2943</v>
      </c>
      <c r="C54" s="3269">
        <v>9.6000000000000002E-2</v>
      </c>
      <c r="D54" s="3270"/>
      <c r="E54" s="3279"/>
      <c r="F54" s="3270"/>
      <c r="G54" s="3280"/>
    </row>
    <row r="55" spans="1:7">
      <c r="A55" s="3274" t="s">
        <v>110</v>
      </c>
      <c r="B55" s="3260" t="s">
        <v>2860</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2941</v>
      </c>
      <c r="C78" s="3265">
        <v>0.1</v>
      </c>
      <c r="D78" s="3265">
        <v>8.5000000000000006E-2</v>
      </c>
      <c r="E78" s="3265">
        <v>9.6000000000000002E-2</v>
      </c>
      <c r="F78" s="3276"/>
      <c r="G78" s="3266">
        <v>9.6000000000000002E-2</v>
      </c>
    </row>
    <row r="79" spans="1:7">
      <c r="A79" s="3275" t="s">
        <v>110</v>
      </c>
      <c r="B79" s="3264" t="s">
        <v>2944</v>
      </c>
      <c r="C79" s="3265">
        <v>0.05</v>
      </c>
      <c r="D79" s="3265">
        <v>9.6000000000000002E-2</v>
      </c>
      <c r="E79" s="3265">
        <v>9.5000000000000001E-2</v>
      </c>
      <c r="F79" s="3276"/>
      <c r="G79" s="3266">
        <v>9.8000000000000004E-2</v>
      </c>
    </row>
    <row r="80" spans="1:7">
      <c r="A80" s="3275" t="s">
        <v>110</v>
      </c>
      <c r="B80" s="3264" t="s">
        <v>2948</v>
      </c>
      <c r="C80" s="3265">
        <v>8.5999999999999993E-2</v>
      </c>
      <c r="D80" s="3281"/>
      <c r="E80" s="3265">
        <v>0.1</v>
      </c>
      <c r="F80" s="3276"/>
      <c r="G80" s="3277"/>
    </row>
    <row r="81" spans="1:7">
      <c r="A81" s="3275" t="s">
        <v>110</v>
      </c>
      <c r="B81" s="3264" t="s">
        <v>2953</v>
      </c>
      <c r="C81" s="3265">
        <v>9.6000000000000002E-2</v>
      </c>
      <c r="D81" s="3276"/>
      <c r="E81" s="3265">
        <v>9.8000000000000004E-2</v>
      </c>
      <c r="F81" s="3276"/>
      <c r="G81" s="3277"/>
    </row>
    <row r="82" spans="1:7">
      <c r="A82" s="3275" t="s">
        <v>110</v>
      </c>
      <c r="B82" s="3264" t="s">
        <v>2960</v>
      </c>
      <c r="C82" s="3281"/>
      <c r="D82" s="3276"/>
      <c r="E82" s="3265">
        <v>7.6999999999999999E-2</v>
      </c>
      <c r="F82" s="3276"/>
      <c r="G82" s="3277"/>
    </row>
    <row r="83" spans="1:7">
      <c r="A83" s="3275" t="s">
        <v>110</v>
      </c>
      <c r="B83" s="3264" t="s">
        <v>2966</v>
      </c>
      <c r="C83" s="3276"/>
      <c r="D83" s="3276"/>
      <c r="E83" s="3276"/>
      <c r="F83" s="3265">
        <v>0.1</v>
      </c>
      <c r="G83" s="3282"/>
    </row>
    <row r="84" spans="1:7">
      <c r="A84" s="3275" t="s">
        <v>110</v>
      </c>
      <c r="B84" s="3264" t="s">
        <v>2973</v>
      </c>
      <c r="C84" s="3276"/>
      <c r="D84" s="3276"/>
      <c r="E84" s="3276"/>
      <c r="F84" s="3265">
        <v>0.1</v>
      </c>
      <c r="G84" s="3282"/>
    </row>
    <row r="85" spans="1:7">
      <c r="A85" s="3275" t="s">
        <v>110</v>
      </c>
      <c r="B85" s="3264" t="s">
        <v>2980</v>
      </c>
      <c r="C85" s="3276"/>
      <c r="D85" s="3276"/>
      <c r="E85" s="3276"/>
      <c r="F85" s="3265">
        <v>0.1</v>
      </c>
      <c r="G85" s="3282"/>
    </row>
    <row r="86" spans="1:7" ht="14.25" thickBot="1">
      <c r="A86" s="3278" t="s">
        <v>110</v>
      </c>
      <c r="B86" s="3268" t="s">
        <v>2985</v>
      </c>
      <c r="C86" s="3269">
        <v>9.8000000000000004E-2</v>
      </c>
      <c r="D86" s="3269">
        <v>9.8000000000000004E-2</v>
      </c>
      <c r="E86" s="3269">
        <v>9.6000000000000002E-2</v>
      </c>
      <c r="F86" s="3279"/>
      <c r="G86" s="3271">
        <v>0.1</v>
      </c>
    </row>
    <row r="87" spans="1:7">
      <c r="A87" s="3274" t="s">
        <v>303</v>
      </c>
      <c r="B87" s="3260" t="s">
        <v>2861</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2954</v>
      </c>
      <c r="C113" s="3265">
        <v>0.1</v>
      </c>
      <c r="D113" s="3265">
        <v>0.1</v>
      </c>
      <c r="E113" s="3276"/>
      <c r="F113" s="3276"/>
      <c r="G113" s="3266">
        <v>0.1</v>
      </c>
    </row>
    <row r="114" spans="1:7">
      <c r="A114" s="3275" t="s">
        <v>303</v>
      </c>
      <c r="B114" s="3264" t="s">
        <v>2961</v>
      </c>
      <c r="C114" s="3265">
        <v>9.7000000000000003E-2</v>
      </c>
      <c r="D114" s="3265">
        <v>9.7000000000000003E-2</v>
      </c>
      <c r="E114" s="3276"/>
      <c r="F114" s="3276"/>
      <c r="G114" s="3266">
        <v>9.9000000000000005E-2</v>
      </c>
    </row>
    <row r="115" spans="1:7">
      <c r="A115" s="3275" t="s">
        <v>303</v>
      </c>
      <c r="B115" s="3264" t="s">
        <v>2967</v>
      </c>
      <c r="C115" s="3265">
        <v>0.1</v>
      </c>
      <c r="D115" s="3265">
        <v>0.1</v>
      </c>
      <c r="E115" s="3276"/>
      <c r="F115" s="3276"/>
      <c r="G115" s="3266">
        <v>0.1</v>
      </c>
    </row>
    <row r="116" spans="1:7">
      <c r="A116" s="3275" t="s">
        <v>303</v>
      </c>
      <c r="B116" s="3264" t="s">
        <v>2974</v>
      </c>
      <c r="C116" s="3265">
        <v>0.1</v>
      </c>
      <c r="D116" s="3265">
        <v>0.1</v>
      </c>
      <c r="E116" s="3276"/>
      <c r="F116" s="3276"/>
      <c r="G116" s="3266">
        <v>0.1</v>
      </c>
    </row>
    <row r="117" spans="1:7">
      <c r="A117" s="3275" t="s">
        <v>303</v>
      </c>
      <c r="B117" s="3264" t="s">
        <v>2981</v>
      </c>
      <c r="C117" s="3265">
        <v>9.7000000000000003E-2</v>
      </c>
      <c r="D117" s="3265">
        <v>9.7000000000000003E-2</v>
      </c>
      <c r="E117" s="3276"/>
      <c r="F117" s="3276"/>
      <c r="G117" s="3266">
        <v>9.7000000000000003E-2</v>
      </c>
    </row>
    <row r="118" spans="1:7">
      <c r="A118" s="3275" t="s">
        <v>303</v>
      </c>
      <c r="B118" s="3264" t="s">
        <v>2986</v>
      </c>
      <c r="C118" s="3265">
        <v>0.1</v>
      </c>
      <c r="D118" s="3265">
        <v>0.1</v>
      </c>
      <c r="E118" s="3276"/>
      <c r="F118" s="3276"/>
      <c r="G118" s="3266">
        <v>0.1</v>
      </c>
    </row>
    <row r="119" spans="1:7">
      <c r="A119" s="3275" t="s">
        <v>303</v>
      </c>
      <c r="B119" s="3264" t="s">
        <v>2990</v>
      </c>
      <c r="C119" s="3265">
        <v>5.0999999999999997E-2</v>
      </c>
      <c r="D119" s="3265">
        <v>5.1999999999999998E-2</v>
      </c>
      <c r="E119" s="3276"/>
      <c r="F119" s="3281"/>
      <c r="G119" s="3266">
        <v>0.06</v>
      </c>
    </row>
    <row r="120" spans="1:7">
      <c r="A120" s="3275" t="s">
        <v>303</v>
      </c>
      <c r="B120" s="3264" t="s">
        <v>2994</v>
      </c>
      <c r="C120" s="3276"/>
      <c r="D120" s="3276"/>
      <c r="E120" s="3276"/>
      <c r="F120" s="3265">
        <v>0.1</v>
      </c>
      <c r="G120" s="3282"/>
    </row>
    <row r="121" spans="1:7">
      <c r="A121" s="3275" t="s">
        <v>303</v>
      </c>
      <c r="B121" s="3264" t="s">
        <v>2999</v>
      </c>
      <c r="C121" s="3276"/>
      <c r="D121" s="3276"/>
      <c r="E121" s="3276"/>
      <c r="F121" s="3265">
        <v>0.1</v>
      </c>
      <c r="G121" s="3282"/>
    </row>
    <row r="122" spans="1:7">
      <c r="A122" s="3275" t="s">
        <v>303</v>
      </c>
      <c r="B122" s="3264" t="s">
        <v>3004</v>
      </c>
      <c r="C122" s="3265">
        <v>0.1</v>
      </c>
      <c r="D122" s="3265">
        <v>0.1</v>
      </c>
      <c r="E122" s="3265">
        <v>9.8000000000000004E-2</v>
      </c>
      <c r="F122" s="3265">
        <v>0.1</v>
      </c>
      <c r="G122" s="3266">
        <v>0.1</v>
      </c>
    </row>
    <row r="123" spans="1:7">
      <c r="A123" s="3275" t="s">
        <v>303</v>
      </c>
      <c r="B123" s="3264" t="s">
        <v>3009</v>
      </c>
      <c r="C123" s="3265">
        <v>0.1</v>
      </c>
      <c r="D123" s="3265">
        <v>0.1</v>
      </c>
      <c r="E123" s="3265">
        <v>9.8000000000000004E-2</v>
      </c>
      <c r="F123" s="3265">
        <v>0.1</v>
      </c>
      <c r="G123" s="3266">
        <v>0.1</v>
      </c>
    </row>
    <row r="124" spans="1:7">
      <c r="A124" s="3275" t="s">
        <v>303</v>
      </c>
      <c r="B124" s="3264" t="s">
        <v>3014</v>
      </c>
      <c r="C124" s="3265">
        <v>0.1</v>
      </c>
      <c r="D124" s="3265">
        <v>0.1</v>
      </c>
      <c r="E124" s="3265">
        <v>9.8000000000000004E-2</v>
      </c>
      <c r="F124" s="3281"/>
      <c r="G124" s="3266">
        <v>0.1</v>
      </c>
    </row>
    <row r="125" spans="1:7">
      <c r="A125" s="3275" t="s">
        <v>303</v>
      </c>
      <c r="B125" s="3264" t="s">
        <v>3019</v>
      </c>
      <c r="C125" s="3265">
        <v>9.8000000000000004E-2</v>
      </c>
      <c r="D125" s="3265">
        <v>9.8000000000000004E-2</v>
      </c>
      <c r="E125" s="3265">
        <v>9.6000000000000002E-2</v>
      </c>
      <c r="F125" s="3281"/>
      <c r="G125" s="3266">
        <v>0.1</v>
      </c>
    </row>
    <row r="126" spans="1:7" ht="14.25" thickBot="1">
      <c r="A126" s="3278" t="s">
        <v>303</v>
      </c>
      <c r="B126" s="3268" t="s">
        <v>3185</v>
      </c>
      <c r="C126" s="3269">
        <v>0.1</v>
      </c>
      <c r="D126" s="3269">
        <v>0.1</v>
      </c>
      <c r="E126" s="3269">
        <v>9.8000000000000004E-2</v>
      </c>
      <c r="F126" s="3269">
        <v>0.1</v>
      </c>
      <c r="G126" s="3271">
        <v>0.1</v>
      </c>
    </row>
    <row r="127" spans="1:7">
      <c r="A127" s="3274" t="s">
        <v>29</v>
      </c>
      <c r="B127" s="3260" t="s">
        <v>2862</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2932</v>
      </c>
      <c r="C148" s="3265">
        <v>0.13</v>
      </c>
      <c r="D148" s="3265">
        <v>0.13</v>
      </c>
      <c r="E148" s="3265">
        <v>0.13</v>
      </c>
      <c r="F148" s="3276"/>
      <c r="G148" s="3266">
        <v>0.13</v>
      </c>
    </row>
    <row r="149" spans="1:7">
      <c r="A149" s="3275" t="s">
        <v>29</v>
      </c>
      <c r="B149" s="3264" t="s">
        <v>2936</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2955</v>
      </c>
      <c r="C153" s="3265">
        <v>0.13</v>
      </c>
      <c r="D153" s="3265">
        <v>0.13</v>
      </c>
      <c r="E153" s="3265">
        <v>0.13</v>
      </c>
      <c r="F153" s="3265">
        <v>0.13</v>
      </c>
      <c r="G153" s="3266">
        <v>0.13</v>
      </c>
    </row>
    <row r="154" spans="1:7">
      <c r="A154" s="3275" t="s">
        <v>29</v>
      </c>
      <c r="B154" s="3264" t="s">
        <v>2962</v>
      </c>
      <c r="C154" s="3265">
        <v>0.121</v>
      </c>
      <c r="D154" s="3265">
        <v>0.121</v>
      </c>
      <c r="E154" s="3265">
        <v>0.105</v>
      </c>
      <c r="F154" s="3265">
        <v>0.121</v>
      </c>
      <c r="G154" s="3266">
        <v>0.123</v>
      </c>
    </row>
    <row r="155" spans="1:7">
      <c r="A155" s="3275" t="s">
        <v>29</v>
      </c>
      <c r="B155" s="3264" t="s">
        <v>2968</v>
      </c>
      <c r="C155" s="3265">
        <v>0.1</v>
      </c>
      <c r="D155" s="3265">
        <v>0.1</v>
      </c>
      <c r="E155" s="3265">
        <v>0.1</v>
      </c>
      <c r="F155" s="3265">
        <v>0.1</v>
      </c>
      <c r="G155" s="3266">
        <v>0.1</v>
      </c>
    </row>
    <row r="156" spans="1:7">
      <c r="A156" s="3275" t="s">
        <v>29</v>
      </c>
      <c r="B156" s="3264" t="s">
        <v>2975</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2995</v>
      </c>
      <c r="C160" s="3265">
        <v>0.13</v>
      </c>
      <c r="D160" s="3265">
        <v>0.13</v>
      </c>
      <c r="E160" s="3265">
        <v>0.124</v>
      </c>
      <c r="F160" s="3265">
        <v>0.126</v>
      </c>
      <c r="G160" s="3266">
        <v>0.13</v>
      </c>
    </row>
    <row r="161" spans="1:7">
      <c r="A161" s="3275" t="s">
        <v>29</v>
      </c>
      <c r="B161" s="3264" t="s">
        <v>3000</v>
      </c>
      <c r="C161" s="3265">
        <v>0.13</v>
      </c>
      <c r="D161" s="3265">
        <v>0.13</v>
      </c>
      <c r="E161" s="3265">
        <v>0.124</v>
      </c>
      <c r="F161" s="3265">
        <v>0.127</v>
      </c>
      <c r="G161" s="3266">
        <v>0.13</v>
      </c>
    </row>
    <row r="162" spans="1:7">
      <c r="A162" s="3275" t="s">
        <v>29</v>
      </c>
      <c r="B162" s="3264" t="s">
        <v>3005</v>
      </c>
      <c r="C162" s="3265">
        <v>0.1</v>
      </c>
      <c r="D162" s="3265">
        <v>0.1</v>
      </c>
      <c r="E162" s="3265">
        <v>0.1</v>
      </c>
      <c r="F162" s="3265">
        <v>0.121</v>
      </c>
      <c r="G162" s="3266">
        <v>0.105</v>
      </c>
    </row>
    <row r="163" spans="1:7">
      <c r="A163" s="3275" t="s">
        <v>29</v>
      </c>
      <c r="B163" s="3264" t="s">
        <v>3010</v>
      </c>
      <c r="C163" s="3265">
        <v>0.1</v>
      </c>
      <c r="D163" s="3265">
        <v>0.1</v>
      </c>
      <c r="E163" s="3265">
        <v>0.1</v>
      </c>
      <c r="F163" s="3265">
        <v>0.1</v>
      </c>
      <c r="G163" s="3266">
        <v>0.1</v>
      </c>
    </row>
    <row r="164" spans="1:7">
      <c r="A164" s="3275" t="s">
        <v>29</v>
      </c>
      <c r="B164" s="3264" t="s">
        <v>3015</v>
      </c>
      <c r="C164" s="3281"/>
      <c r="D164" s="3281"/>
      <c r="E164" s="3281"/>
      <c r="F164" s="3265">
        <v>0.1</v>
      </c>
      <c r="G164" s="3277"/>
    </row>
    <row r="165" spans="1:7">
      <c r="A165" s="3275" t="s">
        <v>29</v>
      </c>
      <c r="B165" s="3264" t="s">
        <v>3186</v>
      </c>
      <c r="C165" s="3265">
        <v>0.126</v>
      </c>
      <c r="D165" s="3265">
        <v>0.126</v>
      </c>
      <c r="E165" s="3265">
        <v>0.11899999999999999</v>
      </c>
      <c r="F165" s="3265">
        <v>0.13</v>
      </c>
      <c r="G165" s="3266">
        <v>0.128</v>
      </c>
    </row>
    <row r="166" spans="1:7">
      <c r="A166" s="3275" t="s">
        <v>29</v>
      </c>
      <c r="B166" s="3264" t="s">
        <v>3025</v>
      </c>
      <c r="C166" s="3265">
        <v>0.129</v>
      </c>
      <c r="D166" s="3265">
        <v>0.129</v>
      </c>
      <c r="E166" s="3265">
        <v>0.123</v>
      </c>
      <c r="F166" s="3265">
        <v>0.128</v>
      </c>
      <c r="G166" s="3266">
        <v>0.13</v>
      </c>
    </row>
    <row r="167" spans="1:7">
      <c r="A167" s="3275" t="s">
        <v>29</v>
      </c>
      <c r="B167" s="3264" t="s">
        <v>3029</v>
      </c>
      <c r="C167" s="3265">
        <v>0.125</v>
      </c>
      <c r="D167" s="3265">
        <v>0.125</v>
      </c>
      <c r="E167" s="3265">
        <v>0.11700000000000001</v>
      </c>
      <c r="F167" s="3265">
        <v>0.13</v>
      </c>
      <c r="G167" s="3266">
        <v>0.126</v>
      </c>
    </row>
    <row r="168" spans="1:7">
      <c r="A168" s="3275" t="s">
        <v>29</v>
      </c>
      <c r="B168" s="3264" t="s">
        <v>3034</v>
      </c>
      <c r="C168" s="3265">
        <v>0.128</v>
      </c>
      <c r="D168" s="3265">
        <v>0.128</v>
      </c>
      <c r="E168" s="3265">
        <v>0.123</v>
      </c>
      <c r="F168" s="3276"/>
      <c r="G168" s="3266">
        <v>0.13</v>
      </c>
    </row>
    <row r="169" spans="1:7">
      <c r="A169" s="3275" t="s">
        <v>29</v>
      </c>
      <c r="B169" s="3264" t="s">
        <v>3187</v>
      </c>
      <c r="C169" s="3281"/>
      <c r="D169" s="3281"/>
      <c r="E169" s="3281"/>
      <c r="F169" s="3265">
        <v>0.05</v>
      </c>
      <c r="G169" s="3277"/>
    </row>
    <row r="170" spans="1:7">
      <c r="A170" s="3275" t="s">
        <v>29</v>
      </c>
      <c r="B170" s="3264" t="s">
        <v>3188</v>
      </c>
      <c r="C170" s="3281"/>
      <c r="D170" s="3281"/>
      <c r="E170" s="3281"/>
      <c r="F170" s="3265">
        <v>0.05</v>
      </c>
      <c r="G170" s="3277"/>
    </row>
    <row r="171" spans="1:7">
      <c r="A171" s="3275" t="s">
        <v>29</v>
      </c>
      <c r="B171" s="3264" t="s">
        <v>3189</v>
      </c>
      <c r="C171" s="3281"/>
      <c r="D171" s="3281"/>
      <c r="E171" s="3281"/>
      <c r="F171" s="3265">
        <v>0.05</v>
      </c>
      <c r="G171" s="3282"/>
    </row>
    <row r="172" spans="1:7">
      <c r="A172" s="3275" t="s">
        <v>29</v>
      </c>
      <c r="B172" s="3264" t="s">
        <v>3190</v>
      </c>
      <c r="C172" s="3281"/>
      <c r="D172" s="3281"/>
      <c r="E172" s="3281"/>
      <c r="F172" s="3265">
        <v>0.05</v>
      </c>
      <c r="G172" s="3282"/>
    </row>
    <row r="173" spans="1:7">
      <c r="A173" s="3275" t="s">
        <v>29</v>
      </c>
      <c r="B173" s="3264" t="s">
        <v>3191</v>
      </c>
      <c r="C173" s="3281"/>
      <c r="D173" s="3281"/>
      <c r="E173" s="3281"/>
      <c r="F173" s="3265">
        <v>0.05</v>
      </c>
      <c r="G173" s="3277"/>
    </row>
    <row r="174" spans="1:7">
      <c r="A174" s="3275" t="s">
        <v>29</v>
      </c>
      <c r="B174" s="3264" t="s">
        <v>3192</v>
      </c>
      <c r="C174" s="3281"/>
      <c r="D174" s="3281"/>
      <c r="E174" s="3281"/>
      <c r="F174" s="3265">
        <v>0.05</v>
      </c>
      <c r="G174" s="3277"/>
    </row>
    <row r="175" spans="1:7">
      <c r="A175" s="3275" t="s">
        <v>29</v>
      </c>
      <c r="B175" s="3264" t="s">
        <v>3193</v>
      </c>
      <c r="C175" s="3281"/>
      <c r="D175" s="3281"/>
      <c r="E175" s="3281"/>
      <c r="F175" s="3265">
        <v>0.05</v>
      </c>
      <c r="G175" s="3277"/>
    </row>
    <row r="176" spans="1:7">
      <c r="A176" s="3275" t="s">
        <v>29</v>
      </c>
      <c r="B176" s="3264" t="s">
        <v>3194</v>
      </c>
      <c r="C176" s="3281"/>
      <c r="D176" s="3281"/>
      <c r="E176" s="3281"/>
      <c r="F176" s="3265">
        <v>0.05</v>
      </c>
      <c r="G176" s="3277"/>
    </row>
    <row r="177" spans="1:7">
      <c r="A177" s="3275" t="s">
        <v>29</v>
      </c>
      <c r="B177" s="3264" t="s">
        <v>3195</v>
      </c>
      <c r="C177" s="3276"/>
      <c r="D177" s="3276"/>
      <c r="E177" s="3276"/>
      <c r="F177" s="3265">
        <v>0.05</v>
      </c>
      <c r="G177" s="3282"/>
    </row>
    <row r="178" spans="1:7">
      <c r="A178" s="3275" t="s">
        <v>29</v>
      </c>
      <c r="B178" s="3264" t="s">
        <v>3196</v>
      </c>
      <c r="C178" s="3276"/>
      <c r="D178" s="3276"/>
      <c r="E178" s="3276"/>
      <c r="F178" s="3265">
        <v>0.05</v>
      </c>
      <c r="G178" s="3282"/>
    </row>
    <row r="179" spans="1:7">
      <c r="A179" s="3275" t="s">
        <v>29</v>
      </c>
      <c r="B179" s="3264" t="s">
        <v>3197</v>
      </c>
      <c r="C179" s="3276"/>
      <c r="D179" s="3276"/>
      <c r="E179" s="3276"/>
      <c r="F179" s="3265">
        <v>0.05</v>
      </c>
      <c r="G179" s="3282"/>
    </row>
    <row r="180" spans="1:7">
      <c r="A180" s="3275" t="s">
        <v>29</v>
      </c>
      <c r="B180" s="3264" t="s">
        <v>3198</v>
      </c>
      <c r="C180" s="3276"/>
      <c r="D180" s="3276"/>
      <c r="E180" s="3276"/>
      <c r="F180" s="3265">
        <v>0.05</v>
      </c>
      <c r="G180" s="3282"/>
    </row>
    <row r="181" spans="1:7">
      <c r="A181" s="3275" t="s">
        <v>29</v>
      </c>
      <c r="B181" s="3264" t="s">
        <v>3199</v>
      </c>
      <c r="C181" s="3276"/>
      <c r="D181" s="3276"/>
      <c r="E181" s="3276"/>
      <c r="F181" s="3265">
        <v>0.05</v>
      </c>
      <c r="G181" s="3282"/>
    </row>
    <row r="182" spans="1:7">
      <c r="A182" s="3275" t="s">
        <v>29</v>
      </c>
      <c r="B182" s="3264" t="s">
        <v>3200</v>
      </c>
      <c r="C182" s="3276"/>
      <c r="D182" s="3276"/>
      <c r="E182" s="3276"/>
      <c r="F182" s="3265">
        <v>0.05</v>
      </c>
      <c r="G182" s="3282"/>
    </row>
    <row r="183" spans="1:7">
      <c r="A183" s="3275" t="s">
        <v>29</v>
      </c>
      <c r="B183" s="3264" t="s">
        <v>3201</v>
      </c>
      <c r="C183" s="3276"/>
      <c r="D183" s="3276"/>
      <c r="E183" s="3276"/>
      <c r="F183" s="3265">
        <v>0.05</v>
      </c>
      <c r="G183" s="3282"/>
    </row>
    <row r="184" spans="1:7">
      <c r="A184" s="3275" t="s">
        <v>29</v>
      </c>
      <c r="B184" s="3264" t="s">
        <v>3202</v>
      </c>
      <c r="C184" s="3276"/>
      <c r="D184" s="3276"/>
      <c r="E184" s="3276"/>
      <c r="F184" s="3265">
        <v>0.05</v>
      </c>
      <c r="G184" s="3282"/>
    </row>
    <row r="185" spans="1:7">
      <c r="A185" s="3275" t="s">
        <v>29</v>
      </c>
      <c r="B185" s="3264" t="s">
        <v>3203</v>
      </c>
      <c r="C185" s="3276"/>
      <c r="D185" s="3276"/>
      <c r="E185" s="3276"/>
      <c r="F185" s="3265">
        <v>0.05</v>
      </c>
      <c r="G185" s="3282"/>
    </row>
    <row r="186" spans="1:7">
      <c r="A186" s="3275" t="s">
        <v>29</v>
      </c>
      <c r="B186" s="3264" t="s">
        <v>3204</v>
      </c>
      <c r="C186" s="3276"/>
      <c r="D186" s="3276"/>
      <c r="E186" s="3276"/>
      <c r="F186" s="3265">
        <v>0.05</v>
      </c>
      <c r="G186" s="3282"/>
    </row>
    <row r="187" spans="1:7">
      <c r="A187" s="3275" t="s">
        <v>29</v>
      </c>
      <c r="B187" s="3264" t="s">
        <v>3205</v>
      </c>
      <c r="C187" s="3276"/>
      <c r="D187" s="3276"/>
      <c r="E187" s="3276"/>
      <c r="F187" s="3265">
        <v>0.05</v>
      </c>
      <c r="G187" s="3282"/>
    </row>
    <row r="188" spans="1:7">
      <c r="A188" s="3275" t="s">
        <v>29</v>
      </c>
      <c r="B188" s="3264" t="s">
        <v>3206</v>
      </c>
      <c r="C188" s="3276"/>
      <c r="D188" s="3276"/>
      <c r="E188" s="3276"/>
      <c r="F188" s="3265">
        <v>0.05</v>
      </c>
      <c r="G188" s="3282"/>
    </row>
    <row r="189" spans="1:7" ht="14.25" thickBot="1">
      <c r="A189" s="3278" t="s">
        <v>29</v>
      </c>
      <c r="B189" s="3268" t="s">
        <v>3207</v>
      </c>
      <c r="C189" s="3270"/>
      <c r="D189" s="3270"/>
      <c r="E189" s="3270"/>
      <c r="F189" s="3269">
        <v>0.05</v>
      </c>
      <c r="G189" s="3283"/>
    </row>
    <row r="190" spans="1:7">
      <c r="A190" s="3274" t="s">
        <v>304</v>
      </c>
      <c r="B190" s="3260" t="s">
        <v>2863</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2899</v>
      </c>
      <c r="C199" s="3265">
        <v>0.13</v>
      </c>
      <c r="D199" s="3265">
        <v>0.13</v>
      </c>
      <c r="E199" s="3265">
        <v>0.13</v>
      </c>
      <c r="F199" s="3265">
        <v>0.13</v>
      </c>
      <c r="G199" s="3266">
        <v>0.13</v>
      </c>
    </row>
    <row r="200" spans="1:7">
      <c r="A200" s="3275" t="s">
        <v>304</v>
      </c>
      <c r="B200" s="3264" t="s">
        <v>2902</v>
      </c>
      <c r="C200" s="3281"/>
      <c r="D200" s="3281"/>
      <c r="E200" s="3281"/>
      <c r="F200" s="3265">
        <v>0.13</v>
      </c>
      <c r="G200" s="3277"/>
    </row>
    <row r="201" spans="1:7">
      <c r="A201" s="3275" t="s">
        <v>304</v>
      </c>
      <c r="B201" s="3264" t="s">
        <v>2907</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2910</v>
      </c>
      <c r="C203" s="3265">
        <v>0.129</v>
      </c>
      <c r="D203" s="3265">
        <v>0.129</v>
      </c>
      <c r="E203" s="3265">
        <v>0.13</v>
      </c>
      <c r="F203" s="3265">
        <v>0.13</v>
      </c>
      <c r="G203" s="3266">
        <v>0.13</v>
      </c>
    </row>
    <row r="204" spans="1:7">
      <c r="A204" s="3275" t="s">
        <v>304</v>
      </c>
      <c r="B204" s="3264" t="s">
        <v>2913</v>
      </c>
      <c r="C204" s="3265">
        <v>0.129</v>
      </c>
      <c r="D204" s="3265">
        <v>0.129</v>
      </c>
      <c r="E204" s="3265">
        <v>0.123</v>
      </c>
      <c r="F204" s="3265">
        <v>0.13</v>
      </c>
      <c r="G204" s="3266">
        <v>0.13</v>
      </c>
    </row>
    <row r="205" spans="1:7">
      <c r="A205" s="3275" t="s">
        <v>304</v>
      </c>
      <c r="B205" s="3264" t="s">
        <v>2915</v>
      </c>
      <c r="C205" s="3265">
        <v>0.13</v>
      </c>
      <c r="D205" s="3265">
        <v>0.13</v>
      </c>
      <c r="E205" s="3265">
        <v>0.13</v>
      </c>
      <c r="F205" s="3265">
        <v>0.13</v>
      </c>
      <c r="G205" s="3266">
        <v>0.13</v>
      </c>
    </row>
    <row r="206" spans="1:7">
      <c r="A206" s="3275" t="s">
        <v>304</v>
      </c>
      <c r="B206" s="3264" t="s">
        <v>2918</v>
      </c>
      <c r="C206" s="3265">
        <v>0.13</v>
      </c>
      <c r="D206" s="3265">
        <v>0.13</v>
      </c>
      <c r="E206" s="3265">
        <v>0.13</v>
      </c>
      <c r="F206" s="3265">
        <v>0.128</v>
      </c>
      <c r="G206" s="3266">
        <v>0.13</v>
      </c>
    </row>
    <row r="207" spans="1:7">
      <c r="A207" s="3275" t="s">
        <v>304</v>
      </c>
      <c r="B207" s="3264" t="s">
        <v>2920</v>
      </c>
      <c r="C207" s="3265">
        <v>0.13</v>
      </c>
      <c r="D207" s="3265">
        <v>0.13</v>
      </c>
      <c r="E207" s="3265">
        <v>0.13</v>
      </c>
      <c r="F207" s="3265">
        <v>0.13</v>
      </c>
      <c r="G207" s="3266">
        <v>0.13</v>
      </c>
    </row>
    <row r="208" spans="1:7">
      <c r="A208" s="3275" t="s">
        <v>304</v>
      </c>
      <c r="B208" s="3264" t="s">
        <v>2923</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2930</v>
      </c>
      <c r="C210" s="3265">
        <v>0.121</v>
      </c>
      <c r="D210" s="3265">
        <v>0.121</v>
      </c>
      <c r="E210" s="3265">
        <v>0.125</v>
      </c>
      <c r="F210" s="3265">
        <v>0.13</v>
      </c>
      <c r="G210" s="3266">
        <v>0.123</v>
      </c>
    </row>
    <row r="211" spans="1:7">
      <c r="A211" s="3275" t="s">
        <v>304</v>
      </c>
      <c r="B211" s="3264" t="s">
        <v>2933</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2945</v>
      </c>
      <c r="C214" s="3265">
        <v>0.128</v>
      </c>
      <c r="D214" s="3265">
        <v>0.128</v>
      </c>
      <c r="E214" s="3265">
        <v>0.13</v>
      </c>
      <c r="F214" s="3265">
        <v>0.13</v>
      </c>
      <c r="G214" s="3266">
        <v>0.13</v>
      </c>
    </row>
    <row r="215" spans="1:7">
      <c r="A215" s="3275" t="s">
        <v>304</v>
      </c>
      <c r="B215" s="3264" t="s">
        <v>2949</v>
      </c>
      <c r="C215" s="3265">
        <v>0.13</v>
      </c>
      <c r="D215" s="3265">
        <v>0.13</v>
      </c>
      <c r="E215" s="3265">
        <v>0.13</v>
      </c>
      <c r="F215" s="3265">
        <v>0.129</v>
      </c>
      <c r="G215" s="3266">
        <v>0.13</v>
      </c>
    </row>
    <row r="216" spans="1:7">
      <c r="A216" s="3275" t="s">
        <v>304</v>
      </c>
      <c r="B216" s="3264" t="s">
        <v>2956</v>
      </c>
      <c r="C216" s="3265">
        <v>0.13</v>
      </c>
      <c r="D216" s="3265">
        <v>0.13</v>
      </c>
      <c r="E216" s="3265">
        <v>0.13</v>
      </c>
      <c r="F216" s="3265">
        <v>0.13</v>
      </c>
      <c r="G216" s="3266">
        <v>0.13</v>
      </c>
    </row>
    <row r="217" spans="1:7">
      <c r="A217" s="3275" t="s">
        <v>304</v>
      </c>
      <c r="B217" s="3264" t="s">
        <v>2963</v>
      </c>
      <c r="C217" s="3265">
        <v>0.129</v>
      </c>
      <c r="D217" s="3265">
        <v>0.129</v>
      </c>
      <c r="E217" s="3265">
        <v>0.13</v>
      </c>
      <c r="F217" s="3265">
        <v>0.13</v>
      </c>
      <c r="G217" s="3266">
        <v>0.13</v>
      </c>
    </row>
    <row r="218" spans="1:7">
      <c r="A218" s="3275" t="s">
        <v>304</v>
      </c>
      <c r="B218" s="3264" t="s">
        <v>2969</v>
      </c>
      <c r="C218" s="3276"/>
      <c r="D218" s="3276"/>
      <c r="E218" s="3276"/>
      <c r="F218" s="3265">
        <v>0.05</v>
      </c>
      <c r="G218" s="3282"/>
    </row>
    <row r="219" spans="1:7">
      <c r="A219" s="3275" t="s">
        <v>304</v>
      </c>
      <c r="B219" s="3264" t="s">
        <v>2976</v>
      </c>
      <c r="C219" s="3276"/>
      <c r="D219" s="3276"/>
      <c r="E219" s="3276"/>
      <c r="F219" s="3265">
        <v>0.05</v>
      </c>
      <c r="G219" s="3282"/>
    </row>
    <row r="220" spans="1:7">
      <c r="A220" s="3275" t="s">
        <v>304</v>
      </c>
      <c r="B220" s="3264" t="s">
        <v>2982</v>
      </c>
      <c r="C220" s="3276"/>
      <c r="D220" s="3276"/>
      <c r="E220" s="3276"/>
      <c r="F220" s="3265">
        <v>0.05</v>
      </c>
      <c r="G220" s="3282"/>
    </row>
    <row r="221" spans="1:7">
      <c r="A221" s="3275" t="s">
        <v>304</v>
      </c>
      <c r="B221" s="3264" t="s">
        <v>2987</v>
      </c>
      <c r="C221" s="3276"/>
      <c r="D221" s="3276"/>
      <c r="E221" s="3276"/>
      <c r="F221" s="3265">
        <v>0.05</v>
      </c>
      <c r="G221" s="3282"/>
    </row>
    <row r="222" spans="1:7">
      <c r="A222" s="3275" t="s">
        <v>304</v>
      </c>
      <c r="B222" s="3264" t="s">
        <v>2991</v>
      </c>
      <c r="C222" s="3276"/>
      <c r="D222" s="3276"/>
      <c r="E222" s="3276"/>
      <c r="F222" s="3265">
        <v>0.05</v>
      </c>
      <c r="G222" s="3282"/>
    </row>
    <row r="223" spans="1:7">
      <c r="A223" s="3275" t="s">
        <v>304</v>
      </c>
      <c r="B223" s="3264" t="s">
        <v>2996</v>
      </c>
      <c r="C223" s="3276"/>
      <c r="D223" s="3276"/>
      <c r="E223" s="3276"/>
      <c r="F223" s="3265">
        <v>0.05</v>
      </c>
      <c r="G223" s="3282"/>
    </row>
    <row r="224" spans="1:7">
      <c r="A224" s="3275" t="s">
        <v>304</v>
      </c>
      <c r="B224" s="3264" t="s">
        <v>3001</v>
      </c>
      <c r="C224" s="3276"/>
      <c r="D224" s="3276"/>
      <c r="E224" s="3276"/>
      <c r="F224" s="3265">
        <v>0.05</v>
      </c>
      <c r="G224" s="3282"/>
    </row>
    <row r="225" spans="1:7">
      <c r="A225" s="3275" t="s">
        <v>304</v>
      </c>
      <c r="B225" s="3264" t="s">
        <v>3006</v>
      </c>
      <c r="C225" s="3276"/>
      <c r="D225" s="3276"/>
      <c r="E225" s="3276"/>
      <c r="F225" s="3265">
        <v>0.05</v>
      </c>
      <c r="G225" s="3282"/>
    </row>
    <row r="226" spans="1:7">
      <c r="A226" s="3275" t="s">
        <v>304</v>
      </c>
      <c r="B226" s="3264" t="s">
        <v>3208</v>
      </c>
      <c r="C226" s="3276"/>
      <c r="D226" s="3276"/>
      <c r="E226" s="3276"/>
      <c r="F226" s="3265">
        <v>0.05</v>
      </c>
      <c r="G226" s="3282"/>
    </row>
    <row r="227" spans="1:7">
      <c r="A227" s="3275" t="s">
        <v>304</v>
      </c>
      <c r="B227" s="3264" t="s">
        <v>3209</v>
      </c>
      <c r="C227" s="3276"/>
      <c r="D227" s="3276"/>
      <c r="E227" s="3276"/>
      <c r="F227" s="3265">
        <v>0.05</v>
      </c>
      <c r="G227" s="3282"/>
    </row>
    <row r="228" spans="1:7">
      <c r="A228" s="3275" t="s">
        <v>304</v>
      </c>
      <c r="B228" s="3264" t="s">
        <v>3210</v>
      </c>
      <c r="C228" s="3276"/>
      <c r="D228" s="3276"/>
      <c r="E228" s="3276"/>
      <c r="F228" s="3265">
        <v>0.05</v>
      </c>
      <c r="G228" s="3282"/>
    </row>
    <row r="229" spans="1:7">
      <c r="A229" s="3275" t="s">
        <v>304</v>
      </c>
      <c r="B229" s="3264" t="s">
        <v>3211</v>
      </c>
      <c r="C229" s="3276"/>
      <c r="D229" s="3276"/>
      <c r="E229" s="3276"/>
      <c r="F229" s="3265">
        <v>0.05</v>
      </c>
      <c r="G229" s="3282"/>
    </row>
    <row r="230" spans="1:7">
      <c r="A230" s="3275" t="s">
        <v>304</v>
      </c>
      <c r="B230" s="3264" t="s">
        <v>3212</v>
      </c>
      <c r="C230" s="3276"/>
      <c r="D230" s="3276"/>
      <c r="E230" s="3276"/>
      <c r="F230" s="3265">
        <v>0.05</v>
      </c>
      <c r="G230" s="3282"/>
    </row>
    <row r="231" spans="1:7">
      <c r="A231" s="3275" t="s">
        <v>304</v>
      </c>
      <c r="B231" s="3264" t="s">
        <v>3213</v>
      </c>
      <c r="C231" s="3276"/>
      <c r="D231" s="3276"/>
      <c r="E231" s="3276"/>
      <c r="F231" s="3265">
        <v>0.05</v>
      </c>
      <c r="G231" s="3282"/>
    </row>
    <row r="232" spans="1:7">
      <c r="A232" s="3275" t="s">
        <v>304</v>
      </c>
      <c r="B232" s="3264" t="s">
        <v>3214</v>
      </c>
      <c r="C232" s="3276"/>
      <c r="D232" s="3276"/>
      <c r="E232" s="3276"/>
      <c r="F232" s="3265">
        <v>0.05</v>
      </c>
      <c r="G232" s="3282"/>
    </row>
    <row r="233" spans="1:7" ht="14.25" thickBot="1">
      <c r="A233" s="3278" t="s">
        <v>304</v>
      </c>
      <c r="B233" s="3268" t="s">
        <v>3215</v>
      </c>
      <c r="C233" s="3270"/>
      <c r="D233" s="3270"/>
      <c r="E233" s="3270"/>
      <c r="F233" s="3269">
        <v>0.05</v>
      </c>
      <c r="G233" s="3283"/>
    </row>
    <row r="234" spans="1:7">
      <c r="A234" s="3274" t="s">
        <v>305</v>
      </c>
      <c r="B234" s="3260" t="s">
        <v>2864</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2884</v>
      </c>
      <c r="C238" s="3265">
        <v>0.14899999999999999</v>
      </c>
      <c r="D238" s="3265">
        <v>0.14899999999999999</v>
      </c>
      <c r="E238" s="3265">
        <v>0.15</v>
      </c>
      <c r="F238" s="3265">
        <v>0.15</v>
      </c>
      <c r="G238" s="3266">
        <v>0.15</v>
      </c>
    </row>
    <row r="239" spans="1:7">
      <c r="A239" s="3275" t="s">
        <v>305</v>
      </c>
      <c r="B239" s="3264" t="s">
        <v>2888</v>
      </c>
      <c r="C239" s="3265">
        <v>0.15</v>
      </c>
      <c r="D239" s="3265">
        <v>0.15</v>
      </c>
      <c r="E239" s="3265">
        <v>0.15</v>
      </c>
      <c r="F239" s="3265">
        <v>0.15</v>
      </c>
      <c r="G239" s="3266">
        <v>0.15</v>
      </c>
    </row>
    <row r="240" spans="1:7">
      <c r="A240" s="3275" t="s">
        <v>305</v>
      </c>
      <c r="B240" s="3264" t="s">
        <v>2893</v>
      </c>
      <c r="C240" s="3265">
        <v>0.15</v>
      </c>
      <c r="D240" s="3265">
        <v>0.15</v>
      </c>
      <c r="E240" s="3265">
        <v>0.15</v>
      </c>
      <c r="F240" s="3265">
        <v>0.15</v>
      </c>
      <c r="G240" s="3266">
        <v>0.15</v>
      </c>
    </row>
    <row r="241" spans="1:7">
      <c r="A241" s="3275" t="s">
        <v>305</v>
      </c>
      <c r="B241" s="3264" t="s">
        <v>2897</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2903</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2911</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2916</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2924</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2937</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2946</v>
      </c>
      <c r="C258" s="3265">
        <v>0.14299999999999999</v>
      </c>
      <c r="D258" s="3265">
        <v>0.14299999999999999</v>
      </c>
      <c r="E258" s="3265">
        <v>0.15</v>
      </c>
      <c r="F258" s="3265">
        <v>0.14799999999999999</v>
      </c>
      <c r="G258" s="3266">
        <v>0.14599999999999999</v>
      </c>
    </row>
    <row r="259" spans="1:7">
      <c r="A259" s="3275" t="s">
        <v>305</v>
      </c>
      <c r="B259" s="3264" t="s">
        <v>2950</v>
      </c>
      <c r="C259" s="3265">
        <v>0.14399999999999999</v>
      </c>
      <c r="D259" s="3265">
        <v>0.14399999999999999</v>
      </c>
      <c r="E259" s="3265">
        <v>0.14899999999999999</v>
      </c>
      <c r="F259" s="3265">
        <v>0.14699999999999999</v>
      </c>
      <c r="G259" s="3266">
        <v>0.14599999999999999</v>
      </c>
    </row>
    <row r="260" spans="1:7">
      <c r="A260" s="3275" t="s">
        <v>305</v>
      </c>
      <c r="B260" s="3264" t="s">
        <v>2957</v>
      </c>
      <c r="C260" s="3265">
        <v>0.109</v>
      </c>
      <c r="D260" s="3265">
        <v>0.111</v>
      </c>
      <c r="E260" s="3265">
        <v>0.13100000000000001</v>
      </c>
      <c r="F260" s="3265">
        <v>0.126</v>
      </c>
      <c r="G260" s="3266">
        <v>0.11899999999999999</v>
      </c>
    </row>
    <row r="261" spans="1:7">
      <c r="A261" s="3275" t="s">
        <v>305</v>
      </c>
      <c r="B261" s="3264" t="s">
        <v>2964</v>
      </c>
      <c r="C261" s="3265">
        <v>0.1</v>
      </c>
      <c r="D261" s="3265">
        <v>0.1</v>
      </c>
      <c r="E261" s="3265">
        <v>0.11799999999999999</v>
      </c>
      <c r="F261" s="3265">
        <v>0.108</v>
      </c>
      <c r="G261" s="3266">
        <v>0.107</v>
      </c>
    </row>
    <row r="262" spans="1:7">
      <c r="A262" s="3275" t="s">
        <v>305</v>
      </c>
      <c r="B262" s="3264" t="s">
        <v>2970</v>
      </c>
      <c r="C262" s="3265">
        <v>0.1</v>
      </c>
      <c r="D262" s="3265">
        <v>0.1</v>
      </c>
      <c r="E262" s="3265">
        <v>0.1</v>
      </c>
      <c r="F262" s="3265">
        <v>0.14099999999999999</v>
      </c>
      <c r="G262" s="3266">
        <v>0.1</v>
      </c>
    </row>
    <row r="263" spans="1:7">
      <c r="A263" s="3275" t="s">
        <v>305</v>
      </c>
      <c r="B263" s="3264" t="s">
        <v>2977</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2988</v>
      </c>
      <c r="C265" s="3276"/>
      <c r="D265" s="3276"/>
      <c r="E265" s="3276"/>
      <c r="F265" s="3265">
        <v>0.05</v>
      </c>
      <c r="G265" s="3282"/>
    </row>
    <row r="266" spans="1:7">
      <c r="A266" s="3275" t="s">
        <v>305</v>
      </c>
      <c r="B266" s="3264" t="s">
        <v>2992</v>
      </c>
      <c r="C266" s="3276"/>
      <c r="D266" s="3276"/>
      <c r="E266" s="3276"/>
      <c r="F266" s="3265">
        <v>0.05</v>
      </c>
      <c r="G266" s="3282"/>
    </row>
    <row r="267" spans="1:7">
      <c r="A267" s="3275" t="s">
        <v>305</v>
      </c>
      <c r="B267" s="3264" t="s">
        <v>2997</v>
      </c>
      <c r="C267" s="3276"/>
      <c r="D267" s="3276"/>
      <c r="E267" s="3276"/>
      <c r="F267" s="3265">
        <v>0.05</v>
      </c>
      <c r="G267" s="3282"/>
    </row>
    <row r="268" spans="1:7">
      <c r="A268" s="3275" t="s">
        <v>305</v>
      </c>
      <c r="B268" s="3264" t="s">
        <v>3002</v>
      </c>
      <c r="C268" s="3276"/>
      <c r="D268" s="3276"/>
      <c r="E268" s="3276"/>
      <c r="F268" s="3265">
        <v>0.05</v>
      </c>
      <c r="G268" s="3282"/>
    </row>
    <row r="269" spans="1:7">
      <c r="A269" s="3275" t="s">
        <v>305</v>
      </c>
      <c r="B269" s="3264" t="s">
        <v>3007</v>
      </c>
      <c r="C269" s="3276"/>
      <c r="D269" s="3276"/>
      <c r="E269" s="3276"/>
      <c r="F269" s="3265">
        <v>0.05</v>
      </c>
      <c r="G269" s="3282"/>
    </row>
    <row r="270" spans="1:7">
      <c r="A270" s="3275" t="s">
        <v>305</v>
      </c>
      <c r="B270" s="3264" t="s">
        <v>3012</v>
      </c>
      <c r="C270" s="3276"/>
      <c r="D270" s="3276"/>
      <c r="E270" s="3276"/>
      <c r="F270" s="3265">
        <v>0.05</v>
      </c>
      <c r="G270" s="3282"/>
    </row>
    <row r="271" spans="1:7">
      <c r="A271" s="3275" t="s">
        <v>305</v>
      </c>
      <c r="B271" s="3264" t="s">
        <v>3216</v>
      </c>
      <c r="C271" s="3276"/>
      <c r="D271" s="3276"/>
      <c r="E271" s="3276"/>
      <c r="F271" s="3265">
        <v>0.05</v>
      </c>
      <c r="G271" s="3282"/>
    </row>
    <row r="272" spans="1:7">
      <c r="A272" s="3275" t="s">
        <v>305</v>
      </c>
      <c r="B272" s="3264" t="s">
        <v>3217</v>
      </c>
      <c r="C272" s="3276"/>
      <c r="D272" s="3276"/>
      <c r="E272" s="3276"/>
      <c r="F272" s="3265">
        <v>0.05</v>
      </c>
      <c r="G272" s="3282"/>
    </row>
    <row r="273" spans="1:7">
      <c r="A273" s="3275" t="s">
        <v>305</v>
      </c>
      <c r="B273" s="3264" t="s">
        <v>3218</v>
      </c>
      <c r="C273" s="3276"/>
      <c r="D273" s="3276"/>
      <c r="E273" s="3276"/>
      <c r="F273" s="3265">
        <v>0.05</v>
      </c>
      <c r="G273" s="3282"/>
    </row>
    <row r="274" spans="1:7">
      <c r="A274" s="3275" t="s">
        <v>305</v>
      </c>
      <c r="B274" s="3264" t="s">
        <v>3219</v>
      </c>
      <c r="C274" s="3276"/>
      <c r="D274" s="3276"/>
      <c r="E274" s="3276"/>
      <c r="F274" s="3265">
        <v>0.05</v>
      </c>
      <c r="G274" s="3282"/>
    </row>
    <row r="275" spans="1:7">
      <c r="A275" s="3275" t="s">
        <v>305</v>
      </c>
      <c r="B275" s="3264" t="s">
        <v>3220</v>
      </c>
      <c r="C275" s="3276"/>
      <c r="D275" s="3276"/>
      <c r="E275" s="3276"/>
      <c r="F275" s="3265">
        <v>0.05</v>
      </c>
      <c r="G275" s="3282"/>
    </row>
    <row r="276" spans="1:7" ht="14.25" thickBot="1">
      <c r="A276" s="3278" t="s">
        <v>305</v>
      </c>
      <c r="B276" s="3268" t="s">
        <v>3221</v>
      </c>
      <c r="C276" s="3270"/>
      <c r="D276" s="3270"/>
      <c r="E276" s="3270"/>
      <c r="F276" s="3269">
        <v>0.05</v>
      </c>
      <c r="G276" s="3283"/>
    </row>
    <row r="277" spans="1:7">
      <c r="A277" s="3274" t="s">
        <v>306</v>
      </c>
      <c r="B277" s="3260" t="s">
        <v>2865</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2877</v>
      </c>
      <c r="C279" s="3265">
        <v>0.15</v>
      </c>
      <c r="D279" s="3265">
        <v>0.15</v>
      </c>
      <c r="E279" s="3265">
        <v>0.15</v>
      </c>
      <c r="F279" s="3265">
        <v>0.15</v>
      </c>
      <c r="G279" s="3266">
        <v>0.15</v>
      </c>
    </row>
    <row r="280" spans="1:7">
      <c r="A280" s="3275" t="s">
        <v>306</v>
      </c>
      <c r="B280" s="3264" t="s">
        <v>2881</v>
      </c>
      <c r="C280" s="3265">
        <v>0.15</v>
      </c>
      <c r="D280" s="3265">
        <v>0.15</v>
      </c>
      <c r="E280" s="3265">
        <v>0.15</v>
      </c>
      <c r="F280" s="3265">
        <v>0.15</v>
      </c>
      <c r="G280" s="3266">
        <v>0.15</v>
      </c>
    </row>
    <row r="281" spans="1:7">
      <c r="A281" s="3275" t="s">
        <v>306</v>
      </c>
      <c r="B281" s="3264" t="s">
        <v>2885</v>
      </c>
      <c r="C281" s="3265">
        <v>0.15</v>
      </c>
      <c r="D281" s="3265">
        <v>0.15</v>
      </c>
      <c r="E281" s="3265">
        <v>0.15</v>
      </c>
      <c r="F281" s="3265">
        <v>0.15</v>
      </c>
      <c r="G281" s="3266">
        <v>0.15</v>
      </c>
    </row>
    <row r="282" spans="1:7">
      <c r="A282" s="3275" t="s">
        <v>306</v>
      </c>
      <c r="B282" s="3264" t="s">
        <v>2889</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2904</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2909</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2919</v>
      </c>
      <c r="C293" s="3265">
        <v>0.15</v>
      </c>
      <c r="D293" s="3265">
        <v>0.15</v>
      </c>
      <c r="E293" s="3265">
        <v>0.15</v>
      </c>
      <c r="F293" s="3265">
        <v>0.14499999999999999</v>
      </c>
      <c r="G293" s="3266">
        <v>0.15</v>
      </c>
    </row>
    <row r="294" spans="1:7">
      <c r="A294" s="3275" t="s">
        <v>306</v>
      </c>
      <c r="B294" s="3264" t="s">
        <v>2921</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2938</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2951</v>
      </c>
      <c r="C302" s="3265">
        <v>0.15</v>
      </c>
      <c r="D302" s="3265">
        <v>0.15</v>
      </c>
      <c r="E302" s="3265">
        <v>0.15</v>
      </c>
      <c r="F302" s="3265">
        <v>0.14699999999999999</v>
      </c>
      <c r="G302" s="3266">
        <v>0.15</v>
      </c>
    </row>
    <row r="303" spans="1:7">
      <c r="A303" s="3275" t="s">
        <v>306</v>
      </c>
      <c r="B303" s="3264" t="s">
        <v>2958</v>
      </c>
      <c r="C303" s="3265">
        <v>0.15</v>
      </c>
      <c r="D303" s="3265">
        <v>0.15</v>
      </c>
      <c r="E303" s="3265">
        <v>0.15</v>
      </c>
      <c r="F303" s="3265">
        <v>0.14199999999999999</v>
      </c>
      <c r="G303" s="3266">
        <v>0.15</v>
      </c>
    </row>
    <row r="304" spans="1:7">
      <c r="A304" s="3275" t="s">
        <v>306</v>
      </c>
      <c r="B304" s="3264" t="s">
        <v>2965</v>
      </c>
      <c r="C304" s="3265">
        <v>0.15</v>
      </c>
      <c r="D304" s="3265">
        <v>0.15</v>
      </c>
      <c r="E304" s="3265">
        <v>0.15</v>
      </c>
      <c r="F304" s="3265">
        <v>0.14499999999999999</v>
      </c>
      <c r="G304" s="3266">
        <v>0.15</v>
      </c>
    </row>
    <row r="305" spans="1:7">
      <c r="A305" s="3275" t="s">
        <v>306</v>
      </c>
      <c r="B305" s="3264" t="s">
        <v>2971</v>
      </c>
      <c r="C305" s="3265">
        <v>0.15</v>
      </c>
      <c r="D305" s="3265">
        <v>0.15</v>
      </c>
      <c r="E305" s="3265">
        <v>0.15</v>
      </c>
      <c r="F305" s="3265">
        <v>0.111</v>
      </c>
      <c r="G305" s="3266">
        <v>0.15</v>
      </c>
    </row>
    <row r="306" spans="1:7">
      <c r="A306" s="3275" t="s">
        <v>306</v>
      </c>
      <c r="B306" s="3264" t="s">
        <v>2978</v>
      </c>
      <c r="C306" s="3265">
        <v>0.15</v>
      </c>
      <c r="D306" s="3265">
        <v>0.15</v>
      </c>
      <c r="E306" s="3265">
        <v>0.15</v>
      </c>
      <c r="F306" s="3265">
        <v>0.126</v>
      </c>
      <c r="G306" s="3266">
        <v>0.15</v>
      </c>
    </row>
    <row r="307" spans="1:7">
      <c r="A307" s="3275" t="s">
        <v>306</v>
      </c>
      <c r="B307" s="3264" t="s">
        <v>2983</v>
      </c>
      <c r="C307" s="3265">
        <v>0.15</v>
      </c>
      <c r="D307" s="3265">
        <v>0.15</v>
      </c>
      <c r="E307" s="3265">
        <v>0.15</v>
      </c>
      <c r="F307" s="3265">
        <v>0.12</v>
      </c>
      <c r="G307" s="3266">
        <v>0.15</v>
      </c>
    </row>
    <row r="308" spans="1:7">
      <c r="A308" s="3275" t="s">
        <v>306</v>
      </c>
      <c r="B308" s="3264" t="s">
        <v>2989</v>
      </c>
      <c r="C308" s="3265">
        <v>0.15</v>
      </c>
      <c r="D308" s="3265">
        <v>0.15</v>
      </c>
      <c r="E308" s="3265">
        <v>0.15</v>
      </c>
      <c r="F308" s="3265">
        <v>0.13</v>
      </c>
      <c r="G308" s="3266">
        <v>0.15</v>
      </c>
    </row>
    <row r="309" spans="1:7">
      <c r="A309" s="3275" t="s">
        <v>306</v>
      </c>
      <c r="B309" s="3264" t="s">
        <v>2993</v>
      </c>
      <c r="C309" s="3265">
        <v>0.15</v>
      </c>
      <c r="D309" s="3265">
        <v>0.15</v>
      </c>
      <c r="E309" s="3265">
        <v>0.15</v>
      </c>
      <c r="F309" s="3265">
        <v>0.14099999999999999</v>
      </c>
      <c r="G309" s="3266">
        <v>0.15</v>
      </c>
    </row>
    <row r="310" spans="1:7">
      <c r="A310" s="3275" t="s">
        <v>306</v>
      </c>
      <c r="B310" s="3264" t="s">
        <v>2998</v>
      </c>
      <c r="C310" s="3265">
        <v>0.15</v>
      </c>
      <c r="D310" s="3265">
        <v>0.15</v>
      </c>
      <c r="E310" s="3265">
        <v>0.15</v>
      </c>
      <c r="F310" s="3265">
        <v>0.15</v>
      </c>
      <c r="G310" s="3266">
        <v>0.15</v>
      </c>
    </row>
    <row r="311" spans="1:7">
      <c r="A311" s="3275" t="s">
        <v>306</v>
      </c>
      <c r="B311" s="3264" t="s">
        <v>3003</v>
      </c>
      <c r="C311" s="3265">
        <v>0.13200000000000001</v>
      </c>
      <c r="D311" s="3265">
        <v>0.13300000000000001</v>
      </c>
      <c r="E311" s="3265">
        <v>0.14499999999999999</v>
      </c>
      <c r="F311" s="3265">
        <v>0.14199999999999999</v>
      </c>
      <c r="G311" s="3266">
        <v>0.14000000000000001</v>
      </c>
    </row>
    <row r="312" spans="1:7">
      <c r="A312" s="3275" t="s">
        <v>306</v>
      </c>
      <c r="B312" s="3264" t="s">
        <v>3008</v>
      </c>
      <c r="C312" s="3265">
        <v>0.13800000000000001</v>
      </c>
      <c r="D312" s="3265">
        <v>0.14000000000000001</v>
      </c>
      <c r="E312" s="3265">
        <v>0.14599999999999999</v>
      </c>
      <c r="F312" s="3265">
        <v>0.14899999999999999</v>
      </c>
      <c r="G312" s="3266">
        <v>0.14199999999999999</v>
      </c>
    </row>
    <row r="313" spans="1:7">
      <c r="A313" s="3275" t="s">
        <v>306</v>
      </c>
      <c r="B313" s="3264" t="s">
        <v>3013</v>
      </c>
      <c r="C313" s="3265">
        <v>0.125</v>
      </c>
      <c r="D313" s="3265">
        <v>0.127</v>
      </c>
      <c r="E313" s="3265">
        <v>0.14399999999999999</v>
      </c>
      <c r="F313" s="3265">
        <v>0.115</v>
      </c>
      <c r="G313" s="3266">
        <v>0.13600000000000001</v>
      </c>
    </row>
    <row r="314" spans="1:7">
      <c r="A314" s="3275" t="s">
        <v>306</v>
      </c>
      <c r="B314" s="3264" t="s">
        <v>3222</v>
      </c>
      <c r="C314" s="3281"/>
      <c r="D314" s="3281"/>
      <c r="E314" s="3281"/>
      <c r="F314" s="3265">
        <v>0.05</v>
      </c>
      <c r="G314" s="3282"/>
    </row>
    <row r="315" spans="1:7">
      <c r="A315" s="3275" t="s">
        <v>306</v>
      </c>
      <c r="B315" s="3264" t="s">
        <v>3223</v>
      </c>
      <c r="C315" s="3281"/>
      <c r="D315" s="3281"/>
      <c r="E315" s="3281"/>
      <c r="F315" s="3265">
        <v>0.05</v>
      </c>
      <c r="G315" s="3282"/>
    </row>
    <row r="316" spans="1:7">
      <c r="A316" s="3275" t="s">
        <v>306</v>
      </c>
      <c r="B316" s="3264" t="s">
        <v>3224</v>
      </c>
      <c r="C316" s="3276"/>
      <c r="D316" s="3276"/>
      <c r="E316" s="3276"/>
      <c r="F316" s="3265">
        <v>0.05</v>
      </c>
      <c r="G316" s="3282"/>
    </row>
    <row r="317" spans="1:7">
      <c r="A317" s="3275" t="s">
        <v>306</v>
      </c>
      <c r="B317" s="3264" t="s">
        <v>3225</v>
      </c>
      <c r="C317" s="3276"/>
      <c r="D317" s="3276"/>
      <c r="E317" s="3276"/>
      <c r="F317" s="3265">
        <v>0.05</v>
      </c>
      <c r="G317" s="3282"/>
    </row>
    <row r="318" spans="1:7">
      <c r="A318" s="3275" t="s">
        <v>306</v>
      </c>
      <c r="B318" s="3264" t="s">
        <v>3226</v>
      </c>
      <c r="C318" s="3276"/>
      <c r="D318" s="3276"/>
      <c r="E318" s="3276"/>
      <c r="F318" s="3265">
        <v>0.05</v>
      </c>
      <c r="G318" s="3282"/>
    </row>
    <row r="319" spans="1:7">
      <c r="A319" s="3275" t="s">
        <v>306</v>
      </c>
      <c r="B319" s="3264" t="s">
        <v>3227</v>
      </c>
      <c r="C319" s="3276"/>
      <c r="D319" s="3276"/>
      <c r="E319" s="3276"/>
      <c r="F319" s="3265">
        <v>0.05</v>
      </c>
      <c r="G319" s="3282"/>
    </row>
    <row r="320" spans="1:7">
      <c r="A320" s="3275" t="s">
        <v>306</v>
      </c>
      <c r="B320" s="3264" t="s">
        <v>3228</v>
      </c>
      <c r="C320" s="3276"/>
      <c r="D320" s="3276"/>
      <c r="E320" s="3276"/>
      <c r="F320" s="3265">
        <v>0.05</v>
      </c>
      <c r="G320" s="3282"/>
    </row>
    <row r="321" spans="1:7">
      <c r="A321" s="3275" t="s">
        <v>306</v>
      </c>
      <c r="B321" s="3264" t="s">
        <v>3229</v>
      </c>
      <c r="C321" s="3276"/>
      <c r="D321" s="3276"/>
      <c r="E321" s="3276"/>
      <c r="F321" s="3265">
        <v>0.05</v>
      </c>
      <c r="G321" s="3282"/>
    </row>
    <row r="322" spans="1:7">
      <c r="A322" s="3275" t="s">
        <v>306</v>
      </c>
      <c r="B322" s="3264" t="s">
        <v>3230</v>
      </c>
      <c r="C322" s="3276"/>
      <c r="D322" s="3276"/>
      <c r="E322" s="3276"/>
      <c r="F322" s="3265">
        <v>0.05</v>
      </c>
      <c r="G322" s="3282"/>
    </row>
    <row r="323" spans="1:7">
      <c r="A323" s="3275" t="s">
        <v>306</v>
      </c>
      <c r="B323" s="3264" t="s">
        <v>3231</v>
      </c>
      <c r="C323" s="3276"/>
      <c r="D323" s="3276"/>
      <c r="E323" s="3276"/>
      <c r="F323" s="3265">
        <v>0.05</v>
      </c>
      <c r="G323" s="3282"/>
    </row>
    <row r="324" spans="1:7">
      <c r="A324" s="3275" t="s">
        <v>306</v>
      </c>
      <c r="B324" s="3264" t="s">
        <v>3232</v>
      </c>
      <c r="C324" s="3276"/>
      <c r="D324" s="3276"/>
      <c r="E324" s="3276"/>
      <c r="F324" s="3265">
        <v>0.05</v>
      </c>
      <c r="G324" s="3282"/>
    </row>
    <row r="325" spans="1:7">
      <c r="A325" s="3275" t="s">
        <v>306</v>
      </c>
      <c r="B325" s="3264" t="s">
        <v>3233</v>
      </c>
      <c r="C325" s="3276"/>
      <c r="D325" s="3276"/>
      <c r="E325" s="3276"/>
      <c r="F325" s="3265">
        <v>0.05</v>
      </c>
      <c r="G325" s="3282"/>
    </row>
    <row r="326" spans="1:7" ht="14.25" thickBot="1">
      <c r="A326" s="3278" t="s">
        <v>306</v>
      </c>
      <c r="B326" s="3268" t="s">
        <v>3234</v>
      </c>
      <c r="C326" s="3270"/>
      <c r="D326" s="3270"/>
      <c r="E326" s="3270"/>
      <c r="F326" s="3269">
        <v>0.05</v>
      </c>
      <c r="G326" s="3283"/>
    </row>
    <row r="327" spans="1:7">
      <c r="A327" s="3274" t="s">
        <v>307</v>
      </c>
      <c r="B327" s="3260" t="s">
        <v>2866</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2878</v>
      </c>
      <c r="C329" s="3265">
        <v>0.15</v>
      </c>
      <c r="D329" s="3265">
        <v>0.15</v>
      </c>
      <c r="E329" s="3265">
        <v>0.15</v>
      </c>
      <c r="F329" s="3265">
        <v>0.15</v>
      </c>
      <c r="G329" s="3266">
        <v>0.15</v>
      </c>
    </row>
    <row r="330" spans="1:7">
      <c r="A330" s="3275" t="s">
        <v>307</v>
      </c>
      <c r="B330" s="3264" t="s">
        <v>2882</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2890</v>
      </c>
      <c r="C332" s="3265">
        <v>0.15</v>
      </c>
      <c r="D332" s="3265">
        <v>0.15</v>
      </c>
      <c r="E332" s="3265">
        <v>0.15</v>
      </c>
      <c r="F332" s="3265">
        <v>0.15</v>
      </c>
      <c r="G332" s="3266">
        <v>0.15</v>
      </c>
    </row>
    <row r="333" spans="1:7">
      <c r="A333" s="3275" t="s">
        <v>307</v>
      </c>
      <c r="B333" s="3264" t="s">
        <v>2894</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2900</v>
      </c>
      <c r="C336" s="3265">
        <v>0.15</v>
      </c>
      <c r="D336" s="3265">
        <v>0.15</v>
      </c>
      <c r="E336" s="3265">
        <v>0.15</v>
      </c>
      <c r="F336" s="3265">
        <v>0.14199999999999999</v>
      </c>
      <c r="G336" s="3266">
        <v>0.15</v>
      </c>
    </row>
    <row r="337" spans="1:7">
      <c r="A337" s="3275" t="s">
        <v>307</v>
      </c>
      <c r="B337" s="3264" t="s">
        <v>2905</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2912</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2917</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2925</v>
      </c>
      <c r="C345" s="3265">
        <v>0.15</v>
      </c>
      <c r="D345" s="3265">
        <v>0.15</v>
      </c>
      <c r="E345" s="3265">
        <v>0.15</v>
      </c>
      <c r="F345" s="3265">
        <v>0.13800000000000001</v>
      </c>
      <c r="G345" s="3266">
        <v>0.15</v>
      </c>
    </row>
    <row r="346" spans="1:7">
      <c r="A346" s="3275" t="s">
        <v>307</v>
      </c>
      <c r="B346" s="3264" t="s">
        <v>2927</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2934</v>
      </c>
      <c r="C348" s="3265">
        <v>0.15</v>
      </c>
      <c r="D348" s="3265">
        <v>0.15</v>
      </c>
      <c r="E348" s="3265">
        <v>0.15</v>
      </c>
      <c r="F348" s="3265">
        <v>0.14399999999999999</v>
      </c>
      <c r="G348" s="3266">
        <v>0.15</v>
      </c>
    </row>
    <row r="349" spans="1:7">
      <c r="A349" s="3275" t="s">
        <v>307</v>
      </c>
      <c r="B349" s="3264" t="s">
        <v>2939</v>
      </c>
      <c r="C349" s="3265">
        <v>0.15</v>
      </c>
      <c r="D349" s="3265">
        <v>0.15</v>
      </c>
      <c r="E349" s="3265">
        <v>0.15</v>
      </c>
      <c r="F349" s="3265">
        <v>0.15</v>
      </c>
      <c r="G349" s="3266">
        <v>0.15</v>
      </c>
    </row>
    <row r="350" spans="1:7">
      <c r="A350" s="3275" t="s">
        <v>307</v>
      </c>
      <c r="B350" s="3264" t="s">
        <v>2942</v>
      </c>
      <c r="C350" s="3265">
        <v>0.15</v>
      </c>
      <c r="D350" s="3265">
        <v>0.15</v>
      </c>
      <c r="E350" s="3265">
        <v>0.15</v>
      </c>
      <c r="F350" s="3265">
        <v>0.14699999999999999</v>
      </c>
      <c r="G350" s="3266">
        <v>0.15</v>
      </c>
    </row>
    <row r="351" spans="1:7">
      <c r="A351" s="3275" t="s">
        <v>307</v>
      </c>
      <c r="B351" s="3264" t="s">
        <v>2947</v>
      </c>
      <c r="C351" s="3265">
        <v>0.15</v>
      </c>
      <c r="D351" s="3265">
        <v>0.15</v>
      </c>
      <c r="E351" s="3265">
        <v>0.15</v>
      </c>
      <c r="F351" s="3265">
        <v>0.13</v>
      </c>
      <c r="G351" s="3266">
        <v>0.15</v>
      </c>
    </row>
    <row r="352" spans="1:7">
      <c r="A352" s="3275" t="s">
        <v>307</v>
      </c>
      <c r="B352" s="3264" t="s">
        <v>2952</v>
      </c>
      <c r="C352" s="3265">
        <v>0.15</v>
      </c>
      <c r="D352" s="3265">
        <v>0.15</v>
      </c>
      <c r="E352" s="3265">
        <v>0.15</v>
      </c>
      <c r="F352" s="3265">
        <v>0.14599999999999999</v>
      </c>
      <c r="G352" s="3266">
        <v>0.15</v>
      </c>
    </row>
    <row r="353" spans="1:7">
      <c r="A353" s="3275" t="s">
        <v>307</v>
      </c>
      <c r="B353" s="3264" t="s">
        <v>2959</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2972</v>
      </c>
      <c r="C355" s="3265">
        <v>0.15</v>
      </c>
      <c r="D355" s="3265">
        <v>0.15</v>
      </c>
      <c r="E355" s="3265">
        <v>0.15</v>
      </c>
      <c r="F355" s="3265">
        <v>0.15</v>
      </c>
      <c r="G355" s="3266">
        <v>0.15</v>
      </c>
    </row>
    <row r="356" spans="1:7">
      <c r="A356" s="3275" t="s">
        <v>307</v>
      </c>
      <c r="B356" s="3264" t="s">
        <v>2979</v>
      </c>
      <c r="C356" s="3265">
        <v>0.15</v>
      </c>
      <c r="D356" s="3265">
        <v>0.15</v>
      </c>
      <c r="E356" s="3265">
        <v>0.15</v>
      </c>
      <c r="F356" s="3265">
        <v>0.15</v>
      </c>
      <c r="G356" s="3266">
        <v>0.15</v>
      </c>
    </row>
    <row r="357" spans="1:7" ht="14.25" thickBot="1">
      <c r="A357" s="3278" t="s">
        <v>307</v>
      </c>
      <c r="B357" s="3268" t="s">
        <v>2984</v>
      </c>
      <c r="C357" s="3269">
        <v>0.126</v>
      </c>
      <c r="D357" s="3269">
        <v>0.127</v>
      </c>
      <c r="E357" s="3269">
        <v>0.14299999999999999</v>
      </c>
      <c r="F357" s="3269">
        <v>0.125</v>
      </c>
      <c r="G357" s="3271">
        <v>0.129</v>
      </c>
    </row>
    <row r="358" spans="1:7">
      <c r="A358" s="3274" t="s">
        <v>2853</v>
      </c>
      <c r="B358" s="3260" t="s">
        <v>2867</v>
      </c>
      <c r="C358" s="3261">
        <v>0.15</v>
      </c>
      <c r="D358" s="3261">
        <v>0.15</v>
      </c>
      <c r="E358" s="3261">
        <v>0.15</v>
      </c>
      <c r="F358" s="3261">
        <v>0.15</v>
      </c>
      <c r="G358" s="3262">
        <v>0.15</v>
      </c>
    </row>
    <row r="359" spans="1:7">
      <c r="A359" s="3275" t="s">
        <v>2853</v>
      </c>
      <c r="B359" s="3264" t="s">
        <v>2873</v>
      </c>
      <c r="C359" s="3265">
        <v>0.1</v>
      </c>
      <c r="D359" s="3265">
        <v>0.1</v>
      </c>
      <c r="E359" s="3265">
        <v>0.1</v>
      </c>
      <c r="F359" s="3265">
        <v>0.1</v>
      </c>
      <c r="G359" s="3266">
        <v>0.1</v>
      </c>
    </row>
    <row r="360" spans="1:7">
      <c r="A360" s="3275" t="s">
        <v>2853</v>
      </c>
      <c r="B360" s="3264" t="s">
        <v>2879</v>
      </c>
      <c r="C360" s="3265">
        <v>0.15</v>
      </c>
      <c r="D360" s="3265">
        <v>0.15</v>
      </c>
      <c r="E360" s="3265">
        <v>0.15</v>
      </c>
      <c r="F360" s="3265">
        <v>0.14899999999999999</v>
      </c>
      <c r="G360" s="3266">
        <v>0.15</v>
      </c>
    </row>
    <row r="361" spans="1:7">
      <c r="A361" s="3275" t="s">
        <v>2853</v>
      </c>
      <c r="B361" s="3264" t="s">
        <v>153</v>
      </c>
      <c r="C361" s="3265">
        <v>0.15</v>
      </c>
      <c r="D361" s="3265">
        <v>0.15</v>
      </c>
      <c r="E361" s="3265">
        <v>0.15</v>
      </c>
      <c r="F361" s="3265">
        <v>0.115</v>
      </c>
      <c r="G361" s="3266">
        <v>0.15</v>
      </c>
    </row>
    <row r="362" spans="1:7">
      <c r="A362" s="3275" t="s">
        <v>2853</v>
      </c>
      <c r="B362" s="3264" t="s">
        <v>2886</v>
      </c>
      <c r="C362" s="3265">
        <v>0.15</v>
      </c>
      <c r="D362" s="3265">
        <v>0.15</v>
      </c>
      <c r="E362" s="3265">
        <v>0.15</v>
      </c>
      <c r="F362" s="3265">
        <v>0.106</v>
      </c>
      <c r="G362" s="3266">
        <v>0.15</v>
      </c>
    </row>
    <row r="363" spans="1:7">
      <c r="A363" s="3275" t="s">
        <v>2853</v>
      </c>
      <c r="B363" s="3264" t="s">
        <v>2891</v>
      </c>
      <c r="C363" s="3265">
        <v>0.15</v>
      </c>
      <c r="D363" s="3265">
        <v>0.15</v>
      </c>
      <c r="E363" s="3265">
        <v>0.15</v>
      </c>
      <c r="F363" s="3265">
        <v>0.14699999999999999</v>
      </c>
      <c r="G363" s="3266">
        <v>0.15</v>
      </c>
    </row>
    <row r="364" spans="1:7">
      <c r="A364" s="3275" t="s">
        <v>2853</v>
      </c>
      <c r="B364" s="3264" t="s">
        <v>2895</v>
      </c>
      <c r="C364" s="3265">
        <v>0.15</v>
      </c>
      <c r="D364" s="3265">
        <v>0.15</v>
      </c>
      <c r="E364" s="3265">
        <v>0.15</v>
      </c>
      <c r="F364" s="3265">
        <v>0.14799999999999999</v>
      </c>
      <c r="G364" s="3266">
        <v>0.15</v>
      </c>
    </row>
    <row r="365" spans="1:7">
      <c r="A365" s="3275" t="s">
        <v>2853</v>
      </c>
      <c r="B365" s="3264" t="s">
        <v>200</v>
      </c>
      <c r="C365" s="3265">
        <v>0.15</v>
      </c>
      <c r="D365" s="3265">
        <v>0.15</v>
      </c>
      <c r="E365" s="3265">
        <v>0.15</v>
      </c>
      <c r="F365" s="3265">
        <v>0.15</v>
      </c>
      <c r="G365" s="3266">
        <v>0.15</v>
      </c>
    </row>
    <row r="366" spans="1:7">
      <c r="A366" s="3275" t="s">
        <v>2853</v>
      </c>
      <c r="B366" s="3264" t="s">
        <v>2898</v>
      </c>
      <c r="C366" s="3265">
        <v>0.15</v>
      </c>
      <c r="D366" s="3265">
        <v>0.15</v>
      </c>
      <c r="E366" s="3265">
        <v>0.15</v>
      </c>
      <c r="F366" s="3265">
        <v>0.15</v>
      </c>
      <c r="G366" s="3266">
        <v>0.15</v>
      </c>
    </row>
    <row r="367" spans="1:7">
      <c r="A367" s="3275" t="s">
        <v>2853</v>
      </c>
      <c r="B367" s="3264" t="s">
        <v>2901</v>
      </c>
      <c r="C367" s="3265">
        <v>0.15</v>
      </c>
      <c r="D367" s="3265">
        <v>0.15</v>
      </c>
      <c r="E367" s="3265">
        <v>0.15</v>
      </c>
      <c r="F367" s="3265">
        <v>0.14699999999999999</v>
      </c>
      <c r="G367" s="3266">
        <v>0.15</v>
      </c>
    </row>
    <row r="368" spans="1:7">
      <c r="A368" s="3275" t="s">
        <v>2853</v>
      </c>
      <c r="B368" s="3264" t="s">
        <v>2906</v>
      </c>
      <c r="C368" s="3265">
        <v>0.15</v>
      </c>
      <c r="D368" s="3265">
        <v>0.15</v>
      </c>
      <c r="E368" s="3265">
        <v>0.15</v>
      </c>
      <c r="F368" s="3265">
        <v>0.13600000000000001</v>
      </c>
      <c r="G368" s="3266">
        <v>0.15</v>
      </c>
    </row>
    <row r="369" spans="1:7">
      <c r="A369" s="3275" t="s">
        <v>2853</v>
      </c>
      <c r="B369" s="3264" t="s">
        <v>214</v>
      </c>
      <c r="C369" s="3265">
        <v>0.15</v>
      </c>
      <c r="D369" s="3265">
        <v>0.15</v>
      </c>
      <c r="E369" s="3265">
        <v>0.15</v>
      </c>
      <c r="F369" s="3265">
        <v>0.14399999999999999</v>
      </c>
      <c r="G369" s="3266">
        <v>0.15</v>
      </c>
    </row>
    <row r="370" spans="1:7">
      <c r="A370" s="3275" t="s">
        <v>2853</v>
      </c>
      <c r="B370" s="3264" t="s">
        <v>221</v>
      </c>
      <c r="C370" s="3265">
        <v>0.15</v>
      </c>
      <c r="D370" s="3265">
        <v>0.15</v>
      </c>
      <c r="E370" s="3265">
        <v>0.15</v>
      </c>
      <c r="F370" s="3265">
        <v>0.14599999999999999</v>
      </c>
      <c r="G370" s="3266">
        <v>0.15</v>
      </c>
    </row>
    <row r="371" spans="1:7">
      <c r="A371" s="3275" t="s">
        <v>2853</v>
      </c>
      <c r="B371" s="3264" t="s">
        <v>229</v>
      </c>
      <c r="C371" s="3265">
        <v>0.15</v>
      </c>
      <c r="D371" s="3265">
        <v>0.15</v>
      </c>
      <c r="E371" s="3265">
        <v>0.15</v>
      </c>
      <c r="F371" s="3265">
        <v>0.12</v>
      </c>
      <c r="G371" s="3266">
        <v>0.15</v>
      </c>
    </row>
    <row r="372" spans="1:7">
      <c r="A372" s="3275" t="s">
        <v>2853</v>
      </c>
      <c r="B372" s="3264" t="s">
        <v>2914</v>
      </c>
      <c r="C372" s="3265">
        <v>0.15</v>
      </c>
      <c r="D372" s="3265">
        <v>0.15</v>
      </c>
      <c r="E372" s="3265">
        <v>0.15</v>
      </c>
      <c r="F372" s="3265">
        <v>0.14299999999999999</v>
      </c>
      <c r="G372" s="3266">
        <v>0.15</v>
      </c>
    </row>
    <row r="373" spans="1:7">
      <c r="A373" s="3275" t="s">
        <v>2853</v>
      </c>
      <c r="B373" s="3264" t="s">
        <v>258</v>
      </c>
      <c r="C373" s="3265">
        <v>0.15</v>
      </c>
      <c r="D373" s="3265">
        <v>0.15</v>
      </c>
      <c r="E373" s="3265">
        <v>0.15</v>
      </c>
      <c r="F373" s="3265">
        <v>0.14599999999999999</v>
      </c>
      <c r="G373" s="3266">
        <v>0.15</v>
      </c>
    </row>
    <row r="374" spans="1:7">
      <c r="A374" s="3275" t="s">
        <v>2853</v>
      </c>
      <c r="B374" s="3264" t="s">
        <v>266</v>
      </c>
      <c r="C374" s="3265">
        <v>0.15</v>
      </c>
      <c r="D374" s="3265">
        <v>0.15</v>
      </c>
      <c r="E374" s="3265">
        <v>0.15</v>
      </c>
      <c r="F374" s="3265">
        <v>0.14399999999999999</v>
      </c>
      <c r="G374" s="3266">
        <v>0.15</v>
      </c>
    </row>
    <row r="375" spans="1:7">
      <c r="A375" s="3275" t="s">
        <v>2853</v>
      </c>
      <c r="B375" s="3264" t="s">
        <v>2922</v>
      </c>
      <c r="C375" s="3265">
        <v>0.15</v>
      </c>
      <c r="D375" s="3265">
        <v>0.15</v>
      </c>
      <c r="E375" s="3265">
        <v>0.15</v>
      </c>
      <c r="F375" s="3265">
        <v>0.13</v>
      </c>
      <c r="G375" s="3266">
        <v>0.15</v>
      </c>
    </row>
    <row r="376" spans="1:7">
      <c r="A376" s="3275" t="s">
        <v>2853</v>
      </c>
      <c r="B376" s="3264" t="s">
        <v>277</v>
      </c>
      <c r="C376" s="3265">
        <v>0.15</v>
      </c>
      <c r="D376" s="3265">
        <v>0.15</v>
      </c>
      <c r="E376" s="3265">
        <v>0.15</v>
      </c>
      <c r="F376" s="3265">
        <v>0.14199999999999999</v>
      </c>
      <c r="G376" s="3266">
        <v>0.15</v>
      </c>
    </row>
    <row r="377" spans="1:7" ht="14.25" thickBot="1">
      <c r="A377" s="3278" t="s">
        <v>2853</v>
      </c>
      <c r="B377" s="3268" t="s">
        <v>2928</v>
      </c>
      <c r="C377" s="3269">
        <v>0.15</v>
      </c>
      <c r="D377" s="3269">
        <v>0.15</v>
      </c>
      <c r="E377" s="3269">
        <v>0.15</v>
      </c>
      <c r="F377" s="3269">
        <v>0.14000000000000001</v>
      </c>
      <c r="G377" s="3271">
        <v>0.15</v>
      </c>
    </row>
    <row r="378" spans="1:7">
      <c r="A378" s="3274" t="s">
        <v>2854</v>
      </c>
      <c r="B378" s="3260" t="s">
        <v>2868</v>
      </c>
      <c r="C378" s="3261">
        <v>0.15</v>
      </c>
      <c r="D378" s="3261">
        <v>0.15</v>
      </c>
      <c r="E378" s="3261">
        <v>0.15</v>
      </c>
      <c r="F378" s="3261">
        <v>0.107</v>
      </c>
      <c r="G378" s="3262">
        <v>0.15</v>
      </c>
    </row>
    <row r="379" spans="1:7">
      <c r="A379" s="3275" t="s">
        <v>2854</v>
      </c>
      <c r="B379" s="3264" t="s">
        <v>2874</v>
      </c>
      <c r="C379" s="3265">
        <v>0.15</v>
      </c>
      <c r="D379" s="3265">
        <v>0.15</v>
      </c>
      <c r="E379" s="3265">
        <v>0.15</v>
      </c>
      <c r="F379" s="3265">
        <v>0.115</v>
      </c>
      <c r="G379" s="3266">
        <v>0.14899999999999999</v>
      </c>
    </row>
    <row r="380" spans="1:7">
      <c r="A380" s="3275" t="s">
        <v>2854</v>
      </c>
      <c r="B380" s="3264" t="s">
        <v>2880</v>
      </c>
      <c r="C380" s="3265">
        <v>0.15</v>
      </c>
      <c r="D380" s="3265">
        <v>0.15</v>
      </c>
      <c r="E380" s="3265">
        <v>0.15</v>
      </c>
      <c r="F380" s="3265">
        <v>0.1</v>
      </c>
      <c r="G380" s="3266">
        <v>0.14799999999999999</v>
      </c>
    </row>
    <row r="381" spans="1:7">
      <c r="A381" s="3275" t="s">
        <v>2854</v>
      </c>
      <c r="B381" s="3264" t="s">
        <v>2883</v>
      </c>
      <c r="C381" s="3265">
        <v>0.15</v>
      </c>
      <c r="D381" s="3265">
        <v>0.15</v>
      </c>
      <c r="E381" s="3265">
        <v>0.15</v>
      </c>
      <c r="F381" s="3265">
        <v>0.126</v>
      </c>
      <c r="G381" s="3266">
        <v>0.15</v>
      </c>
    </row>
    <row r="382" spans="1:7">
      <c r="A382" s="3275" t="s">
        <v>2854</v>
      </c>
      <c r="B382" s="3264" t="s">
        <v>2887</v>
      </c>
      <c r="C382" s="3265">
        <v>0.15</v>
      </c>
      <c r="D382" s="3265">
        <v>0.15</v>
      </c>
      <c r="E382" s="3265">
        <v>0.15</v>
      </c>
      <c r="F382" s="3265">
        <v>0.15</v>
      </c>
      <c r="G382" s="3266">
        <v>0.15</v>
      </c>
    </row>
    <row r="383" spans="1:7">
      <c r="A383" s="3275" t="s">
        <v>2854</v>
      </c>
      <c r="B383" s="3264" t="s">
        <v>2892</v>
      </c>
      <c r="C383" s="3265">
        <v>0.15</v>
      </c>
      <c r="D383" s="3265">
        <v>0.15</v>
      </c>
      <c r="E383" s="3265">
        <v>0.15</v>
      </c>
      <c r="F383" s="3265">
        <v>0.14699999999999999</v>
      </c>
      <c r="G383" s="3266">
        <v>0.15</v>
      </c>
    </row>
    <row r="384" spans="1:7" ht="14.25" thickBot="1">
      <c r="A384" s="3285" t="s">
        <v>2854</v>
      </c>
      <c r="B384" s="3286" t="s">
        <v>2896</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3" t="s">
        <v>3235</v>
      </c>
      <c r="B1" s="3793"/>
      <c r="C1" s="3793"/>
      <c r="D1" s="3793"/>
      <c r="E1" s="3793"/>
      <c r="F1" s="3794"/>
    </row>
    <row r="2" spans="1:6">
      <c r="A2" s="3291" t="s">
        <v>3236</v>
      </c>
      <c r="B2" s="3292"/>
      <c r="C2" s="3292"/>
      <c r="D2" s="3292"/>
      <c r="E2" s="3292"/>
      <c r="F2" s="3292"/>
    </row>
    <row r="3" spans="1:6">
      <c r="A3" s="3291" t="s">
        <v>3237</v>
      </c>
      <c r="B3" s="3292"/>
      <c r="C3" s="3292"/>
      <c r="D3" s="3292"/>
      <c r="E3" s="3292"/>
      <c r="F3" s="3293" t="s">
        <v>3238</v>
      </c>
    </row>
    <row r="4" spans="1:6">
      <c r="A4" s="3294" t="s">
        <v>672</v>
      </c>
      <c r="B4" s="3294" t="s">
        <v>673</v>
      </c>
      <c r="C4" s="3294" t="s">
        <v>21</v>
      </c>
      <c r="D4" s="3294" t="s">
        <v>674</v>
      </c>
      <c r="E4" s="3294" t="s">
        <v>3</v>
      </c>
      <c r="F4" s="3294" t="s">
        <v>3239</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21">
        <f>基准地价修正!G23</f>
        <v>45257</v>
      </c>
      <c r="B1" s="3210" t="s">
        <v>3375</v>
      </c>
      <c r="C1" s="3211"/>
      <c r="D1" s="3211"/>
      <c r="E1" s="3211"/>
      <c r="F1" s="3211"/>
      <c r="G1" s="3211"/>
      <c r="H1" s="3211"/>
      <c r="I1" s="3211"/>
      <c r="J1" s="3165"/>
      <c r="K1" s="3211" t="s">
        <v>454</v>
      </c>
      <c r="L1" s="3211"/>
      <c r="M1" s="3211"/>
      <c r="N1" s="3211"/>
      <c r="O1" s="3211"/>
      <c r="P1" s="3211"/>
      <c r="Q1" s="3165"/>
      <c r="R1" s="3795" t="s">
        <v>456</v>
      </c>
      <c r="S1" s="3796"/>
      <c r="T1" s="3796"/>
      <c r="U1" s="3796"/>
      <c r="V1" s="3796"/>
      <c r="W1" s="3796"/>
      <c r="X1" s="3165"/>
      <c r="Y1" s="3795" t="s">
        <v>457</v>
      </c>
      <c r="Z1" s="3796"/>
      <c r="AA1" s="3796"/>
      <c r="AB1" s="3796"/>
      <c r="AC1" s="3796"/>
      <c r="AD1" s="3796"/>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3379</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3380</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2.75">
      <c r="A7" s="2205" t="s">
        <v>3381</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2.75">
      <c r="A8" s="3186" t="s">
        <v>3373</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2.75">
      <c r="A9" s="3176" t="s">
        <v>3374</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3372</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3371</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3367</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3358</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2823</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2824</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2825</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2826</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2827</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3369</v>
      </c>
    </row>
    <row r="21" spans="1:30" s="3009" customFormat="1">
      <c r="I21" s="3208" t="s">
        <v>2828</v>
      </c>
    </row>
    <row r="22" spans="1:30" s="3009" customFormat="1"/>
    <row r="23" spans="1:30" s="3209" customFormat="1" ht="12.75">
      <c r="B23" s="3210" t="s">
        <v>3376</v>
      </c>
      <c r="C23" s="3211"/>
      <c r="D23" s="3211"/>
      <c r="E23" s="3211"/>
      <c r="F23" s="3211"/>
      <c r="G23" s="3211"/>
      <c r="H23" s="3211"/>
      <c r="I23" s="3211"/>
      <c r="J23" s="3165"/>
      <c r="K23" s="3211" t="s">
        <v>2829</v>
      </c>
      <c r="L23" s="3211"/>
      <c r="M23" s="3211"/>
      <c r="N23" s="3211"/>
      <c r="O23" s="3211"/>
      <c r="P23" s="3211"/>
      <c r="Q23" s="3165"/>
      <c r="R23" s="3795" t="s">
        <v>2830</v>
      </c>
      <c r="S23" s="3796"/>
      <c r="T23" s="3796"/>
      <c r="U23" s="3796"/>
      <c r="V23" s="3796"/>
      <c r="W23" s="3796"/>
      <c r="X23" s="3165"/>
      <c r="Y23" s="3795" t="s">
        <v>2831</v>
      </c>
      <c r="Z23" s="3796"/>
      <c r="AA23" s="3796"/>
      <c r="AB23" s="3796"/>
      <c r="AC23" s="3796"/>
      <c r="AD23" s="3796"/>
    </row>
    <row r="24" spans="1:30" s="3143" customFormat="1" ht="14.25" thickBot="1">
      <c r="B24" s="3144"/>
      <c r="C24" s="3145"/>
      <c r="D24" s="3146" t="s">
        <v>2832</v>
      </c>
      <c r="E24" s="3147" t="s">
        <v>2833</v>
      </c>
      <c r="F24" s="3147" t="s">
        <v>2834</v>
      </c>
      <c r="G24" s="3147" t="s">
        <v>2835</v>
      </c>
      <c r="H24" s="3147"/>
      <c r="I24" s="3147" t="s">
        <v>2836</v>
      </c>
      <c r="J24" s="3148"/>
      <c r="K24" s="3146" t="s">
        <v>2832</v>
      </c>
      <c r="L24" s="3147" t="s">
        <v>2833</v>
      </c>
      <c r="M24" s="3147" t="s">
        <v>2834</v>
      </c>
      <c r="N24" s="3147" t="s">
        <v>2835</v>
      </c>
      <c r="O24" s="3147"/>
      <c r="P24" s="3147" t="s">
        <v>2836</v>
      </c>
      <c r="Q24" s="3148"/>
      <c r="R24" s="3146" t="s">
        <v>2832</v>
      </c>
      <c r="S24" s="3147" t="s">
        <v>2833</v>
      </c>
      <c r="T24" s="3147" t="s">
        <v>2834</v>
      </c>
      <c r="U24" s="3147" t="s">
        <v>2835</v>
      </c>
      <c r="V24" s="3147"/>
      <c r="W24" s="3147" t="s">
        <v>2836</v>
      </c>
      <c r="X24" s="3148"/>
      <c r="Y24" s="3146" t="s">
        <v>2832</v>
      </c>
      <c r="Z24" s="3147" t="s">
        <v>2833</v>
      </c>
      <c r="AA24" s="3147" t="s">
        <v>2834</v>
      </c>
      <c r="AB24" s="3147" t="s">
        <v>2835</v>
      </c>
      <c r="AC24" s="3147"/>
      <c r="AD24" s="3147" t="s">
        <v>2836</v>
      </c>
    </row>
    <row r="25" spans="1:30" s="3161" customFormat="1" ht="12.75">
      <c r="A25" s="3149" t="s">
        <v>2837</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3379</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3380</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2.75">
      <c r="A29" s="2205" t="s">
        <v>3381</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2.75">
      <c r="A30" s="3186" t="s">
        <v>3377</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2.75">
      <c r="A31" s="3176" t="s">
        <v>3378</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3372</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3371</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3368</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3358</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2838</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2839</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2840</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2841</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2827</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D27" zoomScale="80" zoomScaleNormal="70" zoomScaleSheetLayoutView="80" workbookViewId="0">
      <selection activeCell="K28" sqref="K2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20.125" style="357" customWidth="1"/>
    <col min="6" max="6" width="12.25" style="357" customWidth="1"/>
    <col min="7" max="7" width="19.25" style="357" customWidth="1"/>
    <col min="8" max="8" width="12.25" style="357" customWidth="1"/>
    <col min="9" max="9" width="17.62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3436</v>
      </c>
      <c r="F1" s="1879" t="s">
        <v>3428</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685</v>
      </c>
      <c r="B2" s="1164">
        <f>IF(E1="项目模式",IF(C2="——",ROUND(C50*D3/10000,0),ROUND(C50*D3/10000,0)-D2),IF(E1="单套模式",IF(C2="——",ROUND(C50*D3/10000,4),ROUND(C50*D3/10000,4)-D2)))</f>
        <v>10.3832</v>
      </c>
      <c r="C2" s="1881" t="s">
        <v>43</v>
      </c>
      <c r="D2" s="1115">
        <f ca="1">IF(E1="项目模式",SUMIF(INDIRECT("'"&amp;F2&amp;"'"&amp;"!A:A"),"承租人权益价值",INDIRECT("'"&amp;F2&amp;"'"&amp;"!c:c")),SUMIF(INDIRECT("'"&amp;F2&amp;"'"&amp;"!A:A"),"承租人权益价值（单套）",INDIRECT("'"&amp;F2&amp;"'"&amp;"!c:c")))</f>
        <v>-71.864800000000002</v>
      </c>
      <c r="E2" s="1882" t="s">
        <v>1463</v>
      </c>
      <c r="F2" s="1883" t="s">
        <v>3393</v>
      </c>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3021</v>
      </c>
      <c r="C3" s="354" t="s">
        <v>1665</v>
      </c>
      <c r="D3" s="353">
        <f>IF(D1="",'数据-汇总表'!E3,SUMIF('数据-汇总表'!$C19:$C33,D1,'数据-汇总表'!$E19:$E33))</f>
        <v>34.369999999999997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1666</v>
      </c>
      <c r="B4" s="356"/>
      <c r="C4" s="3673" t="s">
        <v>1667</v>
      </c>
      <c r="D4" s="3674"/>
      <c r="E4" s="3675" t="s">
        <v>1668</v>
      </c>
      <c r="F4" s="3676"/>
      <c r="G4" s="3673" t="s">
        <v>1669</v>
      </c>
      <c r="H4" s="3674"/>
      <c r="I4" s="3673" t="s">
        <v>1670</v>
      </c>
      <c r="J4" s="3674"/>
      <c r="K4" s="559" t="s">
        <v>1671</v>
      </c>
      <c r="L4" s="2715"/>
      <c r="M4" s="2716"/>
      <c r="N4" s="2716"/>
      <c r="O4" s="2716"/>
      <c r="P4" s="3707" t="s">
        <v>1672</v>
      </c>
      <c r="Q4" s="3708"/>
      <c r="R4" s="3711" t="s">
        <v>1668</v>
      </c>
      <c r="S4" s="3712"/>
      <c r="T4" s="3711" t="s">
        <v>1669</v>
      </c>
      <c r="U4" s="3712"/>
      <c r="V4" s="3713" t="s">
        <v>1670</v>
      </c>
      <c r="W4" s="3713"/>
      <c r="X4" s="3456"/>
      <c r="Y4" s="3711" t="s">
        <v>1672</v>
      </c>
      <c r="Z4" s="3712"/>
      <c r="AA4" s="3715" t="s">
        <v>1668</v>
      </c>
      <c r="AB4" s="3715" t="s">
        <v>1669</v>
      </c>
      <c r="AC4" s="3704" t="s">
        <v>1670</v>
      </c>
    </row>
    <row r="5" spans="1:29" ht="15">
      <c r="A5" s="358"/>
      <c r="B5" s="359"/>
      <c r="C5" s="3692" t="str">
        <f>成交案例!C2</f>
        <v>旭辉E天地</v>
      </c>
      <c r="D5" s="3693"/>
      <c r="E5" s="3699" t="str">
        <f>成交案例!C2</f>
        <v>旭辉E天地</v>
      </c>
      <c r="F5" s="3700"/>
      <c r="G5" s="3692" t="str">
        <f>成交案例!C3</f>
        <v>旭辉E天地</v>
      </c>
      <c r="H5" s="3693"/>
      <c r="I5" s="3692" t="str">
        <f>成交案例!C2</f>
        <v>旭辉E天地</v>
      </c>
      <c r="J5" s="3693"/>
      <c r="K5" s="559"/>
      <c r="L5" s="2715"/>
      <c r="M5" s="2716"/>
      <c r="N5" s="2716"/>
      <c r="O5" s="2716"/>
      <c r="P5" s="3709"/>
      <c r="Q5" s="3680"/>
      <c r="R5" s="3685"/>
      <c r="S5" s="3686"/>
      <c r="T5" s="3685"/>
      <c r="U5" s="3686"/>
      <c r="V5" s="3689"/>
      <c r="W5" s="3689"/>
      <c r="X5" s="3451"/>
      <c r="Y5" s="3685"/>
      <c r="Z5" s="3686"/>
      <c r="AA5" s="3671"/>
      <c r="AB5" s="3671"/>
      <c r="AC5" s="3705"/>
    </row>
    <row r="6" spans="1:29" ht="15.75" thickBot="1">
      <c r="A6" s="360"/>
      <c r="B6" s="361"/>
      <c r="C6" s="3690" t="s">
        <v>1677</v>
      </c>
      <c r="D6" s="3691"/>
      <c r="E6" s="3697" t="s">
        <v>1677</v>
      </c>
      <c r="F6" s="3698"/>
      <c r="G6" s="3690" t="s">
        <v>1677</v>
      </c>
      <c r="H6" s="3691"/>
      <c r="I6" s="3690" t="s">
        <v>1677</v>
      </c>
      <c r="J6" s="3691"/>
      <c r="K6" s="559" t="s">
        <v>1678</v>
      </c>
      <c r="L6" s="2715"/>
      <c r="M6" s="2716"/>
      <c r="N6" s="2716"/>
      <c r="O6" s="2716"/>
      <c r="P6" s="3710"/>
      <c r="Q6" s="3682"/>
      <c r="R6" s="3685"/>
      <c r="S6" s="3686"/>
      <c r="T6" s="3687"/>
      <c r="U6" s="3688"/>
      <c r="V6" s="3689"/>
      <c r="W6" s="3689"/>
      <c r="X6" s="3451"/>
      <c r="Y6" s="3687"/>
      <c r="Z6" s="3688"/>
      <c r="AA6" s="3672"/>
      <c r="AB6" s="3672"/>
      <c r="AC6" s="3706"/>
    </row>
    <row r="7" spans="1:29" s="108" customFormat="1" ht="15.75" thickBot="1">
      <c r="A7" s="362" t="s">
        <v>1679</v>
      </c>
      <c r="B7" s="363"/>
      <c r="C7" s="364">
        <f>'数据-取费表'!B2</f>
        <v>45257</v>
      </c>
      <c r="D7" s="365">
        <v>100</v>
      </c>
      <c r="E7" s="366">
        <f>C7</f>
        <v>45257</v>
      </c>
      <c r="F7" s="367">
        <f>SUMIF(59:59,YEAR(E7)&amp;"-"&amp;MONTH(E7),60:60)</f>
        <v>100</v>
      </c>
      <c r="G7" s="366">
        <f>C7</f>
        <v>45257</v>
      </c>
      <c r="H7" s="365">
        <f>SUMIF(59:59,YEAR(G7)&amp;"-"&amp;MONTH(G7),60:60)</f>
        <v>100</v>
      </c>
      <c r="I7" s="366">
        <f>C7</f>
        <v>45257</v>
      </c>
      <c r="J7" s="365">
        <f>SUMIF(59:59,YEAR(I7)&amp;"-"&amp;MONTH(I7),60:60)</f>
        <v>100</v>
      </c>
      <c r="K7" s="560"/>
      <c r="L7" s="2717"/>
      <c r="M7" s="2718"/>
      <c r="N7" s="2718"/>
      <c r="O7" s="2718"/>
      <c r="P7" s="3714" t="s">
        <v>1680</v>
      </c>
      <c r="Q7" s="3696"/>
      <c r="R7" s="701" t="s">
        <v>14</v>
      </c>
      <c r="S7" s="702">
        <f t="shared" ref="S7:S15" si="0">F7</f>
        <v>100</v>
      </c>
      <c r="T7" s="701" t="s">
        <v>14</v>
      </c>
      <c r="U7" s="702">
        <f t="shared" ref="U7:U15" si="1">H7</f>
        <v>100</v>
      </c>
      <c r="V7" s="701" t="s">
        <v>14</v>
      </c>
      <c r="W7" s="702">
        <f t="shared" ref="W7:W15" si="2">J7</f>
        <v>100</v>
      </c>
      <c r="X7" s="703"/>
      <c r="Y7" s="3694" t="s">
        <v>1680</v>
      </c>
      <c r="Z7" s="3695"/>
      <c r="AA7" s="704">
        <f>D7/F7</f>
        <v>1</v>
      </c>
      <c r="AB7" s="704">
        <f>D7/H7</f>
        <v>1</v>
      </c>
      <c r="AC7" s="1959">
        <f>D7/J7</f>
        <v>1</v>
      </c>
    </row>
    <row r="8" spans="1:29" s="108" customFormat="1" ht="15.75" thickBot="1">
      <c r="A8" s="362" t="s">
        <v>1681</v>
      </c>
      <c r="B8" s="363"/>
      <c r="C8" s="368" t="s">
        <v>3429</v>
      </c>
      <c r="D8" s="365">
        <v>100</v>
      </c>
      <c r="E8" s="368" t="s">
        <v>3429</v>
      </c>
      <c r="F8" s="367">
        <f>SUMIF(62:62,E8,63:63)-SUMIF(62:62,C8,63:63)+100</f>
        <v>100</v>
      </c>
      <c r="G8" s="368" t="s">
        <v>3429</v>
      </c>
      <c r="H8" s="365">
        <f>SUMIF(62:62,G8,63:63)-SUMIF(62:62,C8,63:63)+100</f>
        <v>100</v>
      </c>
      <c r="I8" s="368" t="s">
        <v>3429</v>
      </c>
      <c r="J8" s="365">
        <f>SUMIF(62:62,I8,63:63)-SUMIF(62:62,C8,63:63)+100</f>
        <v>100</v>
      </c>
      <c r="K8" s="560"/>
      <c r="L8" s="2717"/>
      <c r="M8" s="2718"/>
      <c r="N8" s="2718"/>
      <c r="O8" s="2718"/>
      <c r="P8" s="3714" t="s">
        <v>1683</v>
      </c>
      <c r="Q8" s="3695"/>
      <c r="R8" s="701" t="s">
        <v>14</v>
      </c>
      <c r="S8" s="702">
        <f t="shared" si="0"/>
        <v>100</v>
      </c>
      <c r="T8" s="701" t="s">
        <v>14</v>
      </c>
      <c r="U8" s="702">
        <f t="shared" si="1"/>
        <v>100</v>
      </c>
      <c r="V8" s="701" t="s">
        <v>14</v>
      </c>
      <c r="W8" s="702">
        <f t="shared" si="2"/>
        <v>100</v>
      </c>
      <c r="X8" s="703"/>
      <c r="Y8" s="3694" t="s">
        <v>1683</v>
      </c>
      <c r="Z8" s="3695"/>
      <c r="AA8" s="704">
        <f t="shared" ref="AA8:AA47" si="3">D8/F8</f>
        <v>1</v>
      </c>
      <c r="AB8" s="704">
        <f t="shared" ref="AB8:AB47" si="4">D8/H8</f>
        <v>1</v>
      </c>
      <c r="AC8" s="1959">
        <f t="shared" ref="AC8:AC47" si="5">D8/J8</f>
        <v>1</v>
      </c>
    </row>
    <row r="9" spans="1:29" s="108" customFormat="1" ht="15" thickBot="1">
      <c r="A9" s="369" t="s">
        <v>1684</v>
      </c>
      <c r="B9" s="63" t="s">
        <v>1685</v>
      </c>
      <c r="C9" s="3463" t="s">
        <v>3430</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69" t="s">
        <v>1686</v>
      </c>
      <c r="Q9" s="3450" t="str">
        <f t="shared" ref="Q9:Q15" si="6">B9</f>
        <v>用途</v>
      </c>
      <c r="R9" s="701" t="s">
        <v>14</v>
      </c>
      <c r="S9" s="702">
        <f t="shared" si="0"/>
        <v>100</v>
      </c>
      <c r="T9" s="701" t="s">
        <v>14</v>
      </c>
      <c r="U9" s="702">
        <f t="shared" si="1"/>
        <v>100</v>
      </c>
      <c r="V9" s="701" t="s">
        <v>14</v>
      </c>
      <c r="W9" s="702">
        <f t="shared" si="2"/>
        <v>100</v>
      </c>
      <c r="X9" s="703"/>
      <c r="Y9" s="3559" t="s">
        <v>1687</v>
      </c>
      <c r="Z9" s="3449" t="str">
        <f t="shared" ref="Z9:Z15" si="7">Q9</f>
        <v>用途</v>
      </c>
      <c r="AA9" s="704">
        <f t="shared" si="3"/>
        <v>1</v>
      </c>
      <c r="AB9" s="704">
        <f t="shared" si="4"/>
        <v>1</v>
      </c>
      <c r="AC9" s="1959">
        <f t="shared" si="5"/>
        <v>1</v>
      </c>
    </row>
    <row r="10" spans="1:29" s="378" customFormat="1" ht="27.75" hidden="1" thickBot="1">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69"/>
      <c r="Q10" s="3450" t="str">
        <f t="shared" si="6"/>
        <v>土地使用年限（年）</v>
      </c>
      <c r="R10" s="701" t="s">
        <v>14</v>
      </c>
      <c r="S10" s="702">
        <f t="shared" si="0"/>
        <v>100</v>
      </c>
      <c r="T10" s="701" t="s">
        <v>14</v>
      </c>
      <c r="U10" s="702">
        <f t="shared" si="1"/>
        <v>100</v>
      </c>
      <c r="V10" s="701" t="s">
        <v>14</v>
      </c>
      <c r="W10" s="702">
        <f t="shared" si="2"/>
        <v>100</v>
      </c>
      <c r="X10" s="703"/>
      <c r="Y10" s="3559"/>
      <c r="Z10" s="3449" t="str">
        <f t="shared" si="7"/>
        <v>土地使用年限（年）</v>
      </c>
      <c r="AA10" s="704">
        <f t="shared" si="3"/>
        <v>1</v>
      </c>
      <c r="AB10" s="704">
        <f t="shared" si="4"/>
        <v>1</v>
      </c>
      <c r="AC10" s="1959">
        <f t="shared" si="5"/>
        <v>1</v>
      </c>
    </row>
    <row r="11" spans="1:29" ht="15.75"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69"/>
      <c r="Q11" s="3450" t="str">
        <f t="shared" si="6"/>
        <v>容积率</v>
      </c>
      <c r="R11" s="701" t="s">
        <v>14</v>
      </c>
      <c r="S11" s="702">
        <f t="shared" si="0"/>
        <v>100</v>
      </c>
      <c r="T11" s="701" t="s">
        <v>14</v>
      </c>
      <c r="U11" s="702">
        <f t="shared" si="1"/>
        <v>100</v>
      </c>
      <c r="V11" s="701" t="s">
        <v>14</v>
      </c>
      <c r="W11" s="702">
        <f t="shared" si="2"/>
        <v>100</v>
      </c>
      <c r="X11" s="703"/>
      <c r="Y11" s="3559"/>
      <c r="Z11" s="3449"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69"/>
      <c r="Q12" s="3450">
        <f t="shared" si="6"/>
        <v>111</v>
      </c>
      <c r="R12" s="701" t="s">
        <v>14</v>
      </c>
      <c r="S12" s="702">
        <f t="shared" si="0"/>
        <v>100</v>
      </c>
      <c r="T12" s="701" t="s">
        <v>14</v>
      </c>
      <c r="U12" s="702">
        <f t="shared" si="1"/>
        <v>100</v>
      </c>
      <c r="V12" s="701" t="s">
        <v>14</v>
      </c>
      <c r="W12" s="702">
        <f t="shared" si="2"/>
        <v>100</v>
      </c>
      <c r="X12" s="703"/>
      <c r="Y12" s="3559"/>
      <c r="Z12" s="3449">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69"/>
      <c r="Q13" s="3450">
        <f t="shared" si="6"/>
        <v>111</v>
      </c>
      <c r="R13" s="701" t="s">
        <v>14</v>
      </c>
      <c r="S13" s="702">
        <f t="shared" si="0"/>
        <v>100</v>
      </c>
      <c r="T13" s="701" t="s">
        <v>14</v>
      </c>
      <c r="U13" s="702">
        <f t="shared" si="1"/>
        <v>100</v>
      </c>
      <c r="V13" s="701" t="s">
        <v>14</v>
      </c>
      <c r="W13" s="702">
        <f t="shared" si="2"/>
        <v>100</v>
      </c>
      <c r="X13" s="703"/>
      <c r="Y13" s="3559"/>
      <c r="Z13" s="3449">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69"/>
      <c r="Q14" s="3450">
        <f t="shared" si="6"/>
        <v>111</v>
      </c>
      <c r="R14" s="701" t="s">
        <v>14</v>
      </c>
      <c r="S14" s="702">
        <f t="shared" si="0"/>
        <v>100</v>
      </c>
      <c r="T14" s="701" t="s">
        <v>14</v>
      </c>
      <c r="U14" s="702">
        <f t="shared" si="1"/>
        <v>100</v>
      </c>
      <c r="V14" s="701" t="s">
        <v>14</v>
      </c>
      <c r="W14" s="702">
        <f t="shared" si="2"/>
        <v>100</v>
      </c>
      <c r="X14" s="703"/>
      <c r="Y14" s="3559"/>
      <c r="Z14" s="3449">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67" t="s">
        <v>1691</v>
      </c>
      <c r="Q15" s="3454" t="str">
        <f t="shared" si="6"/>
        <v>办公集聚程度</v>
      </c>
      <c r="R15" s="705" t="s">
        <v>14</v>
      </c>
      <c r="S15" s="706">
        <f t="shared" si="0"/>
        <v>100</v>
      </c>
      <c r="T15" s="705" t="s">
        <v>14</v>
      </c>
      <c r="U15" s="706">
        <f t="shared" si="1"/>
        <v>100</v>
      </c>
      <c r="V15" s="705" t="s">
        <v>14</v>
      </c>
      <c r="W15" s="706">
        <f t="shared" si="2"/>
        <v>100</v>
      </c>
      <c r="X15" s="3451"/>
      <c r="Y15" s="3660" t="s">
        <v>1691</v>
      </c>
      <c r="Z15" s="3452" t="str">
        <f t="shared" si="7"/>
        <v>办公集聚程度</v>
      </c>
      <c r="AA15" s="3455">
        <f t="shared" si="3"/>
        <v>1</v>
      </c>
      <c r="AB15" s="3455">
        <f t="shared" si="4"/>
        <v>1</v>
      </c>
      <c r="AC15" s="1962">
        <f t="shared" si="5"/>
        <v>1</v>
      </c>
    </row>
    <row r="16" spans="1:29" ht="15">
      <c r="A16" s="379"/>
      <c r="B16" s="578"/>
      <c r="C16" s="1904" t="s">
        <v>3432</v>
      </c>
      <c r="D16" s="399"/>
      <c r="E16" s="1904" t="s">
        <v>3432</v>
      </c>
      <c r="F16" s="399"/>
      <c r="G16" s="1904" t="s">
        <v>3432</v>
      </c>
      <c r="H16" s="401"/>
      <c r="I16" s="1904" t="s">
        <v>3432</v>
      </c>
      <c r="J16" s="399"/>
      <c r="K16" s="564"/>
      <c r="L16" s="2722"/>
      <c r="M16" s="2716"/>
      <c r="N16" s="2716"/>
      <c r="O16" s="2716"/>
      <c r="P16" s="3668"/>
      <c r="Q16" s="3454"/>
      <c r="R16" s="705"/>
      <c r="S16" s="706"/>
      <c r="T16" s="705"/>
      <c r="U16" s="706"/>
      <c r="V16" s="705"/>
      <c r="W16" s="706"/>
      <c r="X16" s="3451"/>
      <c r="Y16" s="3661"/>
      <c r="Z16" s="3452"/>
      <c r="AA16" s="3455">
        <v>1</v>
      </c>
      <c r="AB16" s="3455">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68"/>
      <c r="Q17" s="3454" t="str">
        <f>B17</f>
        <v>交通便捷度</v>
      </c>
      <c r="R17" s="705" t="s">
        <v>14</v>
      </c>
      <c r="S17" s="706">
        <f>F17</f>
        <v>100</v>
      </c>
      <c r="T17" s="705" t="s">
        <v>14</v>
      </c>
      <c r="U17" s="706">
        <f>H17</f>
        <v>100</v>
      </c>
      <c r="V17" s="705" t="s">
        <v>14</v>
      </c>
      <c r="W17" s="706">
        <f>J17</f>
        <v>100</v>
      </c>
      <c r="X17" s="3451"/>
      <c r="Y17" s="3661"/>
      <c r="Z17" s="3452" t="str">
        <f>Q17</f>
        <v>交通便捷度</v>
      </c>
      <c r="AA17" s="3455">
        <f t="shared" si="3"/>
        <v>1</v>
      </c>
      <c r="AB17" s="3455">
        <f t="shared" si="4"/>
        <v>1</v>
      </c>
      <c r="AC17" s="1962">
        <f t="shared" si="5"/>
        <v>1</v>
      </c>
    </row>
    <row r="18" spans="1:29" ht="15">
      <c r="A18" s="379"/>
      <c r="B18" s="580"/>
      <c r="C18" s="1964" t="s">
        <v>3431</v>
      </c>
      <c r="D18" s="401"/>
      <c r="E18" s="1964" t="s">
        <v>3431</v>
      </c>
      <c r="F18" s="401"/>
      <c r="G18" s="1964" t="s">
        <v>3431</v>
      </c>
      <c r="H18" s="399"/>
      <c r="I18" s="1964" t="s">
        <v>3431</v>
      </c>
      <c r="J18" s="399"/>
      <c r="K18" s="564"/>
      <c r="L18" s="2722"/>
      <c r="M18" s="2716"/>
      <c r="N18" s="2716"/>
      <c r="O18" s="2716"/>
      <c r="P18" s="3668"/>
      <c r="Q18" s="3454"/>
      <c r="R18" s="705"/>
      <c r="S18" s="706"/>
      <c r="T18" s="705"/>
      <c r="U18" s="706"/>
      <c r="V18" s="705"/>
      <c r="W18" s="706"/>
      <c r="X18" s="3451"/>
      <c r="Y18" s="3661"/>
      <c r="Z18" s="3452"/>
      <c r="AA18" s="3455">
        <v>1</v>
      </c>
      <c r="AB18" s="3455">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68"/>
      <c r="Q19" s="3454" t="str">
        <f>B19</f>
        <v>公共配套设施</v>
      </c>
      <c r="R19" s="705" t="s">
        <v>14</v>
      </c>
      <c r="S19" s="706">
        <f>F19</f>
        <v>100</v>
      </c>
      <c r="T19" s="705" t="s">
        <v>14</v>
      </c>
      <c r="U19" s="706">
        <f>H19</f>
        <v>100</v>
      </c>
      <c r="V19" s="705" t="s">
        <v>14</v>
      </c>
      <c r="W19" s="706">
        <f>J19</f>
        <v>100</v>
      </c>
      <c r="X19" s="3451"/>
      <c r="Y19" s="3661"/>
      <c r="Z19" s="3452" t="str">
        <f>Q19</f>
        <v>公共配套设施</v>
      </c>
      <c r="AA19" s="3455">
        <f t="shared" si="3"/>
        <v>1</v>
      </c>
      <c r="AB19" s="3455">
        <f t="shared" si="4"/>
        <v>1</v>
      </c>
      <c r="AC19" s="1962">
        <f t="shared" si="5"/>
        <v>1</v>
      </c>
    </row>
    <row r="20" spans="1:29" ht="15">
      <c r="A20" s="379"/>
      <c r="B20" s="580"/>
      <c r="C20" s="1904" t="s">
        <v>3432</v>
      </c>
      <c r="D20" s="399"/>
      <c r="E20" s="1904" t="s">
        <v>3432</v>
      </c>
      <c r="F20" s="399"/>
      <c r="G20" s="1904" t="s">
        <v>3432</v>
      </c>
      <c r="H20" s="399"/>
      <c r="I20" s="1904" t="s">
        <v>3432</v>
      </c>
      <c r="J20" s="399"/>
      <c r="K20" s="564"/>
      <c r="L20" s="2722"/>
      <c r="M20" s="2716"/>
      <c r="N20" s="2716"/>
      <c r="O20" s="2716"/>
      <c r="P20" s="3668"/>
      <c r="Q20" s="3454"/>
      <c r="R20" s="705"/>
      <c r="S20" s="706"/>
      <c r="T20" s="705"/>
      <c r="U20" s="706"/>
      <c r="V20" s="705"/>
      <c r="W20" s="706"/>
      <c r="X20" s="3451"/>
      <c r="Y20" s="3661"/>
      <c r="Z20" s="3452"/>
      <c r="AA20" s="3455">
        <v>1</v>
      </c>
      <c r="AB20" s="3455">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68"/>
      <c r="Q21" s="3454" t="str">
        <f>B21</f>
        <v>基础设施水平</v>
      </c>
      <c r="R21" s="705" t="s">
        <v>14</v>
      </c>
      <c r="S21" s="706">
        <f>F21</f>
        <v>100</v>
      </c>
      <c r="T21" s="705" t="s">
        <v>14</v>
      </c>
      <c r="U21" s="706">
        <f>H21</f>
        <v>100</v>
      </c>
      <c r="V21" s="705" t="s">
        <v>14</v>
      </c>
      <c r="W21" s="706">
        <f>J21</f>
        <v>100</v>
      </c>
      <c r="X21" s="3451"/>
      <c r="Y21" s="3661"/>
      <c r="Z21" s="3452" t="str">
        <f>Q21</f>
        <v>基础设施水平</v>
      </c>
      <c r="AA21" s="3455">
        <f t="shared" ref="AA21" si="8">D21/F21</f>
        <v>1</v>
      </c>
      <c r="AB21" s="3455">
        <f t="shared" ref="AB21" si="9">D21/H21</f>
        <v>1</v>
      </c>
      <c r="AC21" s="1962">
        <f t="shared" ref="AC21" si="10">D21/J21</f>
        <v>1</v>
      </c>
    </row>
    <row r="22" spans="1:29" ht="15">
      <c r="A22" s="379"/>
      <c r="B22" s="581"/>
      <c r="C22" s="1964" t="s">
        <v>3433</v>
      </c>
      <c r="D22" s="399"/>
      <c r="E22" s="1964" t="s">
        <v>3433</v>
      </c>
      <c r="F22" s="399"/>
      <c r="G22" s="1964" t="s">
        <v>3433</v>
      </c>
      <c r="H22" s="399"/>
      <c r="I22" s="1964" t="s">
        <v>3433</v>
      </c>
      <c r="J22" s="399"/>
      <c r="K22" s="1130"/>
      <c r="L22" s="2722"/>
      <c r="M22" s="2716"/>
      <c r="N22" s="2716"/>
      <c r="O22" s="2716"/>
      <c r="P22" s="3668"/>
      <c r="Q22" s="3454"/>
      <c r="R22" s="705"/>
      <c r="S22" s="706"/>
      <c r="T22" s="705"/>
      <c r="U22" s="706"/>
      <c r="V22" s="705"/>
      <c r="W22" s="706"/>
      <c r="X22" s="3451"/>
      <c r="Y22" s="3661"/>
      <c r="Z22" s="3452"/>
      <c r="AA22" s="3455">
        <v>1</v>
      </c>
      <c r="AB22" s="3455">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68"/>
      <c r="Q23" s="3454" t="str">
        <f>B23</f>
        <v>环境质量</v>
      </c>
      <c r="R23" s="705" t="s">
        <v>14</v>
      </c>
      <c r="S23" s="706">
        <f>F23</f>
        <v>100</v>
      </c>
      <c r="T23" s="705" t="s">
        <v>14</v>
      </c>
      <c r="U23" s="706">
        <f>H23</f>
        <v>100</v>
      </c>
      <c r="V23" s="705" t="s">
        <v>14</v>
      </c>
      <c r="W23" s="706">
        <f>J23</f>
        <v>100</v>
      </c>
      <c r="X23" s="3451"/>
      <c r="Y23" s="3661"/>
      <c r="Z23" s="3452" t="str">
        <f>Q23</f>
        <v>环境质量</v>
      </c>
      <c r="AA23" s="3455">
        <f t="shared" si="3"/>
        <v>1</v>
      </c>
      <c r="AB23" s="3455">
        <f t="shared" si="4"/>
        <v>1</v>
      </c>
      <c r="AC23" s="1962">
        <f t="shared" si="5"/>
        <v>1</v>
      </c>
    </row>
    <row r="24" spans="1:29" ht="15">
      <c r="A24" s="379"/>
      <c r="B24" s="581"/>
      <c r="C24" s="1904" t="s">
        <v>3431</v>
      </c>
      <c r="D24" s="399"/>
      <c r="E24" s="1904" t="s">
        <v>3431</v>
      </c>
      <c r="F24" s="399"/>
      <c r="G24" s="1904" t="s">
        <v>3431</v>
      </c>
      <c r="H24" s="399"/>
      <c r="I24" s="1904" t="s">
        <v>3431</v>
      </c>
      <c r="J24" s="399"/>
      <c r="K24" s="564"/>
      <c r="L24" s="2722"/>
      <c r="M24" s="2716"/>
      <c r="N24" s="2716"/>
      <c r="O24" s="2716"/>
      <c r="P24" s="3668"/>
      <c r="Q24" s="3454"/>
      <c r="R24" s="705"/>
      <c r="S24" s="706"/>
      <c r="T24" s="705"/>
      <c r="U24" s="706"/>
      <c r="V24" s="705"/>
      <c r="W24" s="706"/>
      <c r="X24" s="3451"/>
      <c r="Y24" s="3661"/>
      <c r="Z24" s="3452"/>
      <c r="AA24" s="3455">
        <v>1</v>
      </c>
      <c r="AB24" s="3455">
        <v>1</v>
      </c>
      <c r="AC24" s="1962">
        <v>1</v>
      </c>
    </row>
    <row r="25" spans="1:29" ht="27.75">
      <c r="A25" s="358"/>
      <c r="B25" s="579" t="s">
        <v>1815</v>
      </c>
      <c r="C25" s="1908" t="s">
        <v>3434</v>
      </c>
      <c r="D25" s="386">
        <v>100</v>
      </c>
      <c r="E25" s="1908" t="s">
        <v>3434</v>
      </c>
      <c r="F25" s="386">
        <f>SUMIF(87:87,E26,88:88)-SUMIF(87:87,C26,88:88)+100</f>
        <v>100</v>
      </c>
      <c r="G25" s="1908" t="s">
        <v>3434</v>
      </c>
      <c r="H25" s="386">
        <f>SUMIF(87:87,G26,88:88)-SUMIF(87:87,C26,88:88)+100</f>
        <v>100</v>
      </c>
      <c r="I25" s="1908" t="s">
        <v>3434</v>
      </c>
      <c r="J25" s="386">
        <f>SUMIF(87:87,I26,88:88)-SUMIF(87:87,C26,88:88)+100</f>
        <v>100</v>
      </c>
      <c r="K25" s="563"/>
      <c r="L25" s="2722"/>
      <c r="M25" s="2716"/>
      <c r="N25" s="2716"/>
      <c r="O25" s="2716"/>
      <c r="P25" s="3668"/>
      <c r="Q25" s="3454" t="str">
        <f>B25</f>
        <v>毗邻道路的类型与等级</v>
      </c>
      <c r="R25" s="705" t="s">
        <v>14</v>
      </c>
      <c r="S25" s="706">
        <f>F25</f>
        <v>100</v>
      </c>
      <c r="T25" s="705" t="s">
        <v>14</v>
      </c>
      <c r="U25" s="706">
        <f>H25</f>
        <v>100</v>
      </c>
      <c r="V25" s="705" t="s">
        <v>14</v>
      </c>
      <c r="W25" s="706">
        <f>J25</f>
        <v>100</v>
      </c>
      <c r="X25" s="3451"/>
      <c r="Y25" s="3661"/>
      <c r="Z25" s="3452" t="str">
        <f>Q25</f>
        <v>毗邻道路的类型与等级</v>
      </c>
      <c r="AA25" s="3455">
        <f t="shared" si="3"/>
        <v>1</v>
      </c>
      <c r="AB25" s="3455">
        <f t="shared" si="4"/>
        <v>1</v>
      </c>
      <c r="AC25" s="1962">
        <f t="shared" si="5"/>
        <v>1</v>
      </c>
    </row>
    <row r="26" spans="1:29" ht="15">
      <c r="A26" s="358"/>
      <c r="B26" s="580"/>
      <c r="C26" s="582"/>
      <c r="D26" s="386"/>
      <c r="E26" s="565"/>
      <c r="F26" s="386"/>
      <c r="G26" s="582"/>
      <c r="H26" s="386"/>
      <c r="I26" s="565"/>
      <c r="J26" s="386"/>
      <c r="K26" s="564"/>
      <c r="L26" s="2722"/>
      <c r="M26" s="2716"/>
      <c r="N26" s="2716"/>
      <c r="O26" s="2716"/>
      <c r="P26" s="3668"/>
      <c r="Q26" s="3454"/>
      <c r="R26" s="705"/>
      <c r="S26" s="706"/>
      <c r="T26" s="705"/>
      <c r="U26" s="706"/>
      <c r="V26" s="705"/>
      <c r="W26" s="706"/>
      <c r="X26" s="3451"/>
      <c r="Y26" s="3661"/>
      <c r="Z26" s="3452"/>
      <c r="AA26" s="3455">
        <v>1</v>
      </c>
      <c r="AB26" s="3455">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68"/>
      <c r="Q27" s="3454" t="str">
        <f t="shared" ref="Q27:Q47" si="11">B27</f>
        <v>楼层</v>
      </c>
      <c r="R27" s="705" t="s">
        <v>14</v>
      </c>
      <c r="S27" s="706">
        <f>F27</f>
        <v>100</v>
      </c>
      <c r="T27" s="705" t="s">
        <v>14</v>
      </c>
      <c r="U27" s="706">
        <f>H27</f>
        <v>100</v>
      </c>
      <c r="V27" s="705" t="s">
        <v>14</v>
      </c>
      <c r="W27" s="706">
        <f>J27</f>
        <v>100</v>
      </c>
      <c r="X27" s="3451"/>
      <c r="Y27" s="3661"/>
      <c r="Z27" s="3452" t="str">
        <f>Q27</f>
        <v>楼层</v>
      </c>
      <c r="AA27" s="3455">
        <f t="shared" si="3"/>
        <v>1</v>
      </c>
      <c r="AB27" s="3455">
        <f t="shared" si="4"/>
        <v>1</v>
      </c>
      <c r="AC27" s="1962">
        <f t="shared" si="5"/>
        <v>1</v>
      </c>
    </row>
    <row r="28" spans="1:29" s="108" customFormat="1" ht="15">
      <c r="A28" s="382"/>
      <c r="B28" s="579" t="s">
        <v>1816</v>
      </c>
      <c r="C28" s="1965" t="s">
        <v>3456</v>
      </c>
      <c r="D28" s="413">
        <v>100</v>
      </c>
      <c r="E28" s="1956" t="s">
        <v>3457</v>
      </c>
      <c r="F28" s="413">
        <f>SUMIF(91:91,E28,92:92)-SUMIF(91:91,C28,92:92)+100</f>
        <v>97</v>
      </c>
      <c r="G28" s="1965" t="s">
        <v>3458</v>
      </c>
      <c r="H28" s="413">
        <f>SUMIF(91:91,G28,92:92)-SUMIF(91:91,C28,92:92)+100</f>
        <v>93</v>
      </c>
      <c r="I28" s="1965" t="s">
        <v>3458</v>
      </c>
      <c r="J28" s="413">
        <f>SUMIF(91:91,I28,92:92)-SUMIF(91:91,C28,92:92)+100</f>
        <v>93</v>
      </c>
      <c r="K28" s="561">
        <v>1</v>
      </c>
      <c r="L28" s="2717"/>
      <c r="M28" s="2718"/>
      <c r="N28" s="2718"/>
      <c r="O28" s="2718"/>
      <c r="P28" s="3668"/>
      <c r="Q28" s="3450" t="str">
        <f t="shared" si="11"/>
        <v>朝向</v>
      </c>
      <c r="R28" s="701" t="s">
        <v>14</v>
      </c>
      <c r="S28" s="702">
        <f>F28</f>
        <v>97</v>
      </c>
      <c r="T28" s="701" t="s">
        <v>14</v>
      </c>
      <c r="U28" s="702">
        <f>H28</f>
        <v>93</v>
      </c>
      <c r="V28" s="701" t="s">
        <v>14</v>
      </c>
      <c r="W28" s="702">
        <f>J28</f>
        <v>93</v>
      </c>
      <c r="X28" s="703"/>
      <c r="Y28" s="3661"/>
      <c r="Z28" s="3449" t="str">
        <f>Q28</f>
        <v>朝向</v>
      </c>
      <c r="AA28" s="3455">
        <f>D28/F28</f>
        <v>1.0309278350515463</v>
      </c>
      <c r="AB28" s="3455">
        <f>D28/H28</f>
        <v>1.075268817204301</v>
      </c>
      <c r="AC28" s="1962">
        <f>D28/J28</f>
        <v>1.075268817204301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68"/>
      <c r="Q29" s="3454">
        <f t="shared" si="11"/>
        <v>111</v>
      </c>
      <c r="R29" s="705" t="s">
        <v>14</v>
      </c>
      <c r="S29" s="706">
        <f t="shared" ref="S29:S47" si="12">F29</f>
        <v>100</v>
      </c>
      <c r="T29" s="705" t="s">
        <v>14</v>
      </c>
      <c r="U29" s="706">
        <f t="shared" ref="U29:U47" si="13">H29</f>
        <v>100</v>
      </c>
      <c r="V29" s="705" t="s">
        <v>14</v>
      </c>
      <c r="W29" s="706">
        <f t="shared" ref="W29:W47" si="14">J29</f>
        <v>100</v>
      </c>
      <c r="X29" s="3451"/>
      <c r="Y29" s="3661"/>
      <c r="Z29" s="3452">
        <f t="shared" ref="Z29:Z47" si="15">Q29</f>
        <v>111</v>
      </c>
      <c r="AA29" s="3455">
        <f t="shared" si="3"/>
        <v>1</v>
      </c>
      <c r="AB29" s="3455">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68"/>
      <c r="Q30" s="3454">
        <f t="shared" si="11"/>
        <v>111</v>
      </c>
      <c r="R30" s="705" t="s">
        <v>14</v>
      </c>
      <c r="S30" s="706">
        <f t="shared" si="12"/>
        <v>100</v>
      </c>
      <c r="T30" s="705" t="s">
        <v>14</v>
      </c>
      <c r="U30" s="706">
        <f t="shared" si="13"/>
        <v>100</v>
      </c>
      <c r="V30" s="705" t="s">
        <v>14</v>
      </c>
      <c r="W30" s="706">
        <f t="shared" si="14"/>
        <v>100</v>
      </c>
      <c r="X30" s="3451"/>
      <c r="Y30" s="3661"/>
      <c r="Z30" s="3452">
        <f t="shared" si="15"/>
        <v>111</v>
      </c>
      <c r="AA30" s="3455">
        <f t="shared" si="3"/>
        <v>1</v>
      </c>
      <c r="AB30" s="3455">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68"/>
      <c r="Q31" s="3454">
        <f t="shared" si="11"/>
        <v>111</v>
      </c>
      <c r="R31" s="705" t="s">
        <v>14</v>
      </c>
      <c r="S31" s="706">
        <f t="shared" si="12"/>
        <v>100</v>
      </c>
      <c r="T31" s="705" t="s">
        <v>14</v>
      </c>
      <c r="U31" s="706">
        <f t="shared" si="13"/>
        <v>100</v>
      </c>
      <c r="V31" s="705" t="s">
        <v>14</v>
      </c>
      <c r="W31" s="706">
        <f t="shared" si="14"/>
        <v>100</v>
      </c>
      <c r="X31" s="3451"/>
      <c r="Y31" s="3661"/>
      <c r="Z31" s="3452">
        <f t="shared" si="15"/>
        <v>111</v>
      </c>
      <c r="AA31" s="3455">
        <f t="shared" si="3"/>
        <v>1</v>
      </c>
      <c r="AB31" s="3455">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68"/>
      <c r="Q32" s="3454">
        <f t="shared" si="11"/>
        <v>111</v>
      </c>
      <c r="R32" s="705" t="s">
        <v>14</v>
      </c>
      <c r="S32" s="706">
        <f t="shared" si="12"/>
        <v>100</v>
      </c>
      <c r="T32" s="705" t="s">
        <v>14</v>
      </c>
      <c r="U32" s="706">
        <f t="shared" si="13"/>
        <v>100</v>
      </c>
      <c r="V32" s="705" t="s">
        <v>14</v>
      </c>
      <c r="W32" s="706">
        <f t="shared" si="14"/>
        <v>100</v>
      </c>
      <c r="X32" s="3451"/>
      <c r="Y32" s="3661"/>
      <c r="Z32" s="3452">
        <f t="shared" si="15"/>
        <v>111</v>
      </c>
      <c r="AA32" s="3455">
        <f t="shared" si="3"/>
        <v>1</v>
      </c>
      <c r="AB32" s="3455">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2" t="s">
        <v>1696</v>
      </c>
      <c r="Q33" s="3454" t="str">
        <f t="shared" si="11"/>
        <v>建筑类型</v>
      </c>
      <c r="R33" s="705" t="s">
        <v>14</v>
      </c>
      <c r="S33" s="706">
        <f t="shared" si="12"/>
        <v>100</v>
      </c>
      <c r="T33" s="705" t="s">
        <v>14</v>
      </c>
      <c r="U33" s="706">
        <f t="shared" si="13"/>
        <v>100</v>
      </c>
      <c r="V33" s="705" t="s">
        <v>14</v>
      </c>
      <c r="W33" s="706">
        <f t="shared" si="14"/>
        <v>100</v>
      </c>
      <c r="X33" s="3451"/>
      <c r="Y33" s="3665" t="s">
        <v>1696</v>
      </c>
      <c r="Z33" s="3452" t="str">
        <f t="shared" si="15"/>
        <v>建筑类型</v>
      </c>
      <c r="AA33" s="3455">
        <f t="shared" si="3"/>
        <v>1</v>
      </c>
      <c r="AB33" s="3455">
        <f t="shared" si="4"/>
        <v>1</v>
      </c>
      <c r="AC33" s="1962">
        <f t="shared" si="5"/>
        <v>1</v>
      </c>
    </row>
    <row r="34" spans="1:29" s="422" customFormat="1" ht="15">
      <c r="A34" s="419"/>
      <c r="B34" s="375" t="s">
        <v>1697</v>
      </c>
      <c r="C34" s="420">
        <f>'数据-汇总表'!F19</f>
        <v>34.369999999999997</v>
      </c>
      <c r="D34" s="127">
        <v>100</v>
      </c>
      <c r="E34" s="381">
        <v>36</v>
      </c>
      <c r="F34" s="376">
        <f>LOOKUP(E34,104:104,105:105)-LOOKUP(C34,104:104,105:105)+100</f>
        <v>100</v>
      </c>
      <c r="G34" s="380">
        <v>36</v>
      </c>
      <c r="H34" s="127">
        <f>LOOKUP(G34,104:104,105:105)-LOOKUP(C34,104:104,105:105)+100</f>
        <v>100</v>
      </c>
      <c r="I34" s="380">
        <v>30</v>
      </c>
      <c r="J34" s="127">
        <f>LOOKUP(I34,104:104,105:105)-LOOKUP(C34,104:104,105:105)+100</f>
        <v>100</v>
      </c>
      <c r="K34" s="562"/>
      <c r="L34" s="2721"/>
      <c r="M34" s="2723"/>
      <c r="N34" s="2723"/>
      <c r="O34" s="2723"/>
      <c r="P34" s="3663"/>
      <c r="Q34" s="707" t="str">
        <f t="shared" si="11"/>
        <v>项目建筑规模</v>
      </c>
      <c r="R34" s="708" t="s">
        <v>14</v>
      </c>
      <c r="S34" s="709">
        <f t="shared" si="12"/>
        <v>100</v>
      </c>
      <c r="T34" s="708" t="s">
        <v>14</v>
      </c>
      <c r="U34" s="709">
        <f t="shared" si="13"/>
        <v>100</v>
      </c>
      <c r="V34" s="708" t="s">
        <v>14</v>
      </c>
      <c r="W34" s="709">
        <f t="shared" si="14"/>
        <v>100</v>
      </c>
      <c r="X34" s="710"/>
      <c r="Y34" s="3665"/>
      <c r="Z34" s="711" t="str">
        <f t="shared" si="15"/>
        <v>项目建筑规模</v>
      </c>
      <c r="AA34" s="3455">
        <f t="shared" si="3"/>
        <v>1</v>
      </c>
      <c r="AB34" s="3455">
        <f t="shared" si="4"/>
        <v>1</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63"/>
      <c r="Q35" s="3454" t="str">
        <f t="shared" si="11"/>
        <v>建筑结构</v>
      </c>
      <c r="R35" s="705" t="s">
        <v>14</v>
      </c>
      <c r="S35" s="706">
        <f t="shared" si="12"/>
        <v>100</v>
      </c>
      <c r="T35" s="705" t="s">
        <v>14</v>
      </c>
      <c r="U35" s="706">
        <f t="shared" si="13"/>
        <v>100</v>
      </c>
      <c r="V35" s="705" t="s">
        <v>14</v>
      </c>
      <c r="W35" s="706">
        <f t="shared" si="14"/>
        <v>100</v>
      </c>
      <c r="X35" s="3451"/>
      <c r="Y35" s="3665"/>
      <c r="Z35" s="3452" t="str">
        <f t="shared" si="15"/>
        <v>建筑结构</v>
      </c>
      <c r="AA35" s="3455">
        <f t="shared" si="3"/>
        <v>1</v>
      </c>
      <c r="AB35" s="3455">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63"/>
      <c r="Q36" s="3454" t="str">
        <f t="shared" si="11"/>
        <v>公共部分装修</v>
      </c>
      <c r="R36" s="705" t="s">
        <v>14</v>
      </c>
      <c r="S36" s="706">
        <f t="shared" si="12"/>
        <v>100</v>
      </c>
      <c r="T36" s="705" t="s">
        <v>14</v>
      </c>
      <c r="U36" s="706">
        <f t="shared" si="13"/>
        <v>100</v>
      </c>
      <c r="V36" s="705" t="s">
        <v>14</v>
      </c>
      <c r="W36" s="706">
        <f t="shared" si="14"/>
        <v>100</v>
      </c>
      <c r="X36" s="3451"/>
      <c r="Y36" s="3665"/>
      <c r="Z36" s="3452" t="str">
        <f t="shared" si="15"/>
        <v>公共部分装修</v>
      </c>
      <c r="AA36" s="3455">
        <f t="shared" si="3"/>
        <v>1</v>
      </c>
      <c r="AB36" s="3455">
        <f t="shared" si="4"/>
        <v>1</v>
      </c>
      <c r="AC36" s="1962">
        <f t="shared" si="5"/>
        <v>1</v>
      </c>
    </row>
    <row r="37" spans="1:29" ht="15">
      <c r="A37" s="423"/>
      <c r="B37" s="375" t="s">
        <v>1786</v>
      </c>
      <c r="C37" s="425">
        <f>'数据-取费表'!N6</f>
        <v>0.89</v>
      </c>
      <c r="D37" s="386">
        <v>100</v>
      </c>
      <c r="E37" s="425">
        <f>C37</f>
        <v>0.89</v>
      </c>
      <c r="F37" s="412">
        <f>LOOKUP(E37,111:111,112:112)-LOOKUP(C37,111:111,112:112)+100</f>
        <v>100</v>
      </c>
      <c r="G37" s="425">
        <f>C37</f>
        <v>0.89</v>
      </c>
      <c r="H37" s="412">
        <f>LOOKUP(G37,111:111,112:112)-LOOKUP(C37,111:111,112:112)+100</f>
        <v>100</v>
      </c>
      <c r="I37" s="425">
        <f>C37</f>
        <v>0.89</v>
      </c>
      <c r="J37" s="386">
        <f>LOOKUP(I37,111:111,112:112)-LOOKUP(C37,111:111,112:112)+100</f>
        <v>100</v>
      </c>
      <c r="K37" s="561"/>
      <c r="L37" s="2722"/>
      <c r="M37" s="2716"/>
      <c r="N37" s="2716"/>
      <c r="O37" s="2716"/>
      <c r="P37" s="3663"/>
      <c r="Q37" s="3454" t="str">
        <f t="shared" si="11"/>
        <v>成新度</v>
      </c>
      <c r="R37" s="705" t="s">
        <v>14</v>
      </c>
      <c r="S37" s="706">
        <f t="shared" si="12"/>
        <v>100</v>
      </c>
      <c r="T37" s="705" t="s">
        <v>14</v>
      </c>
      <c r="U37" s="706">
        <f t="shared" si="13"/>
        <v>100</v>
      </c>
      <c r="V37" s="705" t="s">
        <v>14</v>
      </c>
      <c r="W37" s="706">
        <f t="shared" si="14"/>
        <v>100</v>
      </c>
      <c r="X37" s="3451"/>
      <c r="Y37" s="3665"/>
      <c r="Z37" s="3452" t="str">
        <f t="shared" si="15"/>
        <v>成新度</v>
      </c>
      <c r="AA37" s="3455">
        <f t="shared" si="3"/>
        <v>1</v>
      </c>
      <c r="AB37" s="3455">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3"/>
      <c r="Q38" s="3450" t="str">
        <f t="shared" si="11"/>
        <v>写字楼等级</v>
      </c>
      <c r="R38" s="701" t="s">
        <v>14</v>
      </c>
      <c r="S38" s="702">
        <f t="shared" si="12"/>
        <v>100</v>
      </c>
      <c r="T38" s="701" t="s">
        <v>14</v>
      </c>
      <c r="U38" s="702">
        <f t="shared" si="13"/>
        <v>100</v>
      </c>
      <c r="V38" s="701" t="s">
        <v>14</v>
      </c>
      <c r="W38" s="702">
        <f t="shared" si="14"/>
        <v>100</v>
      </c>
      <c r="X38" s="703"/>
      <c r="Y38" s="3665"/>
      <c r="Z38" s="3449"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3" t="s">
        <v>1696</v>
      </c>
      <c r="Q39" s="3454" t="str">
        <f t="shared" si="11"/>
        <v>物业管理</v>
      </c>
      <c r="R39" s="705" t="s">
        <v>14</v>
      </c>
      <c r="S39" s="706">
        <f t="shared" si="12"/>
        <v>100</v>
      </c>
      <c r="T39" s="705" t="s">
        <v>14</v>
      </c>
      <c r="U39" s="706">
        <f t="shared" si="13"/>
        <v>100</v>
      </c>
      <c r="V39" s="705" t="s">
        <v>14</v>
      </c>
      <c r="W39" s="706">
        <f t="shared" si="14"/>
        <v>100</v>
      </c>
      <c r="X39" s="3451"/>
      <c r="Y39" s="3665" t="s">
        <v>1696</v>
      </c>
      <c r="Z39" s="3452" t="str">
        <f t="shared" si="15"/>
        <v>物业管理</v>
      </c>
      <c r="AA39" s="3455">
        <f t="shared" si="3"/>
        <v>1</v>
      </c>
      <c r="AB39" s="3455">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3"/>
      <c r="Q40" s="3454" t="str">
        <f t="shared" si="11"/>
        <v>市政基础设施</v>
      </c>
      <c r="R40" s="705" t="s">
        <v>14</v>
      </c>
      <c r="S40" s="706">
        <f t="shared" si="12"/>
        <v>100</v>
      </c>
      <c r="T40" s="705" t="s">
        <v>14</v>
      </c>
      <c r="U40" s="706">
        <f t="shared" si="13"/>
        <v>100</v>
      </c>
      <c r="V40" s="705" t="s">
        <v>14</v>
      </c>
      <c r="W40" s="706">
        <f t="shared" si="14"/>
        <v>100</v>
      </c>
      <c r="X40" s="3451"/>
      <c r="Y40" s="3665"/>
      <c r="Z40" s="3452" t="str">
        <f t="shared" si="15"/>
        <v>市政基础设施</v>
      </c>
      <c r="AA40" s="3455">
        <f t="shared" si="3"/>
        <v>1</v>
      </c>
      <c r="AB40" s="3455">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3"/>
      <c r="Q41" s="3454" t="str">
        <f t="shared" si="11"/>
        <v>层高</v>
      </c>
      <c r="R41" s="705" t="s">
        <v>14</v>
      </c>
      <c r="S41" s="706">
        <f t="shared" si="12"/>
        <v>100</v>
      </c>
      <c r="T41" s="705" t="s">
        <v>14</v>
      </c>
      <c r="U41" s="706">
        <f t="shared" si="13"/>
        <v>100</v>
      </c>
      <c r="V41" s="705" t="s">
        <v>14</v>
      </c>
      <c r="W41" s="706">
        <f t="shared" si="14"/>
        <v>100</v>
      </c>
      <c r="X41" s="3451"/>
      <c r="Y41" s="3665"/>
      <c r="Z41" s="3452" t="str">
        <f t="shared" si="15"/>
        <v>层高</v>
      </c>
      <c r="AA41" s="3455">
        <f t="shared" si="3"/>
        <v>1</v>
      </c>
      <c r="AB41" s="3455">
        <f t="shared" si="4"/>
        <v>1</v>
      </c>
      <c r="AC41" s="1962">
        <f t="shared" si="5"/>
        <v>1</v>
      </c>
    </row>
    <row r="42" spans="1:29" s="422" customFormat="1" ht="15">
      <c r="A42" s="419"/>
      <c r="B42" s="34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3"/>
      <c r="Q42" s="707" t="str">
        <f t="shared" si="11"/>
        <v>单套建筑面积</v>
      </c>
      <c r="R42" s="708" t="s">
        <v>14</v>
      </c>
      <c r="S42" s="709">
        <f t="shared" si="12"/>
        <v>100</v>
      </c>
      <c r="T42" s="708" t="s">
        <v>14</v>
      </c>
      <c r="U42" s="709">
        <f t="shared" si="13"/>
        <v>100</v>
      </c>
      <c r="V42" s="708" t="s">
        <v>14</v>
      </c>
      <c r="W42" s="709">
        <f t="shared" si="14"/>
        <v>100</v>
      </c>
      <c r="X42" s="710"/>
      <c r="Y42" s="3665"/>
      <c r="Z42" s="711" t="str">
        <f t="shared" si="15"/>
        <v>单套建筑面积</v>
      </c>
      <c r="AA42" s="3455">
        <f t="shared" si="3"/>
        <v>1</v>
      </c>
      <c r="AB42" s="3455">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63"/>
      <c r="Q43" s="3454" t="str">
        <f t="shared" si="11"/>
        <v>内部装修</v>
      </c>
      <c r="R43" s="705" t="s">
        <v>14</v>
      </c>
      <c r="S43" s="706">
        <f t="shared" si="12"/>
        <v>100</v>
      </c>
      <c r="T43" s="705" t="s">
        <v>14</v>
      </c>
      <c r="U43" s="706">
        <f t="shared" si="13"/>
        <v>100</v>
      </c>
      <c r="V43" s="705" t="s">
        <v>14</v>
      </c>
      <c r="W43" s="706">
        <f t="shared" si="14"/>
        <v>100</v>
      </c>
      <c r="X43" s="3451"/>
      <c r="Y43" s="3665"/>
      <c r="Z43" s="3452" t="str">
        <f t="shared" si="15"/>
        <v>内部装修</v>
      </c>
      <c r="AA43" s="3455">
        <f t="shared" si="3"/>
        <v>1</v>
      </c>
      <c r="AB43" s="3455">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3"/>
      <c r="Q44" s="3454" t="str">
        <f t="shared" si="11"/>
        <v>内部装修维护情况</v>
      </c>
      <c r="R44" s="705" t="s">
        <v>14</v>
      </c>
      <c r="S44" s="706">
        <f t="shared" si="12"/>
        <v>100</v>
      </c>
      <c r="T44" s="705" t="s">
        <v>14</v>
      </c>
      <c r="U44" s="706">
        <f t="shared" si="13"/>
        <v>100</v>
      </c>
      <c r="V44" s="705" t="s">
        <v>14</v>
      </c>
      <c r="W44" s="706">
        <f t="shared" si="14"/>
        <v>100</v>
      </c>
      <c r="X44" s="3451"/>
      <c r="Y44" s="3665"/>
      <c r="Z44" s="3452" t="str">
        <f t="shared" si="15"/>
        <v>内部装修维护情况</v>
      </c>
      <c r="AA44" s="3455">
        <f t="shared" si="3"/>
        <v>1</v>
      </c>
      <c r="AB44" s="3455">
        <f t="shared" si="4"/>
        <v>1</v>
      </c>
      <c r="AC44" s="1962">
        <f t="shared" si="5"/>
        <v>1</v>
      </c>
    </row>
    <row r="45" spans="1:29" s="108" customFormat="1" ht="15">
      <c r="A45" s="424"/>
      <c r="B45" s="1133">
        <v>111</v>
      </c>
      <c r="C45" s="420"/>
      <c r="D45" s="127">
        <v>100</v>
      </c>
      <c r="E45" s="383">
        <v>1</v>
      </c>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3"/>
      <c r="Q45" s="3450">
        <f t="shared" si="11"/>
        <v>111</v>
      </c>
      <c r="R45" s="701" t="s">
        <v>14</v>
      </c>
      <c r="S45" s="702">
        <f t="shared" si="12"/>
        <v>100</v>
      </c>
      <c r="T45" s="701" t="s">
        <v>14</v>
      </c>
      <c r="U45" s="702">
        <f t="shared" si="13"/>
        <v>100</v>
      </c>
      <c r="V45" s="701" t="s">
        <v>14</v>
      </c>
      <c r="W45" s="702">
        <f t="shared" si="14"/>
        <v>100</v>
      </c>
      <c r="X45" s="703"/>
      <c r="Y45" s="3665"/>
      <c r="Z45" s="3449">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3"/>
      <c r="Q46" s="3454">
        <f t="shared" si="11"/>
        <v>111</v>
      </c>
      <c r="R46" s="705" t="s">
        <v>14</v>
      </c>
      <c r="S46" s="706">
        <f t="shared" si="12"/>
        <v>100</v>
      </c>
      <c r="T46" s="705" t="s">
        <v>14</v>
      </c>
      <c r="U46" s="706">
        <f t="shared" si="13"/>
        <v>100</v>
      </c>
      <c r="V46" s="705" t="s">
        <v>14</v>
      </c>
      <c r="W46" s="706">
        <f t="shared" si="14"/>
        <v>100</v>
      </c>
      <c r="X46" s="3451"/>
      <c r="Y46" s="3665"/>
      <c r="Z46" s="3452">
        <f t="shared" si="15"/>
        <v>111</v>
      </c>
      <c r="AA46" s="3455">
        <f t="shared" si="3"/>
        <v>1</v>
      </c>
      <c r="AB46" s="3455">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64"/>
      <c r="Q47" s="3454">
        <f t="shared" si="11"/>
        <v>111</v>
      </c>
      <c r="R47" s="705" t="s">
        <v>14</v>
      </c>
      <c r="S47" s="706">
        <f t="shared" si="12"/>
        <v>100</v>
      </c>
      <c r="T47" s="705" t="s">
        <v>14</v>
      </c>
      <c r="U47" s="706">
        <f t="shared" si="13"/>
        <v>100</v>
      </c>
      <c r="V47" s="705" t="s">
        <v>14</v>
      </c>
      <c r="W47" s="706">
        <f t="shared" si="14"/>
        <v>100</v>
      </c>
      <c r="X47" s="3451"/>
      <c r="Y47" s="3666"/>
      <c r="Z47" s="3452">
        <f t="shared" si="15"/>
        <v>111</v>
      </c>
      <c r="AA47" s="3455">
        <f t="shared" si="3"/>
        <v>1</v>
      </c>
      <c r="AB47" s="3455">
        <f t="shared" si="4"/>
        <v>1</v>
      </c>
      <c r="AC47" s="1962">
        <f t="shared" si="5"/>
        <v>1</v>
      </c>
    </row>
    <row r="48" spans="1:29" ht="15">
      <c r="A48" s="430" t="s">
        <v>1708</v>
      </c>
      <c r="B48" s="431"/>
      <c r="C48" s="1154" t="s">
        <v>0</v>
      </c>
      <c r="D48" s="1155"/>
      <c r="E48" s="1156">
        <v>2960</v>
      </c>
      <c r="F48" s="1157"/>
      <c r="G48" s="1158">
        <v>2990</v>
      </c>
      <c r="H48" s="1159"/>
      <c r="I48" s="1156">
        <v>2600</v>
      </c>
      <c r="J48" s="436"/>
      <c r="K48" s="714"/>
      <c r="L48" s="2724"/>
      <c r="M48" s="2716"/>
      <c r="N48" s="2716"/>
      <c r="O48" s="2716"/>
      <c r="P48" s="3669" t="str">
        <f>A48</f>
        <v>成交单价（元/平方米）</v>
      </c>
      <c r="Q48" s="3658"/>
      <c r="R48" s="3659">
        <f>E48</f>
        <v>2960</v>
      </c>
      <c r="S48" s="3659"/>
      <c r="T48" s="3659">
        <f>G48</f>
        <v>2990</v>
      </c>
      <c r="U48" s="3659"/>
      <c r="V48" s="3659">
        <f>I48</f>
        <v>2600</v>
      </c>
      <c r="W48" s="3659"/>
      <c r="X48" s="397"/>
      <c r="Y48" s="712"/>
      <c r="Z48" s="397"/>
      <c r="AA48" s="397"/>
      <c r="AB48" s="397"/>
      <c r="AC48" s="578"/>
    </row>
    <row r="49" spans="1:29" ht="15.75" thickBot="1">
      <c r="A49" s="437" t="s">
        <v>1709</v>
      </c>
      <c r="B49" s="438"/>
      <c r="C49" s="1160">
        <f>R50</f>
        <v>3021</v>
      </c>
      <c r="D49" s="2317" t="s">
        <v>2138</v>
      </c>
      <c r="E49" s="1161">
        <f>R49</f>
        <v>3052</v>
      </c>
      <c r="F49" s="2318"/>
      <c r="G49" s="1160">
        <f>T49</f>
        <v>3215</v>
      </c>
      <c r="H49" s="2318"/>
      <c r="I49" s="1161">
        <f>V49</f>
        <v>2796</v>
      </c>
      <c r="J49" s="2318"/>
      <c r="K49" s="2320">
        <f>F49+H49+J49</f>
        <v>0</v>
      </c>
      <c r="L49" s="2724"/>
      <c r="M49" s="2716"/>
      <c r="N49" s="2716"/>
      <c r="O49" s="2716"/>
      <c r="P49" s="3669" t="str">
        <f>A49</f>
        <v>比较价值（元/平方米）</v>
      </c>
      <c r="Q49" s="3658"/>
      <c r="R49" s="3659">
        <f>IF(F1="售价",ROUND(PRODUCT(R48,AA7:AA47),0),ROUND(PRODUCT(R48,AA7:AA47),1))</f>
        <v>3052</v>
      </c>
      <c r="S49" s="3659"/>
      <c r="T49" s="3659">
        <f>IF(F1="售价",ROUND(PRODUCT(T48,AB7:AB47),0),ROUND(PRODUCT(T48,AB7:AB47),1))</f>
        <v>3215</v>
      </c>
      <c r="U49" s="3659"/>
      <c r="V49" s="3659">
        <f>IF(F1="售价",ROUND(PRODUCT(V48,AC7:AC47),0),ROUND(PRODUCT(V48,AC7:AC47),1))</f>
        <v>2796</v>
      </c>
      <c r="W49" s="3659"/>
      <c r="X49" s="397"/>
      <c r="Y49" s="397"/>
      <c r="Z49" s="397"/>
      <c r="AA49" s="397"/>
      <c r="AB49" s="397"/>
      <c r="AC49" s="578"/>
    </row>
    <row r="50" spans="1:29" ht="15.75" thickBot="1">
      <c r="A50" s="441" t="s">
        <v>1710</v>
      </c>
      <c r="B50" s="442"/>
      <c r="C50" s="1163">
        <f>R50</f>
        <v>3021</v>
      </c>
      <c r="D50" s="1163"/>
      <c r="E50" s="1163"/>
      <c r="F50" s="1163"/>
      <c r="G50" s="1163"/>
      <c r="H50" s="1163"/>
      <c r="I50" s="1163"/>
      <c r="J50" s="443"/>
      <c r="K50" s="715"/>
      <c r="L50" s="2724"/>
      <c r="M50" s="2716"/>
      <c r="N50" s="2716"/>
      <c r="O50" s="2716"/>
      <c r="P50" s="3701" t="str">
        <f>A50</f>
        <v>估价对象XX用房的比较价值（楼面单价，元/平方米）</v>
      </c>
      <c r="Q50" s="3702"/>
      <c r="R50" s="3703">
        <f>IF(F1="售价",ROUND(IF(D49="简单平均",AVERAGE(R49:V49),R49*F49+T49*H49+V49*J49),0),ROUND(IF(D49="简单平均",AVERAGE(R49:V49),R49*F49+T49*H49+V49*J49),1))</f>
        <v>3021</v>
      </c>
      <c r="S50" s="3703"/>
      <c r="T50" s="3703"/>
      <c r="U50" s="3703"/>
      <c r="V50" s="3703"/>
      <c r="W50" s="370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1711</v>
      </c>
      <c r="D53" s="447"/>
      <c r="E53" s="448">
        <f>IF(E48&lt;E49,E49/E48-1,E48/E49-1)</f>
        <v>3.1081081081081097E-2</v>
      </c>
      <c r="F53" s="449" t="str">
        <f>IF(OR(E53&gt;=0.3,E53&lt;=-0.3),"超过30%","")</f>
        <v/>
      </c>
      <c r="G53" s="448">
        <f>IF(G48&lt;G49,G49/G48-1,G48/G49-1)</f>
        <v>7.5250836120401399E-2</v>
      </c>
      <c r="H53" s="449" t="str">
        <f>IF(OR(G53&gt;=0.3,G53&lt;=-0.3),"超过30%","")</f>
        <v/>
      </c>
      <c r="I53" s="448">
        <f>IF(I48&lt;I49,I49/I48-1,I48/I49-1)</f>
        <v>7.5384615384615383E-2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1712</v>
      </c>
      <c r="D54" s="450"/>
      <c r="E54" s="448">
        <f>IF(E49&lt;G49,G49/E49-1,E49/G49-1)</f>
        <v>5.3407601572739161E-2</v>
      </c>
      <c r="F54" s="449" t="str">
        <f>IF(OR(E54&gt;=0.2,E54&lt;=-0.2),"超过20%","")</f>
        <v/>
      </c>
      <c r="G54" s="448">
        <f>IF(G49&lt;I49,I49/G49-1,G49/I49-1)</f>
        <v>0.14985693848354797</v>
      </c>
      <c r="H54" s="449" t="str">
        <f>IF(OR(G54&gt;=0.2,G54&lt;=-0.2),"超过20%","")</f>
        <v/>
      </c>
      <c r="I54" s="448">
        <f>IF(I49&lt;E49,E49/I49-1,I49/E49-1)</f>
        <v>9.1559370529327611E-2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1713</v>
      </c>
      <c r="D55" s="450"/>
      <c r="E55" s="448">
        <f>IF(E48&lt;G48,G48/E48-1,E48/G48-1)</f>
        <v>1.0135135135135087E-2</v>
      </c>
      <c r="F55" s="449" t="str">
        <f>IF(OR(E55&gt;=0.3,E55&lt;=-0.3),"超过30%","")</f>
        <v/>
      </c>
      <c r="G55" s="448">
        <f>IF(G48&lt;I48,I48/G48-1,G48/I48-1)</f>
        <v>0.14999999999999991</v>
      </c>
      <c r="H55" s="449" t="str">
        <f>IF(OR(G55&gt;=0.3,G55&lt;=-0.3),"超过30%","")</f>
        <v/>
      </c>
      <c r="I55" s="448">
        <f>IF(I48&lt;E48,E48/I48-1,I48/E48-1)</f>
        <v>0.13846153846153841</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1714</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v>100</v>
      </c>
      <c r="F60" s="461">
        <v>100</v>
      </c>
      <c r="G60" s="461">
        <v>100</v>
      </c>
      <c r="H60" s="461">
        <v>100</v>
      </c>
      <c r="I60" s="461">
        <v>100.5</v>
      </c>
      <c r="J60" s="461">
        <v>100.5</v>
      </c>
      <c r="K60" s="461">
        <v>100.5</v>
      </c>
      <c r="L60" s="461">
        <v>100.5</v>
      </c>
      <c r="M60" s="462">
        <v>100.5</v>
      </c>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1718</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3464" t="s">
        <v>3437</v>
      </c>
      <c r="D91" s="3465" t="s">
        <v>3438</v>
      </c>
      <c r="E91" s="3465" t="s">
        <v>3439</v>
      </c>
      <c r="F91" s="3465" t="s">
        <v>3440</v>
      </c>
      <c r="G91" s="3465" t="s">
        <v>3441</v>
      </c>
      <c r="H91" s="3465" t="s">
        <v>3442</v>
      </c>
      <c r="I91" s="3466" t="s">
        <v>3443</v>
      </c>
      <c r="J91" s="3466" t="s">
        <v>3444</v>
      </c>
      <c r="K91" s="3465" t="s">
        <v>3445</v>
      </c>
      <c r="L91" s="3465" t="s">
        <v>3446</v>
      </c>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99</v>
      </c>
      <c r="E92" s="493">
        <f t="shared" si="21"/>
        <v>98</v>
      </c>
      <c r="F92" s="493">
        <f t="shared" si="21"/>
        <v>97</v>
      </c>
      <c r="G92" s="493">
        <f t="shared" si="21"/>
        <v>96</v>
      </c>
      <c r="H92" s="493">
        <f t="shared" si="21"/>
        <v>95</v>
      </c>
      <c r="I92" s="493">
        <f t="shared" si="21"/>
        <v>94</v>
      </c>
      <c r="J92" s="493">
        <f t="shared" si="21"/>
        <v>93</v>
      </c>
      <c r="K92" s="493">
        <f t="shared" si="21"/>
        <v>92</v>
      </c>
      <c r="L92" s="493">
        <f t="shared" si="21"/>
        <v>91</v>
      </c>
      <c r="M92" s="493">
        <f t="shared" si="21"/>
        <v>90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0(含)-30</v>
      </c>
      <c r="D103" s="527" t="str">
        <f t="shared" ref="D103:L103" si="23">D104&amp;"(含)"&amp;"-"&amp;E104</f>
        <v>30(含)-60</v>
      </c>
      <c r="E103" s="527" t="str">
        <f t="shared" si="23"/>
        <v>60(含)-90</v>
      </c>
      <c r="F103" s="527" t="str">
        <f t="shared" si="23"/>
        <v>90(含)-120</v>
      </c>
      <c r="G103" s="527" t="str">
        <f t="shared" si="23"/>
        <v>120(含)-150</v>
      </c>
      <c r="H103" s="527" t="str">
        <f t="shared" si="23"/>
        <v>150(含)-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v>
      </c>
      <c r="E104" s="544">
        <v>60</v>
      </c>
      <c r="F104" s="544">
        <v>90</v>
      </c>
      <c r="G104" s="544">
        <v>120</v>
      </c>
      <c r="H104" s="544">
        <v>150</v>
      </c>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98</v>
      </c>
      <c r="E105" s="485">
        <v>96</v>
      </c>
      <c r="F105" s="485">
        <v>94</v>
      </c>
      <c r="G105" s="485">
        <v>92</v>
      </c>
      <c r="H105" s="485">
        <v>90</v>
      </c>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67" t="s">
        <v>3447</v>
      </c>
      <c r="D106" s="3467" t="s">
        <v>3396</v>
      </c>
      <c r="E106" s="3468" t="s">
        <v>3448</v>
      </c>
      <c r="F106" s="3468" t="s">
        <v>3449</v>
      </c>
      <c r="G106" s="3465" t="s">
        <v>3450</v>
      </c>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67" t="s">
        <v>3451</v>
      </c>
      <c r="D108" s="3467" t="s">
        <v>3452</v>
      </c>
      <c r="E108" s="3467" t="s">
        <v>3453</v>
      </c>
      <c r="F108" s="3468" t="s">
        <v>3454</v>
      </c>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67" t="s">
        <v>3451</v>
      </c>
      <c r="D123" s="3467" t="s">
        <v>3452</v>
      </c>
      <c r="E123" s="3467" t="s">
        <v>3455</v>
      </c>
      <c r="F123" s="3468" t="s">
        <v>3454</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 sqref="K2"/>
    </sheetView>
  </sheetViews>
  <sheetFormatPr defaultRowHeight="13.5"/>
  <sheetData/>
  <phoneticPr fontId="13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34.369999999999997</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45257</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64</v>
      </c>
      <c r="C5" s="2512">
        <f ca="1">IF(B5=D14,结果表!H102,ROUND(B5*10000/$B$1,0))</f>
        <v>0</v>
      </c>
      <c r="D5" s="2512" t="e">
        <f ca="1">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3359</v>
      </c>
      <c r="D10" s="2512" t="s">
        <v>3360</v>
      </c>
      <c r="E10" s="3441"/>
      <c r="F10" s="3445" t="s">
        <v>3361</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'数据-汇总表'!F19</f>
        <v>34.369999999999997</v>
      </c>
      <c r="C14" s="2518"/>
      <c r="D14" s="2518">
        <f ca="1">结果表!G19</f>
        <v>64</v>
      </c>
      <c r="E14" s="2518">
        <f ca="1">ROUND(D14*10000/B14,0)</f>
        <v>18621</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2" t="s">
        <v>452</v>
      </c>
      <c r="C1" s="3802"/>
      <c r="D1" s="3802"/>
      <c r="E1" s="3802"/>
      <c r="F1" s="3802"/>
      <c r="G1" s="3801" t="s">
        <v>453</v>
      </c>
      <c r="H1" s="3801"/>
      <c r="I1" s="3801"/>
      <c r="J1" s="3801"/>
      <c r="K1" s="3801"/>
      <c r="L1" s="3801"/>
      <c r="N1" s="3801" t="s">
        <v>454</v>
      </c>
      <c r="O1" s="3801"/>
      <c r="P1" s="3801"/>
      <c r="Q1" s="3801"/>
      <c r="S1" s="3801" t="s">
        <v>455</v>
      </c>
      <c r="T1" s="3801"/>
      <c r="U1" s="3801"/>
      <c r="V1" s="3801"/>
      <c r="X1" s="3800" t="s">
        <v>456</v>
      </c>
      <c r="Y1" s="3801"/>
      <c r="Z1" s="3801"/>
      <c r="AA1" s="3801"/>
      <c r="AB1" s="3801"/>
      <c r="AD1" s="3800" t="s">
        <v>457</v>
      </c>
      <c r="AE1" s="3801"/>
      <c r="AF1" s="3801"/>
      <c r="AG1" s="3801"/>
      <c r="AH1" s="380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45257</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比较法-住宅</vt:lpstr>
      <vt:lpstr>比较法-办公</vt:lpstr>
      <vt:lpstr>成交案例</vt:lpstr>
      <vt:lpstr>收益法 (元)</vt:lpstr>
      <vt:lpstr>成本法 (元)</vt:lpstr>
      <vt:lpstr>假设开发法</vt:lpstr>
      <vt:lpstr>收益法</vt:lpstr>
      <vt:lpstr>收益法-酒店模型</vt:lpstr>
      <vt:lpstr>收益法（汇总）</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比较法-办公租金</vt:lpstr>
      <vt:lpstr>Sheet1</vt:lpstr>
      <vt:lpstr>系统读取表</vt:lpstr>
      <vt:lpstr>地价</vt:lpstr>
      <vt:lpstr>存贷款利率</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2017-03-01T09:15:43Z</cp:lastPrinted>
  <dcterms:created xsi:type="dcterms:W3CDTF">2015-07-13T07:17:23Z</dcterms:created>
  <dcterms:modified xsi:type="dcterms:W3CDTF">2024-01-11T02:47:38Z</dcterms:modified>
</cp:coreProperties>
</file>