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X24" i="1" l="1"/>
  <c r="Y24" i="1"/>
  <c r="V24" i="1"/>
  <c r="Y21" i="1"/>
  <c r="Y22" i="1"/>
  <c r="Y23" i="1"/>
  <c r="Y20" i="1"/>
  <c r="X23" i="1"/>
  <c r="X22" i="1"/>
  <c r="X20" i="1"/>
  <c r="V20" i="1"/>
  <c r="V22" i="1"/>
  <c r="V23" i="1"/>
  <c r="V21" i="1"/>
  <c r="N6" i="1"/>
  <c r="N19" i="1"/>
  <c r="C6" i="68"/>
  <c r="U2" i="43"/>
  <c r="D37" i="43"/>
  <c r="D33" i="43"/>
  <c r="G19" i="6"/>
  <c r="F19" i="6"/>
  <c r="I13" i="3"/>
  <c r="Y6" i="1" l="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C39" i="71" s="1"/>
  <c r="N37" i="71"/>
  <c r="D37" i="71"/>
  <c r="Q36" i="71"/>
  <c r="AB36" i="71"/>
  <c r="P36" i="71"/>
  <c r="O36" i="71"/>
  <c r="Y36" i="71" s="1"/>
  <c r="Z36" i="71" s="1"/>
  <c r="N36" i="71"/>
  <c r="Q35" i="71"/>
  <c r="P35" i="71"/>
  <c r="O35" i="71"/>
  <c r="Y35" i="71"/>
  <c r="Z35" i="71" s="1"/>
  <c r="N35" i="71"/>
  <c r="Q34" i="71"/>
  <c r="AB34" i="71"/>
  <c r="P34" i="71"/>
  <c r="O34" i="71"/>
  <c r="N34" i="71"/>
  <c r="Q33" i="71"/>
  <c r="F34" i="71" s="1"/>
  <c r="F35" i="71" s="1"/>
  <c r="F36" i="71" s="1"/>
  <c r="V36" i="71" s="1"/>
  <c r="P33" i="71"/>
  <c r="O33" i="7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T28" i="71" s="1"/>
  <c r="X25" i="71"/>
  <c r="X27" i="71"/>
  <c r="C31" i="71"/>
  <c r="D34" i="71"/>
  <c r="D38"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C86" i="71" s="1"/>
  <c r="D86" i="71" s="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s="1"/>
  <c r="J38" i="37"/>
  <c r="AC38" i="37" s="1"/>
  <c r="F38" i="37"/>
  <c r="S38" i="37" s="1"/>
  <c r="F43" i="39"/>
  <c r="AA43" i="39" s="1"/>
  <c r="H43" i="39"/>
  <c r="J14" i="39"/>
  <c r="AC14" i="39" s="1"/>
  <c r="F14" i="39"/>
  <c r="H14" i="39"/>
  <c r="AB14" i="39"/>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8"/>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20" i="31"/>
  <c r="E8" i="76"/>
  <c r="E7" i="76"/>
  <c r="F6" i="15"/>
  <c r="F26" i="15"/>
  <c r="B10" i="76"/>
  <c r="M26" i="15"/>
  <c r="M26" i="67"/>
  <c r="F36" i="67"/>
  <c r="F37" i="67"/>
  <c r="L47" i="15"/>
  <c r="B12" i="76"/>
  <c r="F38" i="67"/>
  <c r="C76" i="15"/>
  <c r="B11" i="76"/>
  <c r="F8" i="67"/>
  <c r="L48" i="15"/>
  <c r="B7" i="76"/>
  <c r="F16" i="67"/>
  <c r="M29" i="67"/>
  <c r="F40" i="67"/>
  <c r="F42" i="67"/>
  <c r="E10" i="76"/>
  <c r="F16" i="15"/>
  <c r="M9" i="67"/>
  <c r="F37" i="15"/>
  <c r="F9" i="67"/>
  <c r="D3" i="73"/>
  <c r="F36" i="15"/>
  <c r="F13" i="15"/>
  <c r="AO13" i="1"/>
  <c r="D6" i="73"/>
  <c r="E2" i="68"/>
  <c r="M8" i="15"/>
  <c r="F7" i="15"/>
  <c r="E13" i="76"/>
  <c r="F7" i="67"/>
  <c r="M24" i="67"/>
  <c r="D7" i="73"/>
  <c r="F4" i="73"/>
  <c r="L47" i="67"/>
  <c r="B8" i="76"/>
  <c r="E11" i="76"/>
  <c r="M22" i="15"/>
  <c r="F43" i="15"/>
  <c r="M6" i="67"/>
  <c r="F9" i="15"/>
  <c r="L48" i="67"/>
  <c r="F13" i="67"/>
  <c r="F43" i="67"/>
  <c r="M28" i="67"/>
  <c r="F42" i="15"/>
  <c r="M23" i="67"/>
  <c r="F3" i="73"/>
  <c r="B13" i="76"/>
  <c r="D5" i="73"/>
  <c r="D35" i="9"/>
  <c r="B9" i="76"/>
  <c r="F7" i="73"/>
  <c r="E2" i="69"/>
  <c r="F6" i="67"/>
  <c r="M6" i="15"/>
  <c r="M29" i="15"/>
  <c r="D34" i="9"/>
  <c r="E9" i="76"/>
  <c r="F8" i="15"/>
  <c r="F40" i="15"/>
  <c r="M22" i="67"/>
  <c r="F26" i="67"/>
  <c r="M23" i="15"/>
  <c r="D4" i="73"/>
  <c r="F38" i="15"/>
  <c r="M8" i="67"/>
  <c r="M28" i="15"/>
  <c r="M9" i="15"/>
  <c r="F5" i="73"/>
  <c r="J15" i="67"/>
  <c r="E12" i="76"/>
  <c r="F6" i="73"/>
  <c r="M24" i="15"/>
  <c r="J15" i="15"/>
  <c r="C76" i="67"/>
  <c r="C28" i="67" l="1"/>
  <c r="E19" i="11"/>
  <c r="E19" i="71"/>
  <c r="E18" i="71" s="1"/>
  <c r="E17" i="71" s="1"/>
  <c r="E16" i="71" s="1"/>
  <c r="V20" i="71"/>
  <c r="AZ557" i="3"/>
  <c r="D17" i="71"/>
  <c r="C16" i="71"/>
  <c r="D19" i="53"/>
  <c r="B38" i="72" s="1"/>
  <c r="D16" i="53"/>
  <c r="B34" i="72" s="1"/>
  <c r="U12" i="39"/>
  <c r="AA27" i="40"/>
  <c r="G28" i="6"/>
  <c r="F29" i="6"/>
  <c r="U43" i="33"/>
  <c r="AA41" i="34"/>
  <c r="S29" i="35"/>
  <c r="AA29" i="35"/>
  <c r="W12" i="34"/>
  <c r="AC12" i="34"/>
  <c r="U12" i="35"/>
  <c r="AB12" i="35"/>
  <c r="AB9" i="36"/>
  <c r="U9" i="36"/>
  <c r="AB14" i="37"/>
  <c r="U14" i="37"/>
  <c r="BL5" i="3"/>
  <c r="G5" i="3"/>
  <c r="B3" i="3" s="1"/>
  <c r="E77" i="3" s="1"/>
  <c r="AC11" i="35"/>
  <c r="AB17" i="34"/>
  <c r="AC9" i="34"/>
  <c r="W9" i="34"/>
  <c r="AC34" i="35"/>
  <c r="W34" i="35"/>
  <c r="AC31" i="40"/>
  <c r="W31" i="40"/>
  <c r="AZ409" i="3"/>
  <c r="AZ416" i="3"/>
  <c r="AZ425" i="3"/>
  <c r="AZ432" i="3"/>
  <c r="AZ445" i="3"/>
  <c r="AZ447" i="3"/>
  <c r="AB23" i="34"/>
  <c r="U33" i="35"/>
  <c r="AC11" i="40"/>
  <c r="U33" i="33"/>
  <c r="J12" i="21"/>
  <c r="B73" i="43"/>
  <c r="B79" i="43"/>
  <c r="B76" i="43"/>
  <c r="B75" i="43"/>
  <c r="F9" i="34"/>
  <c r="AA9" i="34" s="1"/>
  <c r="F12" i="34"/>
  <c r="F34" i="35"/>
  <c r="H34" i="35"/>
  <c r="J36" i="35"/>
  <c r="F23" i="36"/>
  <c r="H23" i="36"/>
  <c r="AZ469" i="3"/>
  <c r="AZ475" i="3"/>
  <c r="AZ479" i="3"/>
  <c r="AZ483" i="3"/>
  <c r="AZ485" i="3"/>
  <c r="AZ489" i="3"/>
  <c r="AZ385" i="3"/>
  <c r="AZ210" i="3"/>
  <c r="AZ225" i="3"/>
  <c r="AZ239" i="3"/>
  <c r="AZ255" i="3"/>
  <c r="AZ274" i="3"/>
  <c r="AZ277" i="3"/>
  <c r="AZ301" i="3"/>
  <c r="AZ228" i="3"/>
  <c r="AZ264" i="3"/>
  <c r="AZ293" i="3"/>
  <c r="AZ177" i="3"/>
  <c r="AZ205" i="3"/>
  <c r="AZ18" i="3"/>
  <c r="AZ23" i="3"/>
  <c r="AZ27" i="3"/>
  <c r="AZ52" i="3"/>
  <c r="AZ56" i="3"/>
  <c r="AZ68" i="3"/>
  <c r="AZ73" i="3"/>
  <c r="AZ78" i="3"/>
  <c r="AZ87" i="3"/>
  <c r="AZ91" i="3"/>
  <c r="AZ95" i="3"/>
  <c r="AZ98" i="3"/>
  <c r="AZ100" i="3"/>
  <c r="AZ104" i="3"/>
  <c r="S21" i="21"/>
  <c r="U18" i="36"/>
  <c r="AB27" i="71"/>
  <c r="Y30" i="71"/>
  <c r="Z30" i="71" s="1"/>
  <c r="AB30" i="71"/>
  <c r="AB31" i="71"/>
  <c r="Y34" i="71"/>
  <c r="Z34" i="71" s="1"/>
  <c r="X33" i="71"/>
  <c r="X34" i="71"/>
  <c r="X35" i="71"/>
  <c r="AB35" i="71"/>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AA10" i="71"/>
  <c r="AA9" i="71"/>
  <c r="V68" i="71"/>
  <c r="F67" i="71"/>
  <c r="X22" i="71"/>
  <c r="AA24" i="71"/>
  <c r="AA23" i="71"/>
  <c r="AA22" i="71"/>
  <c r="X21" i="71"/>
  <c r="X17" i="71"/>
  <c r="Y17" i="71"/>
  <c r="Z17" i="71" s="1"/>
  <c r="AA17" i="71"/>
  <c r="AB18" i="71"/>
  <c r="Y13" i="71"/>
  <c r="Z13" i="71" s="1"/>
  <c r="AA37" i="71"/>
  <c r="X9" i="71"/>
  <c r="Y39" i="71"/>
  <c r="Z39" i="71" s="1"/>
  <c r="AA39" i="71"/>
  <c r="AB9" i="71"/>
  <c r="AB24" i="71"/>
  <c r="Y21" i="71"/>
  <c r="Z21" i="71" s="1"/>
  <c r="AB23" i="71"/>
  <c r="AB21" i="71"/>
  <c r="AA21" i="71"/>
  <c r="Y18" i="71"/>
  <c r="Z18" i="71" s="1"/>
  <c r="X18" i="71"/>
  <c r="AA18" i="71"/>
  <c r="X13" i="71"/>
  <c r="AA14" i="71"/>
  <c r="AB17" i="71"/>
  <c r="X24" i="71"/>
  <c r="Y24" i="71"/>
  <c r="Z24" i="71" s="1"/>
  <c r="AB15" i="71"/>
  <c r="AB13" i="71"/>
  <c r="AB12" i="71"/>
  <c r="Y11" i="71"/>
  <c r="Z11" i="71" s="1"/>
  <c r="Y12" i="71"/>
  <c r="Z12" i="71" s="1"/>
  <c r="Y14" i="71"/>
  <c r="Z14" i="71" s="1"/>
  <c r="AA11" i="71"/>
  <c r="X10" i="71"/>
  <c r="Y23" i="71"/>
  <c r="Z23" i="71" s="1"/>
  <c r="Y22" i="71"/>
  <c r="Z22" i="71" s="1"/>
  <c r="X15" i="71"/>
  <c r="AA15" i="71"/>
  <c r="AB10" i="71"/>
  <c r="AB11" i="71"/>
  <c r="AB14" i="71"/>
  <c r="AA12" i="71"/>
  <c r="AA13" i="71"/>
  <c r="X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537" i="3"/>
  <c r="E450" i="3"/>
  <c r="E471" i="3"/>
  <c r="E433" i="3"/>
  <c r="E475" i="3"/>
  <c r="E72" i="3"/>
  <c r="E54" i="3"/>
  <c r="E111" i="3"/>
  <c r="E168" i="3"/>
  <c r="E150" i="3"/>
  <c r="E208" i="3"/>
  <c r="E279" i="3"/>
  <c r="E257" i="3"/>
  <c r="E351" i="3"/>
  <c r="E357"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26" i="43" l="1"/>
  <c r="N94" i="46"/>
  <c r="J26" i="43"/>
  <c r="N370" i="46"/>
  <c r="G26" i="43"/>
  <c r="E394" i="3"/>
  <c r="E315" i="3"/>
  <c r="E274" i="3"/>
  <c r="E214" i="3"/>
  <c r="E256" i="3"/>
  <c r="E171" i="3"/>
  <c r="E203" i="3"/>
  <c r="E146" i="3"/>
  <c r="E73" i="3"/>
  <c r="E106" i="3"/>
  <c r="E55" i="3"/>
  <c r="E454" i="3"/>
  <c r="E496" i="3"/>
  <c r="E468" i="3"/>
  <c r="E429" i="3"/>
  <c r="E577" i="3"/>
  <c r="W6" i="3"/>
  <c r="E288" i="3"/>
  <c r="E438" i="3"/>
  <c r="E474" i="3"/>
  <c r="E529" i="3"/>
  <c r="E532" i="3"/>
  <c r="E313" i="3"/>
  <c r="E224" i="3"/>
  <c r="E157" i="3"/>
  <c r="E306" i="3"/>
  <c r="E352" i="3"/>
  <c r="E136" i="3"/>
  <c r="E461" i="3"/>
  <c r="E122"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15" i="71"/>
  <c r="B14" i="71" s="1"/>
  <c r="B13" i="71" s="1"/>
  <c r="B12" i="71" s="1"/>
  <c r="S16" i="71"/>
  <c r="F66" i="71"/>
  <c r="Q67" i="71"/>
  <c r="B27" i="71"/>
  <c r="B26" i="71" s="1"/>
  <c r="S28" i="71"/>
  <c r="AA23" i="36"/>
  <c r="S23" i="36"/>
  <c r="AB34" i="35"/>
  <c r="U34" i="35"/>
  <c r="S12" i="34"/>
  <c r="AA12" i="34"/>
  <c r="AC12" i="21"/>
  <c r="W12" i="21"/>
  <c r="AB23" i="36"/>
  <c r="U23" i="36"/>
  <c r="AC36" i="35"/>
  <c r="W36" i="35"/>
  <c r="AA34" i="35"/>
  <c r="S34"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01" i="3"/>
  <c r="E420" i="3"/>
  <c r="E463" i="3"/>
  <c r="E26" i="3"/>
  <c r="E40" i="3"/>
  <c r="E104" i="3"/>
  <c r="E25" i="3"/>
  <c r="E108" i="3"/>
  <c r="E178" i="3"/>
  <c r="E119" i="3"/>
  <c r="E202" i="3"/>
  <c r="E242" i="3"/>
  <c r="E281" i="3"/>
  <c r="E276" i="3"/>
  <c r="E346" i="3"/>
  <c r="E333" i="3"/>
  <c r="E372" i="3"/>
  <c r="E42" i="3"/>
  <c r="E94" i="3"/>
  <c r="E43" i="3"/>
  <c r="E540" i="3"/>
  <c r="E473" i="3"/>
  <c r="E15" i="3"/>
  <c r="E455" i="3"/>
  <c r="E96" i="3"/>
  <c r="E78" i="3"/>
  <c r="E129" i="3"/>
  <c r="E137" i="3"/>
  <c r="E194" i="3"/>
  <c r="E234" i="3"/>
  <c r="E219" i="3"/>
  <c r="E299" i="3"/>
  <c r="E339" i="3"/>
  <c r="E342" i="3"/>
  <c r="E522" i="3"/>
  <c r="E52" i="3"/>
  <c r="E36" i="3"/>
  <c r="E112" i="3"/>
  <c r="E123" i="3"/>
  <c r="E147" i="3"/>
  <c r="E251" i="3"/>
  <c r="E370" i="3"/>
  <c r="AF6" i="3"/>
  <c r="E50" i="3"/>
  <c r="E80" i="3"/>
  <c r="E113" i="3"/>
  <c r="E158" i="3"/>
  <c r="E287" i="3"/>
  <c r="E308" i="3"/>
  <c r="E326"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0" i="3"/>
  <c r="E41" i="3"/>
  <c r="E115" i="3"/>
  <c r="E198" i="3"/>
  <c r="E139" i="3"/>
  <c r="E225" i="3"/>
  <c r="E226" i="3"/>
  <c r="E243" i="3"/>
  <c r="E332" i="3"/>
  <c r="E391" i="3"/>
  <c r="E356" i="3"/>
  <c r="AL6" i="3"/>
  <c r="L6" i="3"/>
  <c r="E60" i="3"/>
  <c r="E75" i="3"/>
  <c r="E428" i="3"/>
  <c r="E482" i="3"/>
  <c r="E412" i="3"/>
  <c r="E18" i="3"/>
  <c r="E79" i="3"/>
  <c r="E38" i="3"/>
  <c r="E100" i="3"/>
  <c r="E170" i="3"/>
  <c r="E190" i="3"/>
  <c r="E174" i="3"/>
  <c r="E220" i="3"/>
  <c r="E275" i="3"/>
  <c r="E235" i="3"/>
  <c r="E324" i="3"/>
  <c r="E383" i="3"/>
  <c r="E325" i="3"/>
  <c r="E392" i="3"/>
  <c r="AQ6" i="3"/>
  <c r="E35" i="3"/>
  <c r="E86" i="3"/>
  <c r="E34" i="3"/>
  <c r="E49" i="3"/>
  <c r="E206" i="3"/>
  <c r="E232" i="3"/>
  <c r="E289" i="3"/>
  <c r="E340" i="3"/>
  <c r="E364" i="3"/>
  <c r="E102" i="3"/>
  <c r="E20" i="3"/>
  <c r="E62" i="3"/>
  <c r="E176" i="3"/>
  <c r="E218" i="3"/>
  <c r="E265" i="3"/>
  <c r="E365" i="3"/>
  <c r="E524" i="3"/>
  <c r="E22" i="3"/>
  <c r="E83"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9" i="1"/>
  <c r="AO12" i="1"/>
  <c r="AO10" i="1"/>
  <c r="AO7" i="1"/>
  <c r="AO11" i="1"/>
  <c r="AO6" i="1"/>
  <c r="AO8"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I4" i="52"/>
  <c r="C105" i="9"/>
  <c r="C104" i="9"/>
  <c r="H4" i="52"/>
  <c r="P57" i="9"/>
  <c r="N58" i="9"/>
  <c r="N61" i="9"/>
  <c r="N60" i="9"/>
  <c r="N59" i="9"/>
  <c r="M48" i="9"/>
  <c r="B47" i="72"/>
  <c r="D4" i="52"/>
  <c r="M54" i="9"/>
  <c r="B20" i="72"/>
  <c r="C81" i="9"/>
  <c r="E97" i="9"/>
  <c r="L64" i="9"/>
  <c r="M64" i="9"/>
  <c r="B53" i="72"/>
  <c r="C93" i="9"/>
  <c r="C86" i="9"/>
  <c r="D56" i="9"/>
  <c r="C78" i="9"/>
  <c r="C73" i="9"/>
  <c r="B49" i="72"/>
  <c r="D58" i="9"/>
  <c r="N69" i="9"/>
  <c r="B52" i="72"/>
  <c r="L66" i="9"/>
  <c r="M66" i="9"/>
  <c r="L68" i="9"/>
  <c r="M68" i="9"/>
  <c r="B31" i="72"/>
  <c r="L65" i="9"/>
  <c r="M65" i="9"/>
  <c r="E81" i="9"/>
  <c r="B51" i="72"/>
  <c r="B32" i="72"/>
  <c r="H119" i="9"/>
  <c r="H5" i="52"/>
  <c r="G4" i="52"/>
  <c r="F5" i="52"/>
  <c r="B48" i="72"/>
  <c r="B21" i="72"/>
  <c r="C68" i="9"/>
  <c r="D54" i="9"/>
  <c r="D5" i="53"/>
  <c r="D6" i="53"/>
  <c r="B22" i="72"/>
  <c r="C5" i="74"/>
  <c r="H102" i="9"/>
  <c r="D7" i="53"/>
  <c r="B30" i="72"/>
  <c r="D13" i="53"/>
  <c r="D14" i="53"/>
  <c r="C6" i="74"/>
  <c r="H108" i="9"/>
  <c r="D15" i="53"/>
  <c r="E4" i="52"/>
  <c r="D9" i="52"/>
  <c r="E118" i="9"/>
  <c r="D118" i="9"/>
  <c r="D119" i="9"/>
  <c r="D5" i="52"/>
  <c r="C97" i="9"/>
  <c r="D123" i="9"/>
  <c r="D122" i="9"/>
  <c r="D8" i="52"/>
  <c r="L67" i="9"/>
  <c r="M67" i="9"/>
  <c r="D55" i="9"/>
  <c r="M53" i="9"/>
  <c r="N57" i="9"/>
  <c r="C64" i="9"/>
  <c r="C63" i="9"/>
  <c r="C67" i="9"/>
  <c r="D59" i="9"/>
  <c r="M55" i="9"/>
  <c r="M69" i="9"/>
  <c r="C72" i="9"/>
  <c r="C79" i="9"/>
  <c r="C80" i="9"/>
  <c r="E80" i="9"/>
  <c r="F4" i="52"/>
  <c r="G118" i="9"/>
  <c r="F118" i="9"/>
  <c r="F119" i="9"/>
  <c r="H107" i="9"/>
  <c r="M49" i="9"/>
  <c r="L63" i="9"/>
  <c r="M63" i="9"/>
  <c r="C96" i="9"/>
  <c r="E96"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<sst xmlns="http://schemas.openxmlformats.org/spreadsheetml/2006/main" count="7805" uniqueCount="3410">
  <si>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</si>
  <si>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</si>
  <si>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</si>
  <si>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</si>
  <si>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</si>
  <si>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</si>
  <si>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</si>
  <si>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</si>
  <si>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</si>
  <si>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</si>
  <si>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</si>
  <si>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</si>
  <si>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</si>
  <si>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</si>
  <si>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</si>
  <si>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</si>
  <si>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</si>
  <si>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</si>
  <si>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</si>
  <si>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</si>
  <si>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</si>
  <si>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</si>
  <si>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</si>
  <si>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</si>
  <si>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</si>
  <si>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</si>
  <si>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</si>
  <si>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</si>
  <si>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</si>
  <si>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</si>
  <si>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</si>
  <si>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</si>
  <si>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</si>
  <si>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</si>
  <si>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</si>
  <si>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</si>
  <si>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</si>
  <si>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</si>
  <si>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</si>
  <si>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</si>
  <si>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</si>
  <si>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</si>
  <si>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</si>
  <si>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</si>
  <si>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</si>
  <si>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</si>
  <si>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</si>
  <si>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</si>
  <si>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</si>
  <si>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</si>
  <si>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</si>
  <si>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</si>
  <si>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</si>
  <si>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</si>
  <si>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</si>
  <si>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</si>
  <si>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</si>
  <si>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</si>
  <si>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</si>
  <si>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</si>
  <si>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</si>
  <si>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</si>
  <si>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</si>
  <si>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</si>
  <si>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</si>
  <si>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</si>
  <si>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</si>
  <si>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</si>
  <si>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</si>
  <si>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</si>
  <si>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</si>
  <si>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</si>
  <si>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</si>
  <si>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</si>
  <si>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</si>
  <si>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</si>
  <si>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</si>
  <si>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</si>
  <si>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</si>
  <si>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</si>
  <si>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</si>
  <si>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</si>
  <si>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</si>
  <si>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</si>
  <si>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</si>
  <si>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</si>
  <si>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</si>
  <si>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</si>
  <si>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</si>
  <si>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</si>
  <si>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</si>
  <si>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</si>
  <si>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</si>
  <si>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</si>
  <si>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</si>
  <si>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</si>
  <si>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</si>
  <si>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</si>
  <si>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</si>
  <si>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</si>
  <si>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</si>
  <si>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</si>
  <si>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</si>
  <si>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</si>
  <si>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</si>
  <si>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</si>
  <si>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</si>
  <si>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</si>
  <si>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</si>
  <si>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</si>
  <si>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</si>
  <si>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</si>
  <si>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</si>
  <si>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</si>
  <si>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</si>
  <si>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</si>
  <si>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</si>
  <si>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</si>
  <si>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</si>
  <si>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</si>
  <si>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</si>
  <si>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</si>
  <si>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</si>
  <si>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</si>
  <si>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</si>
  <si>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</si>
  <si>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</si>
  <si>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</si>
  <si>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</si>
  <si>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</si>
  <si>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</si>
  <si>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</si>
  <si>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</si>
  <si>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</si>
  <si>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</si>
  <si>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</si>
  <si>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</si>
  <si>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</si>
  <si>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</si>
  <si>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</si>
  <si>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</si>
  <si>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</si>
  <si>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</si>
  <si>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</si>
  <si>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</si>
  <si>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</si>
  <si>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</si>
  <si>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</si>
  <si>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</si>
  <si>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</si>
  <si>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</si>
  <si>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</si>
  <si>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</si>
  <si>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</si>
  <si>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</si>
  <si>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</si>
  <si>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</si>
  <si>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</si>
  <si>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</si>
  <si>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</si>
  <si>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</si>
  <si>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</si>
  <si>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</si>
  <si>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</si>
  <si>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</si>
  <si>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</si>
  <si>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</si>
  <si>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</si>
  <si>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</si>
  <si>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</si>
  <si>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</si>
  <si>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</si>
  <si>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</si>
  <si>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</si>
  <si>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</si>
  <si>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</si>
  <si>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</si>
  <si>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</si>
  <si>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</si>
  <si>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</si>
  <si>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</si>
  <si>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</si>
  <si>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</si>
  <si>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</si>
  <si>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</si>
  <si>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</si>
  <si>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</si>
  <si>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</si>
  <si>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</si>
  <si>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</si>
  <si>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</si>
  <si>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</si>
  <si>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</si>
  <si>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</si>
  <si>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</si>
  <si>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</si>
  <si>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</si>
  <si>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</si>
  <si>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</si>
  <si>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</si>
  <si>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</si>
  <si>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</si>
  <si>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</si>
  <si>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</si>
  <si>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</si>
  <si>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</si>
  <si>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</si>
  <si>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</si>
  <si>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</si>
  <si>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</si>
  <si>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</si>
  <si>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</si>
  <si>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</si>
  <si>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</si>
  <si>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</si>
  <si>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</si>
  <si>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</si>
  <si>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</si>
  <si>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</si>
  <si>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</si>
  <si>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</si>
  <si>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</si>
  <si>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</si>
  <si>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</si>
  <si>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</si>
  <si>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</si>
  <si>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</si>
  <si>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</si>
  <si>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</si>
  <si>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</si>
  <si>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</si>
  <si>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</si>
  <si>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</si>
  <si>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</si>
  <si>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</si>
  <si>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</si>
  <si>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</si>
  <si>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</si>
  <si>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</si>
  <si>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</si>
  <si>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</si>
  <si>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</si>
  <si>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</si>
  <si>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</si>
  <si>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</si>
  <si>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</si>
  <si>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</si>
  <si>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</si>
  <si>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</si>
  <si>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</si>
  <si>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</si>
  <si>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</si>
  <si>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</si>
  <si>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</si>
  <si>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</si>
  <si>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</si>
  <si>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</si>
  <si>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</si>
  <si>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</si>
  <si>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</si>
  <si>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</si>
  <si>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</si>
  <si>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</si>
  <si>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</si>
  <si>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</si>
  <si>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</si>
  <si>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</si>
  <si>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</si>
  <si>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</si>
  <si>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</si>
  <si>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</si>
  <si>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</si>
  <si>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</si>
  <si>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</si>
  <si>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</si>
  <si>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</si>
  <si>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</si>
  <si>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</si>
  <si>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</si>
  <si>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</si>
  <si>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</si>
  <si>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</si>
  <si>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</si>
  <si>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</si>
  <si>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</si>
  <si>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</si>
  <si>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</si>
  <si>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</si>
  <si>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</si>
  <si>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</si>
  <si>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</si>
  <si>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</si>
  <si>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</si>
  <si>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</si>
  <si>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</si>
  <si>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</si>
  <si>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</si>
  <si>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</si>
  <si>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</si>
  <si>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</si>
  <si>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</si>
  <si>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</si>
  <si>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</si>
  <si>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</si>
  <si>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</si>
  <si>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</si>
  <si>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</si>
  <si>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</si>
  <si>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</si>
  <si>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</si>
  <si>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</si>
  <si>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</si>
  <si>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</si>
  <si>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</si>
  <si>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</si>
  <si>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</si>
  <si>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</si>
  <si>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</si>
  <si>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</si>
  <si>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</si>
  <si>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</si>
  <si>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</si>
  <si>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</si>
  <si>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</si>
  <si>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</si>
  <si>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</si>
  <si>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</si>
  <si>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</si>
  <si>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</si>
  <si>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</si>
  <si>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</si>
  <si>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</si>
  <si>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</si>
  <si>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</si>
  <si>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</si>
  <si>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</si>
  <si>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</si>
  <si>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</si>
  <si>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</si>
  <si>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</si>
  <si>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</si>
  <si>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</si>
  <si>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</si>
  <si>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</si>
  <si>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</si>
  <si>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</si>
  <si>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</si>
  <si>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</si>
  <si>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</si>
  <si>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</si>
  <si>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</si>
  <si>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</si>
  <si>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</si>
  <si>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</si>
  <si>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</si>
  <si>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</si>
  <si>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</si>
  <si>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</si>
  <si>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</si>
  <si>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</si>
  <si>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</si>
  <si>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</si>
  <si>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</si>
  <si>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</si>
  <si>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</si>
  <si>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</si>
  <si>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</si>
  <si>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</si>
  <si>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</si>
  <si>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</si>
  <si>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</si>
  <si>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</si>
  <si>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</si>
  <si>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</si>
  <si>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</si>
  <si>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</si>
  <si>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</si>
  <si>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</si>
  <si>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</si>
  <si>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</si>
  <si>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</si>
  <si>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</si>
  <si>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</si>
  <si>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</si>
  <si>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</si>
  <si>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</si>
  <si>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</si>
  <si>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</si>
  <si>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</si>
  <si>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</si>
  <si>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</si>
  <si>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</si>
  <si>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</si>
  <si>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</si>
  <si>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</si>
  <si>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</si>
  <si>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</si>
  <si>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</si>
  <si>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</si>
  <si>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</si>
  <si>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</si>
  <si>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</si>
  <si>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</si>
  <si>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</si>
  <si>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</si>
  <si>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</si>
  <si>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</si>
  <si>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</si>
  <si>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</si>
  <si>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</si>
  <si>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</si>
  <si>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</si>
  <si>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</si>
  <si>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</si>
  <si>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</si>
  <si>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</si>
  <si>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</si>
  <si>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</si>
  <si>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</si>
  <si>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</si>
  <si>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</si>
  <si>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</si>
  <si>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</si>
  <si>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</si>
  <si>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</si>
  <si>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</si>
  <si>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</si>
  <si>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</si>
  <si>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</si>
  <si>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</si>
  <si>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</si>
  <si>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</si>
  <si>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</si>
  <si>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</si>
  <si>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</si>
  <si>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</si>
  <si>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</si>
  <si>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</si>
  <si>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</si>
  <si>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</si>
  <si>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</si>
  <si>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</si>
  <si>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</si>
  <si>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</si>
  <si>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</si>
  <si>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</si>
  <si>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</si>
  <si>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</si>
  <si>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</si>
  <si>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</si>
  <si>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</si>
  <si>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</si>
  <si>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</si>
  <si>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</si>
  <si>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</si>
  <si>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</si>
  <si>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</si>
  <si>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</si>
  <si>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</si>
  <si>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</si>
  <si>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</si>
  <si>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</si>
  <si>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</si>
  <si>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</si>
  <si>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</si>
  <si>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</si>
  <si>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</si>
  <si>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</si>
  <si>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</si>
  <si>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</si>
  <si>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</si>
  <si>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</si>
  <si>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</si>
  <si>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</si>
  <si>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</si>
  <si>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</si>
  <si>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</si>
  <si>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</si>
  <si>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</si>
  <si>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</si>
  <si>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</si>
  <si>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</si>
  <si>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</si>
  <si>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</si>
  <si>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</si>
  <si>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</si>
  <si>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</si>
  <si>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</si>
  <si>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</si>
  <si>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</si>
  <si>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</si>
  <si>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</si>
  <si>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</si>
  <si>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</si>
  <si>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</si>
  <si>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</si>
  <si>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</si>
  <si>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</si>
  <si>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</si>
  <si>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</si>
  <si>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</si>
  <si>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</si>
  <si>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</si>
  <si>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</si>
  <si>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</si>
  <si>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</si>
  <si>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</si>
  <si>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</si>
  <si>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</si>
  <si>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</si>
  <si>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</si>
  <si>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</si>
  <si>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</si>
  <si>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</si>
  <si>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</si>
  <si>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</si>
  <si>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</si>
  <si>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</si>
  <si>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</si>
  <si>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</si>
  <si>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</si>
  <si>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</si>
  <si>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</si>
  <si>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</si>
  <si>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</si>
  <si>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</si>
  <si>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</si>
  <si>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</si>
  <si>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</si>
  <si>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</si>
  <si>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</si>
  <si>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</si>
  <si>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</si>
  <si>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</si>
  <si>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</si>
  <si>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</si>
  <si>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</si>
  <si>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</si>
  <si>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</si>
  <si>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</si>
  <si>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</si>
  <si>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</si>
  <si>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</si>
  <si>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</si>
  <si>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</si>
  <si>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</si>
  <si>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</si>
  <si>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</si>
  <si>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</si>
  <si>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</si>
  <si>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</si>
  <si>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</si>
  <si>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</si>
  <si>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</si>
  <si>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</si>
  <si>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</si>
  <si>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</si>
  <si>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</si>
  <si>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</si>
  <si>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</si>
  <si>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</si>
  <si>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</si>
  <si>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</si>
  <si>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</si>
  <si>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</si>
  <si>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</si>
  <si>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</si>
  <si>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</si>
  <si>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</si>
  <si>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</si>
  <si>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</si>
  <si>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</si>
  <si>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</si>
  <si>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</si>
  <si>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</si>
  <si>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</si>
  <si>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</si>
  <si>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</si>
  <si>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</si>
  <si>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</si>
  <si>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</si>
  <si>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</si>
  <si>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</si>
  <si>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</si>
  <si>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</si>
  <si>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</si>
  <si>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</si>
  <si>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</si>
  <si>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</si>
  <si>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</si>
  <si>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</si>
  <si>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</si>
  <si>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</si>
  <si>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</si>
  <si>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</si>
  <si>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</si>
  <si>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</si>
  <si>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</si>
  <si>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</si>
  <si>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</si>
  <si>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</si>
  <si>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</si>
  <si>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</si>
  <si>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</si>
  <si>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</si>
  <si>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</si>
  <si>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</si>
  <si>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</si>
  <si>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</si>
  <si>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</si>
  <si>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</si>
  <si>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</si>
  <si>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</si>
  <si>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</si>
  <si>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</si>
  <si>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</si>
  <si>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</si>
  <si>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</si>
  <si>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</si>
  <si>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</si>
  <si>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</si>
  <si>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</si>
  <si>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</si>
  <si>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</si>
  <si>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</si>
  <si>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</si>
  <si>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</si>
  <si>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</si>
  <si>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</si>
  <si>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</si>
  <si>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</si>
  <si>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</si>
  <si>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</si>
  <si>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</si>
  <si>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</si>
  <si>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</si>
  <si>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</si>
  <si>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</si>
  <si>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</si>
  <si>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</si>
  <si>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</si>
  <si>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</si>
  <si>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</si>
  <si>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</si>
  <si>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</si>
  <si>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</si>
  <si>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</si>
  <si>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</si>
  <si>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</si>
  <si>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</si>
  <si>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</si>
  <si>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</si>
  <si>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</si>
  <si>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</si>
  <si>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</si>
  <si>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</si>
  <si>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</si>
  <si>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</si>
  <si>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</si>
  <si>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</si>
  <si>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</si>
  <si>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</si>
  <si>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</si>
  <si>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</si>
  <si>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</si>
  <si>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</si>
  <si>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</si>
  <si>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</si>
  <si>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</si>
  <si>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</si>
  <si>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</si>
  <si>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</si>
  <si>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</si>
  <si>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</si>
  <si>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</si>
  <si>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</si>
  <si>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</si>
  <si>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</si>
  <si>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</si>
  <si>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</si>
  <si>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</si>
  <si>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</si>
  <si>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</si>
  <si>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</si>
  <si>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</si>
  <si>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</si>
  <si>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</si>
  <si>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</si>
  <si>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</si>
  <si>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</si>
  <si>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</si>
  <si>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</si>
  <si>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</si>
  <si>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</si>
  <si>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</si>
  <si>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</si>
  <si>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</si>
  <si>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</si>
  <si>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</si>
  <si>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</si>
  <si>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</si>
  <si>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</si>
  <si>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</si>
  <si>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</si>
  <si>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</si>
  <si>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</si>
  <si>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</si>
  <si>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</si>
  <si>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</si>
  <si>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</si>
  <si>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</si>
  <si>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</si>
  <si>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</si>
  <si>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</si>
  <si>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</si>
  <si>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</si>
  <si>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</si>
  <si>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</si>
  <si>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</si>
  <si>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</si>
  <si>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</si>
  <si>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</si>
  <si>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</si>
  <si>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</si>
  <si>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</si>
  <si>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</si>
  <si>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</si>
  <si>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</si>
  <si>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</si>
  <si>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</si>
  <si>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</si>
  <si>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</si>
  <si>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</si>
  <si>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</si>
  <si>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</si>
  <si>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</si>
  <si>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</si>
  <si>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</si>
  <si>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</si>
  <si>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</si>
  <si>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</si>
  <si>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</si>
  <si>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</si>
  <si>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</si>
  <si>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</si>
  <si>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</si>
  <si>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</si>
  <si>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</si>
  <si>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</si>
  <si>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</si>
  <si>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</si>
  <si>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</si>
  <si>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</si>
  <si>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</si>
  <si>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</si>
  <si>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</si>
  <si>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</si>
  <si>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</si>
  <si>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</si>
  <si>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</si>
  <si>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</si>
  <si>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</si>
  <si>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</si>
  <si>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</si>
  <si>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</si>
  <si>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</si>
  <si>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</si>
  <si>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</si>
  <si>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</si>
  <si>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</si>
  <si>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</si>
  <si>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</si>
  <si>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</si>
  <si>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</si>
  <si>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</si>
  <si>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</si>
  <si>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</si>
  <si>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</si>
  <si>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</si>
  <si>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</si>
  <si>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</si>
  <si>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</si>
  <si>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</si>
  <si>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</si>
  <si>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</si>
  <si>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</si>
  <si>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</si>
  <si>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</si>
  <si>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</si>
  <si>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</si>
  <si>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</si>
  <si>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</si>
  <si>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</si>
  <si>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</si>
  <si>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</si>
  <si>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</si>
  <si>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</si>
  <si>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</si>
  <si>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</si>
  <si>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</si>
  <si>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</si>
  <si>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</si>
  <si>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</si>
  <si>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</si>
  <si>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</si>
  <si>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</si>
  <si>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</si>
  <si>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</si>
  <si>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</si>
  <si>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</si>
  <si>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</si>
  <si>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</si>
  <si>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</si>
  <si>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</si>
  <si>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</si>
  <si>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</si>
  <si>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</si>
  <si>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</si>
  <si>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</si>
  <si>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</si>
  <si>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</si>
  <si>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</si>
  <si>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</si>
  <si>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</si>
  <si>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</si>
  <si>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</si>
  <si>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</si>
  <si>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</si>
  <si>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</si>
  <si>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</si>
  <si>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</si>
  <si>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</si>
  <si>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</si>
  <si>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</si>
  <si>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</si>
  <si>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</si>
  <si>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</si>
  <si>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</si>
  <si>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</si>
  <si>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</si>
  <si>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</si>
  <si>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</si>
  <si>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</si>
  <si>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</si>
  <si>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</si>
  <si>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</si>
  <si>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</si>
  <si>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</si>
  <si>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</si>
  <si>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</si>
  <si>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</si>
  <si>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</si>
  <si>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</si>
  <si>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</si>
  <si>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</si>
  <si>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</si>
  <si>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</si>
  <si>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</si>
  <si>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</si>
  <si>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</si>
  <si>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</si>
  <si>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</si>
  <si>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</si>
  <si>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</si>
  <si>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</si>
  <si>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</si>
  <si>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</si>
  <si>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</si>
  <si>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</si>
  <si>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</si>
  <si>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</si>
  <si>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</si>
  <si>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</si>
  <si>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</si>
  <si>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</si>
  <si>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</si>
  <si>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</si>
  <si>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</si>
  <si>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</si>
  <si>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</si>
  <si>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</si>
  <si>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</si>
  <si>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</si>
  <si>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</si>
  <si>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</si>
  <si>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</si>
  <si>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</si>
  <si>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</si>
  <si>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</si>
  <si>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</si>
  <si>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</si>
  <si>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</si>
  <si>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</si>
  <si>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</si>
  <si>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</si>
  <si>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</si>
  <si>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</si>
  <si>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</si>
  <si>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</si>
  <si>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</si>
  <si>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</si>
  <si>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</si>
  <si>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</si>
  <si>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</si>
  <si>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</si>
  <si>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</si>
  <si>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</si>
  <si>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</si>
  <si>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</si>
  <si>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</si>
  <si>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</si>
  <si>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</si>
  <si>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</si>
  <si>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</si>
  <si>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</si>
  <si>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</si>
  <si>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</si>
  <si>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</si>
  <si>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</si>
  <si>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</si>
  <si>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</si>
  <si>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</si>
  <si>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</si>
  <si>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</si>
  <si>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</si>
  <si>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</si>
  <si>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</si>
  <si>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</si>
  <si>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</si>
  <si>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</si>
  <si>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</si>
  <si>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</si>
  <si>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</si>
  <si>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</si>
  <si>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</si>
  <si>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</si>
  <si>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</si>
  <si>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</si>
  <si>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</si>
  <si>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</si>
  <si>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</si>
  <si>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</si>
  <si>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</si>
  <si>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</si>
  <si>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</si>
  <si>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</si>
  <si>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</si>
  <si>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</si>
  <si>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</si>
  <si>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</si>
  <si>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</si>
  <si>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</si>
  <si>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</si>
  <si>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</si>
  <si>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</si>
  <si>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</si>
  <si>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</si>
  <si>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</si>
  <si>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</si>
  <si>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</si>
  <si>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</si>
  <si>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</si>
  <si>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</si>
  <si>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</si>
  <si>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</si>
  <si>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</si>
  <si>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</si>
  <si>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</si>
  <si>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</si>
  <si>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</si>
  <si>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</si>
  <si>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</si>
  <si>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</si>
  <si>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</si>
  <si>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</si>
  <si>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</si>
  <si>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</si>
  <si>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</si>
  <si>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</si>
  <si>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</si>
  <si>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</si>
  <si>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</si>
  <si>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</si>
  <si>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</si>
  <si>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</si>
  <si>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</si>
  <si>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</si>
  <si>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</si>
  <si>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</si>
  <si>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</si>
  <si>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</si>
  <si>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</si>
  <si>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</si>
  <si>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</si>
  <si>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</si>
  <si>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</si>
  <si>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</si>
  <si>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</si>
  <si>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</si>
  <si>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</si>
  <si>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</si>
  <si>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</si>
  <si>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</si>
  <si>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</si>
  <si>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</si>
  <si>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</si>
  <si>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</si>
  <si>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</si>
  <si>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</si>
  <si>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</si>
  <si>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</si>
  <si>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</si>
  <si>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</si>
  <si>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</si>
  <si>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</si>
  <si>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</si>
  <si>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</si>
  <si>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</si>
  <si>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</si>
  <si>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</si>
  <si>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</si>
  <si>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</si>
  <si>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</si>
  <si>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</si>
  <si>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</si>
  <si>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</si>
  <si>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</si>
  <si>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</si>
  <si>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</si>
  <si>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</si>
  <si>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</si>
  <si>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</si>
  <si>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</si>
  <si>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</si>
  <si>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</si>
  <si>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</si>
  <si>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</si>
  <si>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</si>
  <si>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</si>
  <si>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</si>
  <si>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</si>
  <si>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</si>
  <si>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</si>
  <si>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</si>
  <si>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</si>
  <si>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</si>
  <si>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</si>
  <si>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</si>
  <si>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</si>
  <si>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</si>
  <si>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</si>
  <si>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</si>
  <si>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</si>
  <si>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</si>
  <si>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</si>
  <si>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</si>
  <si>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</si>
  <si>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</si>
  <si>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</si>
  <si>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</si>
  <si>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</si>
  <si>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</si>
  <si>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</si>
  <si>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</si>
  <si>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</si>
  <si>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</si>
  <si>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</si>
  <si>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</si>
  <si>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</si>
  <si>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</si>
  <si>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</si>
  <si>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</si>
  <si>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</si>
  <si>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</si>
  <si>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</si>
  <si>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</si>
  <si>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</si>
  <si>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</si>
  <si>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</si>
  <si>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</si>
  <si>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</si>
  <si>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</si>
  <si>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</si>
  <si>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</si>
  <si>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</si>
  <si>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</si>
  <si>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</si>
  <si>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</si>
  <si>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</si>
  <si>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</si>
  <si>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</si>
  <si>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</si>
  <si>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</si>
  <si>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</si>
  <si>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</si>
  <si>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</si>
  <si>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</si>
  <si>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</si>
  <si>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</si>
  <si>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</si>
  <si>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</si>
  <si>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</si>
  <si>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</si>
  <si>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</si>
  <si>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</si>
  <si>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</si>
  <si>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</si>
  <si>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</si>
  <si>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</si>
  <si>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</si>
  <si>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</si>
  <si>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</si>
  <si>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</si>
  <si>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</si>
  <si>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</si>
  <si>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</si>
  <si>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</si>
  <si>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</si>
  <si>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</si>
  <si>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</si>
  <si>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</si>
  <si>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</si>
  <si>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</si>
  <si>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</si>
  <si>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</si>
  <si>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</si>
  <si>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</si>
  <si>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</si>
  <si>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</si>
  <si>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</si>
  <si>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</si>
  <si>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</si>
  <si>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</si>
  <si>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</si>
  <si>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</si>
  <si>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</si>
  <si>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</si>
  <si>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</si>
  <si>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</si>
  <si>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</si>
  <si>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</si>
  <si>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</si>
  <si>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</si>
  <si>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</si>
  <si>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</si>
  <si>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</si>
  <si>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</si>
  <si>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</si>
  <si>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</si>
  <si>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</si>
  <si>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</si>
  <si>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</si>
  <si>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</si>
  <si>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</si>
  <si>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</si>
  <si>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</si>
  <si>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</si>
  <si>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</si>
  <si>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</si>
  <si>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</si>
  <si>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</si>
  <si>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</si>
  <si>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</si>
  <si>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</si>
  <si>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</si>
  <si>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</si>
  <si>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</si>
  <si>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</si>
  <si>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</si>
  <si>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</si>
  <si>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</si>
  <si>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</si>
  <si>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</si>
  <si>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</si>
  <si>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</si>
  <si>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</si>
  <si>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</si>
  <si>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</si>
  <si>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</si>
  <si>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</si>
  <si>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</si>
  <si>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</si>
  <si>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</si>
  <si>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</si>
  <si>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</si>
  <si>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</si>
  <si>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</si>
  <si>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</si>
  <si>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</si>
  <si>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</si>
  <si>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</si>
  <si>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</si>
  <si>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</si>
  <si>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</si>
  <si>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</si>
  <si>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</si>
  <si>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</si>
  <si>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</si>
  <si>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</si>
  <si>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</si>
  <si>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</si>
  <si>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</si>
  <si>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</si>
  <si>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</si>
  <si>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</si>
  <si>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</si>
  <si>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</si>
  <si>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</si>
  <si>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</si>
  <si>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</si>
  <si>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</si>
  <si>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</si>
  <si>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</si>
  <si>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</si>
  <si>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</si>
  <si>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</si>
  <si>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</si>
  <si>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</si>
  <si>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</si>
  <si>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</si>
  <si>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</si>
  <si>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</si>
  <si>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</si>
  <si>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</si>
  <si>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</si>
  <si>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</si>
  <si>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</si>
  <si>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</si>
  <si>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</si>
  <si>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</si>
  <si>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</si>
  <si>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</si>
  <si>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</si>
  <si>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</si>
  <si>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</si>
  <si>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</si>
  <si>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</si>
  <si>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</si>
  <si>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</si>
  <si>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</si>
  <si>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</si>
  <si>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</si>
  <si>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</si>
  <si>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</si>
  <si>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</si>
  <si>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</si>
  <si>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</si>
  <si>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</si>
  <si>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</si>
  <si>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</si>
  <si>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</si>
  <si>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</si>
  <si>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</si>
  <si>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</si>
  <si>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</si>
  <si>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</si>
  <si>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</si>
  <si>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</si>
  <si>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</si>
  <si>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</si>
  <si>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</si>
  <si>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</si>
  <si>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</si>
  <si>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</si>
  <si>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</si>
  <si>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</si>
  <si>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</si>
  <si>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</si>
  <si>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</si>
  <si>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</si>
  <si>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</si>
  <si>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</si>
  <si>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</si>
  <si>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</si>
  <si>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</si>
  <si>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</si>
  <si>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</si>
  <si>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</si>
  <si>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</si>
  <si>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</si>
  <si>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</si>
  <si>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</si>
  <si>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</si>
  <si>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</si>
  <si>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</si>
  <si>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</si>
  <si>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</si>
  <si>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</si>
  <si>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</si>
  <si>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</si>
  <si>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</si>
  <si>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</si>
  <si>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</si>
  <si>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</si>
  <si>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</si>
  <si>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</si>
  <si>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</si>
  <si>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</si>
  <si>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</si>
  <si>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</si>
  <si>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</si>
  <si>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</si>
  <si>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</si>
  <si>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</si>
  <si>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</si>
  <si>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</si>
  <si>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</si>
  <si>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</si>
  <si>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</si>
  <si>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</si>
  <si>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</si>
  <si>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</si>
  <si>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</si>
  <si>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</si>
  <si>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</si>
  <si>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</si>
  <si>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</si>
  <si>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</si>
  <si>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</si>
  <si>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</si>
  <si>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</si>
  <si>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</si>
  <si>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</si>
  <si>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</si>
  <si>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</si>
  <si>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</si>
  <si>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</si>
  <si>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</si>
  <si>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</si>
  <si>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</si>
  <si>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</si>
  <si>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</si>
  <si>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</si>
  <si>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</si>
  <si>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</si>
  <si>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</si>
  <si>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</si>
  <si>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</si>
  <si>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</si>
  <si>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</si>
  <si>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</si>
  <si>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</si>
  <si>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</si>
  <si>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</si>
  <si>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</si>
  <si>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</si>
  <si>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</si>
  <si>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</si>
  <si>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</si>
  <si>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</si>
  <si>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</si>
  <si>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</si>
  <si>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</si>
  <si>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</si>
  <si>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</si>
  <si>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</si>
  <si>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</si>
  <si>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</si>
  <si>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</si>
  <si>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</si>
  <si>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</si>
  <si>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</si>
  <si>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</si>
  <si>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</si>
  <si>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</si>
  <si>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</si>
  <si>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</si>
  <si>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</si>
  <si>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</si>
  <si>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</si>
  <si>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</si>
  <si>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</si>
  <si>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</si>
  <si>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</si>
  <si>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</si>
  <si>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</si>
  <si>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</si>
  <si>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</si>
  <si>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</si>
  <si>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</si>
  <si>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</si>
  <si>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</si>
  <si>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</si>
  <si>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</si>
  <si>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</si>
  <si>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</si>
  <si>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</si>
  <si>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</si>
  <si>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</si>
  <si>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</si>
  <si>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</si>
  <si>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</si>
  <si>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</si>
  <si>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</si>
  <si>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</si>
  <si>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</si>
  <si>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</si>
  <si>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</si>
  <si>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</si>
  <si>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</si>
  <si>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</si>
  <si>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</si>
  <si>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</si>
  <si>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</si>
  <si>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</si>
  <si>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</si>
  <si>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</si>
  <si>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</si>
  <si>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</si>
  <si>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</si>
  <si>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</si>
  <si>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</si>
  <si>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</si>
  <si>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</si>
  <si>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</si>
  <si>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</si>
  <si>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</si>
  <si>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</si>
  <si>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</si>
  <si>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</si>
  <si>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</si>
  <si>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</si>
  <si>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</si>
  <si>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</si>
  <si>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</si>
  <si>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</si>
  <si>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</si>
  <si>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</si>
  <si>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</si>
  <si>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</si>
  <si>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</si>
  <si>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</si>
  <si>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</si>
  <si>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</si>
  <si>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</si>
  <si>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</si>
  <si>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</si>
  <si>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</si>
  <si>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</si>
  <si>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</si>
  <si>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</si>
  <si>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</si>
  <si>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</si>
  <si>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</si>
  <si>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</si>
  <si>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</si>
  <si>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</si>
  <si>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</si>
  <si>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</si>
  <si>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</si>
  <si>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</si>
  <si>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</si>
  <si>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</si>
  <si>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</si>
  <si>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</si>
  <si>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</si>
  <si>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</si>
  <si>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</si>
  <si>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</si>
  <si>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</si>
  <si>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</si>
  <si>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</si>
  <si>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</si>
  <si>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</si>
  <si>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</si>
  <si>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</si>
  <si>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</si>
  <si>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</si>
  <si>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</si>
  <si>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</si>
  <si>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</si>
  <si>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</si>
  <si>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</si>
  <si>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</si>
  <si>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</si>
  <si>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</si>
  <si>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</si>
  <si>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</si>
  <si>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</si>
  <si>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</si>
  <si>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</si>
  <si>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</si>
  <si>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</si>
  <si>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</si>
  <si>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</si>
  <si>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</si>
  <si>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</si>
  <si>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</si>
  <si>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</si>
  <si>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</si>
  <si>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</si>
  <si>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</si>
  <si>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</si>
  <si>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</si>
  <si>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</si>
  <si>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</si>
  <si>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</si>
  <si>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</si>
  <si>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</si>
  <si>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</si>
  <si>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</si>
  <si>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</si>
  <si>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</si>
  <si>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</si>
  <si>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</si>
  <si>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</si>
  <si>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</si>
  <si>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</si>
  <si>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</si>
  <si>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</si>
  <si>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</si>
  <si>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</si>
  <si>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</si>
  <si>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</si>
  <si>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</si>
  <si>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</si>
  <si>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</si>
  <si>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</si>
  <si>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</si>
  <si>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</si>
  <si>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</si>
  <si>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</si>
  <si>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</si>
  <si>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</si>
  <si>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</si>
  <si>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</si>
  <si>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</si>
  <si>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</si>
  <si>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</si>
  <si>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</si>
  <si>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</si>
  <si>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</si>
  <si>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</si>
  <si>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</si>
  <si>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</si>
  <si>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</si>
  <si>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</si>
  <si>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</si>
  <si>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</si>
  <si>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</si>
  <si>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</si>
  <si>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</si>
  <si>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</si>
  <si>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</si>
  <si>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</si>
  <si>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</si>
  <si>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</si>
  <si>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</si>
  <si>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</si>
  <si>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</si>
  <si>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</si>
  <si>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</si>
  <si>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</si>
  <si>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</si>
  <si>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</si>
  <si>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</si>
  <si>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</si>
  <si>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</si>
  <si>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</si>
  <si>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</si>
  <si>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</si>
  <si>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</si>
  <si>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</si>
  <si>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</si>
  <si>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</si>
  <si>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</si>
  <si>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</si>
  <si>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</si>
  <si>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</si>
  <si>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</si>
  <si>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</si>
  <si>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</si>
  <si>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</si>
  <si>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</si>
  <si>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</si>
  <si>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</si>
  <si>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</si>
  <si>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</si>
  <si>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</si>
  <si>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</si>
  <si>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</si>
  <si>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</si>
  <si>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</si>
  <si>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</si>
  <si>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</si>
  <si>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</si>
  <si>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</si>
  <si>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</si>
  <si>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</si>
  <si>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</si>
  <si>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</si>
  <si>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</si>
  <si>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</si>
  <si>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</si>
  <si>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</si>
  <si>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</si>
  <si>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</si>
  <si>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</si>
  <si>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</si>
  <si>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</si>
  <si>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</si>
  <si>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</si>
  <si>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</si>
  <si>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</si>
  <si>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</si>
  <si>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</si>
  <si>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</si>
  <si>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</si>
  <si>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</si>
  <si>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</si>
  <si>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</si>
  <si>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</si>
  <si>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</si>
  <si>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</si>
  <si>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</si>
  <si>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</si>
  <si>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</si>
  <si>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</si>
  <si>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</si>
  <si>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</si>
  <si>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</si>
  <si>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</si>
  <si>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</si>
  <si>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</si>
  <si>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</si>
  <si>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</si>
  <si>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</si>
  <si>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</si>
  <si>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</si>
  <si>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</si>
  <si>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</si>
  <si>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</si>
  <si>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</si>
  <si>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</si>
  <si>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</si>
  <si>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</si>
  <si>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</si>
  <si>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</si>
  <si>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</si>
  <si>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</si>
  <si>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</si>
  <si>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</si>
  <si>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</si>
  <si>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</si>
  <si>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</si>
  <si>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</si>
  <si>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</si>
  <si>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</si>
  <si>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</si>
  <si>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</si>
  <si>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</si>
  <si>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</si>
  <si>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</si>
  <si>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</si>
  <si>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</si>
  <si>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</si>
  <si>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</si>
  <si>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</si>
  <si>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</si>
  <si>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</si>
  <si>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</si>
  <si>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</si>
  <si>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</si>
  <si>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</si>
  <si>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</si>
  <si>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</si>
  <si>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</si>
  <si>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</si>
  <si>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</si>
  <si>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</si>
  <si>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</si>
  <si>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</si>
  <si>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</si>
  <si>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</si>
  <si>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</si>
  <si>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</si>
  <si>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</si>
  <si>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</si>
  <si>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</si>
  <si>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</si>
  <si>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</si>
  <si>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</si>
  <si>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</si>
  <si>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</si>
  <si>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</si>
  <si>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</si>
  <si>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</si>
  <si>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</si>
  <si>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</si>
  <si>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</si>
  <si>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</si>
  <si>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</si>
  <si>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</si>
  <si>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</si>
  <si>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</si>
  <si>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</si>
  <si>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</si>
  <si>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</si>
  <si>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</si>
  <si>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</si>
  <si>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</si>
  <si>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</si>
  <si>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</si>
  <si>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</si>
  <si>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</si>
  <si>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</si>
  <si>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</si>
  <si>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</si>
  <si>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</si>
  <si>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</si>
  <si>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</si>
  <si>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</si>
  <si>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</si>
  <si>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</si>
  <si>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</si>
  <si>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</si>
  <si>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</si>
  <si>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</si>
  <si>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</si>
  <si>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</si>
  <si>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</si>
  <si>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</si>
  <si>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</si>
  <si>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</si>
  <si>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</si>
  <si>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</si>
  <si>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</si>
  <si>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</si>
  <si>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</si>
  <si>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</si>
  <si>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</si>
  <si>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</si>
  <si>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</si>
  <si>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</si>
  <si>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</si>
  <si>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</si>
  <si>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</si>
  <si>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</si>
  <si>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</si>
  <si>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</si>
  <si>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</si>
  <si>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</si>
  <si>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</si>
  <si>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</si>
  <si>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</si>
  <si>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</si>
  <si>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</si>
  <si>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</si>
  <si>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</si>
  <si>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</si>
  <si>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</si>
  <si>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</si>
  <si>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</si>
  <si>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</si>
  <si>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</si>
  <si>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</si>
  <si>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</si>
  <si>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</si>
  <si>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</si>
  <si>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</si>
  <si>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</si>
  <si>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</si>
  <si>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</si>
  <si>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</si>
  <si>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</si>
  <si>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</si>
  <si>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</si>
  <si>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</si>
  <si>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</si>
  <si>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</si>
  <si>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</si>
  <si>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</si>
  <si>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</si>
  <si>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</si>
  <si>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</si>
  <si>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</si>
  <si>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</si>
  <si>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</si>
  <si>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</si>
  <si>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</si>
  <si>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</si>
  <si>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</si>
  <si>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</si>
  <si>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</si>
  <si>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</si>
  <si>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</si>
  <si>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</si>
  <si>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</si>
  <si>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</si>
  <si>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</si>
  <si>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</si>
  <si>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</si>
  <si>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</si>
  <si>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</si>
  <si>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</si>
  <si>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</si>
  <si>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</si>
  <si>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</si>
  <si>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</si>
  <si>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</si>
  <si>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</si>
  <si>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</si>
  <si>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</si>
  <si>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</si>
  <si>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</si>
  <si>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</si>
  <si>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</si>
  <si>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</si>
  <si>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</si>
  <si>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</si>
  <si>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</si>
  <si>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</si>
  <si>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</si>
  <si>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</si>
  <si>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</si>
  <si>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</si>
  <si>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</si>
  <si>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</si>
  <si>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</si>
  <si>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</si>
  <si>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</si>
  <si>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</si>
  <si>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</si>
  <si>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</si>
  <si>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</si>
  <si>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</si>
  <si>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</si>
  <si>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</si>
  <si>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</si>
  <si>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</si>
  <si>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</si>
  <si>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</si>
  <si>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</si>
  <si>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</si>
  <si>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</si>
  <si>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</si>
  <si>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</si>
  <si>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</si>
  <si>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</si>
  <si>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</si>
  <si>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</si>
  <si>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</si>
  <si>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</si>
  <si>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</si>
  <si>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</si>
  <si>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</si>
  <si>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</si>
  <si>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</si>
  <si>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</si>
  <si>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</si>
  <si>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</si>
  <si>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</si>
  <si>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</si>
  <si>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</si>
  <si>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</si>
  <si>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</si>
  <si>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</si>
  <si>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</si>
  <si>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</si>
  <si>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</si>
  <si>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</si>
  <si>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</si>
  <si>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</si>
  <si>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</si>
  <si>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</si>
  <si>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</si>
  <si>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</si>
  <si>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</si>
  <si>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</si>
  <si>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</si>
  <si>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</si>
  <si>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</si>
  <si>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</si>
  <si>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</si>
  <si>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</si>
  <si>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</si>
  <si>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</si>
  <si>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</si>
  <si>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</si>
  <si>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</si>
  <si>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</si>
  <si>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</si>
  <si>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</si>
  <si>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</si>
  <si>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</si>
  <si>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</si>
  <si>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</si>
  <si>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</si>
  <si>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</si>
  <si>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</si>
  <si>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</si>
  <si>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</si>
  <si>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</si>
  <si>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</si>
  <si>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</si>
  <si>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</si>
  <si>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</si>
  <si>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</si>
  <si>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</si>
  <si>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</si>
  <si>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</si>
  <si>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</si>
  <si>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</si>
  <si>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</si>
  <si>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</si>
  <si>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</si>
  <si>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</si>
  <si>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</si>
  <si>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</si>
  <si>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</si>
  <si>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</si>
  <si>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</si>
  <si>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</si>
  <si>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</si>
  <si>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</si>
  <si>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</si>
  <si>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</si>
  <si>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</si>
  <si>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</si>
  <si>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</si>
  <si>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</si>
  <si>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</si>
  <si>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</si>
  <si>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</si>
  <si>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</si>
  <si>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</si>
  <si>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</si>
  <si>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</si>
  <si>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</si>
  <si>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</si>
  <si>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</si>
  <si>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</si>
  <si>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</si>
  <si>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</si>
  <si>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</si>
  <si>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</si>
  <si>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</si>
  <si>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</si>
  <si>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</si>
  <si>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</si>
  <si>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</si>
  <si>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</si>
  <si>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</si>
  <si>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</si>
  <si>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</si>
  <si>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</si>
  <si>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</si>
  <si>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</si>
  <si>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</si>
  <si>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</si>
  <si>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</si>
  <si>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</si>
  <si>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</si>
  <si>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</si>
  <si>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</si>
  <si>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</si>
  <si>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</si>
  <si>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</si>
  <si>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</si>
  <si>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</si>
  <si>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</si>
  <si>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</si>
  <si>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</si>
  <si>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</si>
  <si>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</si>
  <si>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</si>
  <si>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</si>
  <si>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</si>
  <si>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</si>
  <si>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</si>
  <si>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</si>
  <si>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</si>
  <si>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</si>
  <si>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</si>
  <si>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</si>
  <si>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</si>
  <si>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</si>
  <si>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</si>
  <si>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</si>
  <si>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</si>
  <si>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</si>
  <si>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</si>
  <si>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</si>
  <si>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</si>
  <si>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</si>
  <si>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</si>
  <si>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</si>
  <si>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</si>
  <si>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</si>
  <si>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</si>
  <si>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</si>
  <si>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</si>
  <si>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</si>
  <si>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</si>
  <si>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</si>
  <si>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</si>
  <si>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</si>
  <si>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</si>
  <si>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</si>
  <si>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</si>
  <si>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</si>
  <si>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</si>
  <si>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</si>
  <si>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</si>
  <si>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</si>
  <si>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</si>
  <si>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</si>
  <si>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</si>
  <si>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</si>
  <si>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</si>
  <si>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</si>
  <si>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</si>
  <si>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</si>
  <si>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</si>
  <si>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</si>
  <si>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</si>
  <si>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</si>
  <si>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</si>
  <si>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</si>
  <si>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</si>
  <si>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</si>
  <si>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</si>
  <si>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</si>
  <si>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</si>
  <si>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</si>
  <si>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</si>
  <si>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</si>
  <si>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</si>
  <si>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</si>
  <si>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</si>
  <si>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</si>
  <si>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</si>
  <si>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</si>
  <si>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</si>
  <si>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</si>
  <si>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</si>
  <si>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</si>
  <si>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</si>
  <si>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</si>
  <si>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</si>
  <si>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</si>
  <si>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</si>
  <si>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</si>
  <si>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</si>
  <si>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</si>
  <si>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</si>
  <si>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</si>
  <si>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</si>
  <si>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</si>
  <si>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</si>
  <si>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</si>
  <si>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</si>
  <si>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</si>
  <si>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</si>
  <si>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</si>
  <si>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</si>
  <si>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</si>
  <si>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</si>
  <si>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</si>
  <si>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</si>
  <si>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</si>
  <si>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</si>
  <si>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</si>
  <si>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</si>
  <si>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</si>
  <si>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</si>
  <si>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</si>
  <si>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</si>
  <si>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</si>
  <si>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</si>
  <si>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</si>
  <si>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</si>
  <si>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</si>
  <si>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</si>
  <si>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</si>
  <si>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</si>
  <si>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</si>
  <si>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</si>
  <si>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</si>
  <si>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</si>
  <si>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</si>
  <si>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</si>
  <si>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</si>
  <si>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</si>
  <si>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</si>
  <si>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</si>
  <si>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</si>
  <si>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</si>
  <si>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</si>
  <si>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</si>
  <si>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</si>
  <si>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</si>
  <si>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</si>
  <si>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</si>
  <si>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</si>
  <si>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</si>
  <si>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</si>
  <si>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</si>
  <si>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</si>
  <si>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</si>
  <si>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</si>
  <si>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</si>
  <si>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</si>
  <si>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</si>
  <si>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</si>
  <si>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</si>
  <si>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</si>
  <si>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</si>
  <si>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</si>
  <si>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</si>
  <si>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</si>
  <si>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</si>
  <si>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</si>
  <si>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</si>
  <si>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</si>
  <si>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</si>
  <si>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</si>
  <si>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</si>
  <si>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</si>
  <si>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</si>
  <si>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</si>
  <si>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</si>
  <si>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</si>
  <si>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</si>
  <si>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</si>
  <si>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</si>
  <si>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</si>
  <si>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</si>
  <si>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</si>
  <si>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</si>
  <si>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</si>
  <si>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</si>
  <si>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</si>
  <si>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</si>
  <si>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</si>
  <si>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</si>
  <si>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</si>
  <si>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</si>
  <si>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</si>
  <si>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</si>
  <si>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</si>
  <si>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</si>
  <si>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</si>
  <si>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</si>
  <si>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</si>
  <si>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</si>
  <si>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</si>
  <si>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</si>
  <si>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</si>
  <si>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</si>
  <si>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</si>
  <si>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</si>
  <si>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</si>
  <si>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</si>
  <si>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</si>
  <si>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</si>
  <si>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</si>
  <si>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</si>
  <si>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</si>
  <si>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</si>
  <si>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</si>
  <si>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</si>
  <si>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</si>
  <si>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</si>
  <si>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</si>
  <si>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</si>
  <si>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</si>
  <si>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</si>
  <si>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</si>
  <si>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</si>
  <si>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</si>
  <si>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</si>
  <si>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</si>
  <si>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</si>
  <si>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</si>
  <si>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</si>
  <si>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</si>
  <si>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</si>
  <si>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</si>
  <si>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</si>
  <si>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</si>
  <si>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</si>
  <si>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</si>
  <si>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</si>
  <si>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</si>
  <si>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</si>
  <si>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</si>
  <si>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</si>
  <si>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</si>
  <si>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</si>
  <si>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</si>
  <si>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</si>
  <si>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</si>
  <si>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</si>
  <si>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</si>
  <si>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</si>
  <si>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</si>
  <si>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</si>
  <si>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</si>
  <si>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</si>
  <si>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</si>
  <si>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</si>
  <si>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</si>
  <si>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</si>
  <si>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</si>
  <si>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</si>
  <si>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</si>
  <si>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</si>
  <si>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</si>
  <si>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</si>
  <si>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</si>
  <si>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</si>
  <si>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</si>
  <si>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</si>
  <si>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</si>
  <si>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</si>
  <si>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</si>
  <si>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</si>
  <si>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</si>
  <si>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</si>
  <si>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</si>
  <si>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</si>
  <si>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</si>
  <si>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</si>
  <si>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</si>
  <si>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</si>
  <si>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</si>
  <si>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</si>
  <si>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</si>
  <si>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</si>
  <si>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</si>
  <si>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</si>
  <si>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</si>
  <si>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</si>
  <si>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</si>
  <si>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</si>
  <si>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</si>
  <si>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</si>
  <si>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</si>
  <si>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</si>
  <si>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</si>
  <si>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</si>
  <si>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</si>
  <si>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</si>
  <si>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</si>
  <si>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</si>
  <si>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</si>
  <si>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</si>
  <si>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</si>
  <si>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</si>
  <si>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</si>
  <si>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</si>
  <si>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</si>
  <si>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</si>
  <si>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</si>
  <si>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</si>
  <si>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</si>
  <si>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</si>
  <si>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</si>
  <si>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</si>
  <si>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</si>
  <si>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</si>
  <si>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</si>
  <si>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</si>
  <si>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</si>
  <si>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</si>
  <si>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</si>
  <si>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</si>
  <si>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</si>
  <si>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</si>
  <si>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</si>
  <si>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</si>
  <si>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</si>
  <si>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</si>
  <si>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</si>
  <si>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</si>
  <si>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</si>
  <si>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</si>
  <si>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</si>
  <si>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</si>
  <si>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</si>
  <si>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</si>
  <si>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</si>
  <si>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</si>
  <si>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</si>
  <si>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</si>
  <si>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</si>
  <si>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</si>
  <si>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</si>
  <si>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</si>
  <si>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</si>
  <si>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</si>
  <si>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</si>
  <si>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</si>
  <si>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</si>
  <si>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</si>
  <si>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</si>
  <si>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</si>
  <si>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</si>
  <si>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</si>
  <si>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</si>
  <si>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</si>
  <si>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</si>
  <si>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</si>
  <si>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</si>
  <si>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</si>
  <si>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</si>
  <si>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</si>
  <si>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</si>
  <si>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</si>
  <si>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</si>
  <si>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</si>
  <si>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</si>
  <si>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</si>
  <si>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</si>
  <si>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</si>
  <si>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</si>
  <si>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</si>
  <si>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</si>
  <si>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</si>
  <si>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</si>
  <si>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</si>
  <si>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</si>
  <si>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</si>
  <si>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</si>
  <si>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</si>
  <si>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</si>
  <si>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</si>
  <si>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</si>
  <si>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</si>
  <si>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</si>
  <si>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</si>
  <si>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</si>
  <si>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</si>
  <si>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</si>
  <si>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</si>
  <si>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</si>
  <si>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</si>
  <si>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</si>
  <si>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</si>
  <si>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</si>
  <si>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</si>
  <si>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</si>
  <si>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</si>
  <si>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</si>
  <si>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</si>
  <si>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</si>
  <si>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</si>
  <si>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</si>
  <si>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</si>
  <si>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</si>
  <si>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</si>
  <si>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</si>
  <si>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</si>
  <si>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</si>
  <si>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</si>
  <si>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</si>
  <si>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</si>
  <si>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</si>
  <si>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</si>
  <si>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</si>
  <si>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</si>
  <si>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</si>
  <si>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</si>
  <si>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</si>
  <si>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</si>
  <si>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</si>
  <si>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</si>
  <si>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</si>
  <si>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</si>
  <si>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</si>
  <si>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</si>
  <si>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</si>
  <si>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</si>
  <si>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</si>
  <si>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</si>
  <si>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</si>
  <si>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</si>
  <si>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</si>
  <si>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</si>
  <si>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</si>
  <si>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</si>
  <si>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</si>
  <si>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</si>
  <si>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</si>
  <si>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</si>
  <si>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</si>
  <si>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</si>
  <si>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</si>
  <si>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</si>
  <si>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</si>
  <si>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</si>
  <si>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</si>
  <si>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</si>
  <si>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</si>
  <si>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</si>
  <si>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</si>
  <si>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</si>
  <si>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</si>
  <si>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</si>
  <si>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</si>
  <si>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</si>
  <si>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</si>
  <si>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</si>
  <si>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</si>
  <si>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</si>
  <si>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</si>
  <si>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</si>
  <si>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</si>
  <si>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</si>
  <si>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</si>
  <si>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</si>
  <si>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</si>
  <si>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</si>
  <si>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</si>
  <si>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</si>
  <si>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</si>
  <si>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</si>
  <si>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</si>
  <si>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</si>
  <si>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</si>
  <si>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</si>
  <si>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</si>
  <si>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</si>
  <si>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</si>
  <si>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</si>
  <si>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</si>
  <si>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</si>
  <si>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</si>
  <si>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</si>
  <si>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</si>
  <si>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</si>
  <si>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</si>
  <si>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</si>
  <si>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</si>
  <si>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</si>
  <si>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</si>
  <si>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</si>
  <si>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</si>
  <si>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</si>
  <si>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</si>
  <si>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</si>
  <si>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</si>
  <si>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</si>
  <si>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</si>
  <si>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</si>
  <si>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</si>
  <si>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</si>
  <si>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</si>
  <si>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</si>
  <si>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</si>
  <si>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</si>
  <si>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</si>
  <si>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</si>
  <si>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</si>
  <si>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</si>
  <si>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</si>
  <si>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</si>
  <si>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</si>
  <si>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</si>
  <si>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</si>
  <si>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</si>
  <si>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</si>
  <si>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</si>
  <si>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</si>
  <si>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</si>
  <si>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</si>
  <si>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</si>
  <si>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</si>
  <si>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</si>
  <si>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</si>
  <si>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</si>
  <si>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</si>
  <si>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</si>
  <si>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</si>
  <si>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</si>
  <si>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</si>
  <si>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</si>
  <si>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</si>
  <si>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</si>
  <si>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</si>
  <si>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</si>
  <si>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</si>
  <si>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</si>
  <si>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</si>
  <si>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</si>
  <si>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</si>
  <si>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</si>
  <si>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</si>
  <si>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</si>
  <si>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</si>
  <si>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</si>
  <si>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</si>
  <si>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</si>
  <si>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</si>
  <si>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</si>
  <si>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</si>
  <si>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</si>
  <si>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</si>
  <si>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</si>
  <si>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</si>
  <si>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</si>
  <si>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</si>
  <si>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</si>
  <si>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</si>
  <si>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</si>
  <si>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</si>
  <si>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</si>
  <si>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</si>
  <si>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</si>
  <si>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</si>
  <si>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</si>
  <si>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</si>
  <si>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</si>
  <si>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</si>
  <si>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</si>
  <si>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</si>
  <si>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</si>
  <si>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</si>
  <si>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</si>
  <si>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</si>
  <si>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</si>
  <si>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</si>
  <si>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</si>
  <si>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</si>
  <si>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</si>
  <si>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</si>
  <si>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</si>
  <si>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</si>
  <si>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</si>
  <si>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</si>
  <si>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</si>
  <si>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</si>
  <si>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</si>
  <si>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</si>
  <si>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</si>
  <si>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</si>
  <si>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</si>
  <si>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</si>
  <si>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</si>
  <si>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</si>
  <si>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</si>
  <si>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</si>
  <si>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</si>
  <si>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</si>
  <si>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</si>
  <si>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</si>
  <si>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</si>
  <si>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</si>
  <si>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</si>
  <si>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</si>
  <si>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</si>
  <si>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</si>
  <si>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</si>
  <si>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</si>
  <si>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</si>
  <si>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</si>
  <si>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</si>
  <si>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</si>
  <si>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</si>
  <si>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</si>
  <si>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</si>
  <si>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</si>
  <si>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</si>
  <si>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</si>
  <si>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</si>
  <si>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</si>
  <si>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</si>
  <si>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</si>
  <si>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</si>
  <si>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</si>
  <si>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</si>
  <si>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</si>
  <si>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</si>
  <si>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</si>
  <si>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</si>
  <si>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</si>
  <si>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</si>
  <si>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</si>
  <si>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</si>
  <si>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</si>
  <si>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</si>
  <si>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</si>
  <si>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</si>
  <si>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</si>
  <si>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</si>
  <si>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</si>
  <si>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</si>
  <si>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</si>
  <si>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</si>
  <si>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</si>
  <si>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</si>
  <si>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</si>
  <si>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</si>
  <si>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</si>
  <si>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</si>
  <si>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</si>
  <si>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</si>
  <si>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</si>
  <si>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</si>
  <si>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</si>
  <si>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</si>
  <si>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</si>
  <si>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</si>
  <si>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</si>
  <si>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</si>
  <si>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</si>
  <si>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</si>
  <si>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</si>
  <si>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</si>
  <si>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</si>
  <si>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</si>
  <si>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</si>
  <si>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</si>
  <si>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</si>
  <si>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</si>
  <si>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</si>
  <si>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</si>
  <si>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</si>
  <si>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</si>
  <si>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</si>
  <si>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</si>
  <si>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</si>
  <si>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</si>
  <si>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</si>
  <si>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</si>
  <si>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</si>
  <si>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</si>
  <si>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</si>
  <si>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</si>
  <si>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</si>
  <si>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</si>
  <si>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</si>
  <si>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</si>
  <si>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</si>
  <si>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</si>
  <si>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</si>
  <si>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</si>
  <si>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</si>
  <si>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</si>
  <si>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</si>
  <si>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</si>
  <si>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</si>
  <si>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</si>
  <si>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</si>
  <si>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</si>
  <si>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</si>
  <si>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</si>
  <si>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</si>
  <si>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</si>
  <si>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</si>
  <si>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</si>
  <si>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</si>
  <si>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</si>
  <si>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</si>
  <si>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</si>
  <si>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</si>
  <si>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</si>
  <si>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</si>
  <si>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</si>
  <si>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</si>
  <si>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</si>
  <si>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</si>
  <si>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</si>
  <si>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</si>
  <si>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</si>
  <si>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</si>
  <si>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</si>
  <si>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</si>
  <si>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</si>
  <si>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</si>
  <si>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</si>
  <si>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</si>
  <si>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</si>
  <si>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</si>
  <si>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</si>
  <si>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</si>
  <si>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</si>
  <si>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</si>
  <si>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</si>
  <si>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</si>
  <si>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</si>
  <si>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</si>
  <si>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</si>
  <si>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</si>
  <si>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</si>
  <si>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</si>
  <si>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</si>
  <si>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</si>
  <si>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</si>
  <si>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</si>
  <si>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</si>
  <si>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</si>
  <si>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</si>
  <si>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</si>
  <si>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</si>
  <si>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</si>
  <si>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</si>
  <si>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</si>
  <si>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</si>
  <si>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</si>
  <si>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</si>
  <si>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</si>
  <si>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</si>
  <si>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</si>
  <si>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</si>
  <si>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</si>
  <si>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</si>
  <si>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</si>
  <si>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</si>
  <si>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</si>
  <si>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</si>
  <si>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</si>
  <si>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</si>
  <si>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</si>
  <si>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</si>
  <si>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</si>
  <si>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</si>
  <si>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</si>
  <si>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</si>
  <si>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</si>
  <si>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</si>
  <si>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</si>
  <si>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</si>
  <si>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</si>
  <si>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</si>
  <si>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</si>
  <si>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</si>
  <si>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</si>
  <si>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</si>
  <si>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</si>
  <si>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</si>
  <si>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</si>
  <si>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</si>
  <si>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</si>
  <si>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</si>
  <si>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</si>
  <si>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</si>
  <si>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</si>
  <si>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</si>
  <si>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</si>
  <si>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</si>
  <si>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</si>
  <si>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</si>
  <si>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</si>
  <si>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</si>
  <si>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</si>
  <si>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</si>
  <si>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</si>
  <si>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</si>
  <si>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</si>
  <si>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</si>
  <si>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</si>
  <si>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</si>
  <si>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</si>
  <si>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</si>
  <si>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</si>
  <si>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</si>
  <si>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</si>
  <si>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</si>
  <si>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</si>
  <si>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</si>
  <si>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</si>
  <si>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</si>
  <si>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</si>
  <si>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</si>
  <si>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</si>
  <si>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</si>
  <si>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</si>
  <si>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</si>
  <si>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</si>
  <si>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</si>
  <si>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</si>
  <si>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</si>
  <si>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</si>
  <si>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</si>
  <si>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</si>
  <si>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</si>
  <si>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</si>
  <si>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</si>
  <si>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</si>
  <si>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</si>
  <si>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</si>
  <si>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</si>
  <si>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</si>
  <si>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</si>
  <si>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</si>
  <si>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</si>
  <si>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</si>
  <si>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</si>
  <si>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</si>
  <si>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</si>
  <si>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</si>
  <si>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</si>
  <si>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</si>
  <si>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</si>
  <si>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</si>
  <si>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</si>
  <si>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</si>
  <si>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</si>
  <si>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</si>
  <si>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</si>
  <si>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</si>
  <si>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</si>
  <si>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</si>
  <si>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</si>
  <si>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</si>
  <si>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</si>
  <si>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</si>
  <si>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</si>
  <si>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</si>
  <si>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</si>
  <si>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</si>
  <si>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</si>
  <si>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</si>
  <si>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</si>
  <si>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</si>
  <si>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</si>
  <si>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</si>
  <si>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</si>
  <si>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</si>
  <si>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</si>
  <si>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</si>
  <si>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</si>
  <si>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</si>
  <si>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</si>
  <si>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</si>
  <si>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</si>
  <si>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</si>
  <si>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</si>
  <si>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</si>
  <si>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</si>
  <si>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</si>
  <si>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</si>
  <si>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</si>
  <si>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</si>
  <si>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</si>
  <si>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</si>
  <si>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</si>
  <si>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</si>
  <si>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</si>
  <si>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</si>
  <si>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</si>
  <si>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</si>
  <si>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</si>
  <si>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</si>
  <si>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</si>
  <si>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</si>
  <si>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</si>
  <si>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</si>
  <si>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</si>
  <si>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</si>
  <si>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</si>
  <si>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</si>
  <si>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</si>
  <si>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</si>
  <si>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</si>
  <si>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</si>
  <si>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</si>
  <si>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</si>
  <si>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</si>
  <si>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</si>
  <si>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</si>
  <si>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</si>
  <si>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</si>
  <si>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</si>
  <si>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</si>
  <si>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</si>
  <si>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</si>
  <si>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</si>
  <si>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</si>
  <si>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</si>
  <si>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</si>
  <si>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</si>
  <si>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</si>
  <si>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</si>
  <si>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</si>
  <si>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</si>
  <si>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</si>
  <si>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</si>
  <si>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</si>
  <si>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</si>
  <si>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</si>
  <si>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</si>
  <si>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</si>
  <si>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</si>
  <si>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</si>
  <si>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</si>
  <si>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</si>
  <si>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</si>
  <si>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</si>
  <si>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</si>
  <si>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</si>
  <si>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</si>
  <si>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</si>
  <si>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</si>
  <si>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</si>
  <si>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</si>
  <si>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</si>
  <si>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</si>
  <si>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</si>
  <si>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</si>
  <si>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</si>
  <si>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</si>
  <si>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</si>
  <si>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</si>
  <si>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</si>
  <si>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</si>
  <si>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</si>
  <si>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</si>
  <si>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</si>
  <si>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</si>
  <si>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</si>
  <si>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</si>
  <si>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</si>
  <si>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</si>
  <si>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</si>
  <si>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</si>
  <si>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</si>
  <si>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</si>
  <si>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</si>
  <si>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</si>
  <si>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</si>
  <si>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</si>
  <si>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</si>
  <si>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</si>
  <si>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</si>
  <si>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</si>
  <si>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</si>
  <si>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</si>
  <si>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</si>
  <si>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</si>
  <si>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</si>
  <si>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</si>
  <si>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</si>
  <si>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</si>
  <si>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</si>
  <si>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</si>
  <si>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</si>
  <si>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</si>
  <si>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</si>
  <si>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</si>
  <si>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</si>
  <si>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</si>
  <si>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</si>
  <si>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</si>
  <si>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</si>
  <si>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</si>
  <si>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</si>
  <si>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</si>
  <si>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</si>
  <si>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</si>
  <si>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</si>
  <si>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</si>
  <si>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</si>
  <si>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</si>
  <si>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</si>
  <si>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</si>
  <si>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</si>
  <si>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</si>
  <si>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</si>
  <si>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</si>
  <si>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</si>
  <si>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</si>
  <si>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</si>
  <si>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</si>
  <si>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</si>
  <si>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</si>
  <si>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</si>
  <si>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</si>
  <si>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</si>
  <si>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</si>
  <si>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</si>
  <si>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</si>
  <si>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</si>
  <si>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</si>
  <si>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</si>
  <si>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</si>
  <si>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</si>
  <si>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</si>
  <si>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</si>
  <si>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</si>
  <si>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</si>
  <si>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</si>
  <si>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</si>
  <si>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</si>
  <si>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</si>
  <si>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</si>
  <si>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</si>
  <si>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</si>
  <si>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</si>
  <si>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</si>
  <si>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</si>
  <si>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</si>
  <si>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</si>
  <si>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</si>
  <si>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</si>
  <si>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</si>
  <si>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</si>
  <si>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</si>
  <si>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</si>
  <si>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</si>
  <si>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</si>
  <si>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</si>
  <si>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</si>
  <si>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</si>
  <si>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</si>
  <si>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</si>
  <si>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</si>
  <si>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</si>
  <si>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</si>
  <si>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</si>
  <si>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</si>
  <si>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</si>
  <si>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</si>
  <si>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</si>
  <si>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</si>
  <si>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</si>
  <si>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</si>
  <si>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</si>
  <si>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</si>
  <si>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</si>
  <si>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</si>
  <si>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</si>
  <si>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</si>
  <si>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</si>
  <si>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</si>
  <si>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</si>
  <si>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</si>
  <si>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</si>
  <si>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</si>
  <si>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</si>
  <si>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</si>
  <si>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</si>
  <si>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</si>
  <si>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</si>
  <si>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</si>
  <si>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</si>
  <si>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</si>
  <si>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</si>
  <si>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</si>
  <si>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</si>
  <si>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</si>
  <si>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</si>
  <si>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</si>
  <si>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</si>
  <si>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</si>
  <si>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</si>
  <si>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</si>
  <si>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</si>
  <si>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</si>
  <si>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</si>
  <si>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</si>
  <si>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</si>
  <si>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</si>
  <si>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</si>
  <si>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</si>
  <si>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</si>
  <si>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</si>
  <si>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</si>
  <si>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</si>
  <si>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</si>
  <si>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</si>
  <si>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</si>
  <si>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</si>
  <si>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</si>
  <si>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</si>
  <si>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</si>
  <si>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</si>
  <si>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</si>
  <si>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</si>
  <si>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</si>
  <si>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</si>
  <si>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</si>
  <si>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</si>
  <si>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</si>
  <si>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</si>
  <si>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</si>
  <si>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</si>
  <si>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</si>
  <si>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</si>
  <si>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</si>
  <si>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</si>
  <si>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</si>
  <si>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</si>
  <si>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</si>
  <si>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</si>
  <si>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</si>
  <si>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</si>
  <si>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</si>
  <si>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</si>
  <si>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</si>
  <si>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</si>
  <si>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</si>
  <si>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</si>
  <si>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</si>
  <si>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</si>
  <si>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</si>
  <si>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</si>
  <si>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</si>
  <si>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</si>
  <si>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</si>
  <si>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</si>
  <si>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</si>
  <si>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</si>
  <si>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</si>
  <si>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</si>
  <si>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</si>
  <si>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</si>
  <si>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</si>
  <si>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</si>
  <si>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</si>
  <si>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</si>
  <si>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</si>
  <si>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</si>
  <si>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</si>
  <si>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</si>
  <si>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</si>
  <si>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</si>
  <si>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</si>
  <si>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</si>
  <si>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</si>
  <si>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</si>
  <si>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</si>
  <si>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</si>
  <si>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</si>
  <si>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</si>
  <si>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</si>
  <si>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</si>
  <si>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</si>
  <si>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</si>
  <si>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</si>
  <si>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</si>
  <si>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</si>
  <si>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</si>
  <si>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</si>
  <si>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</si>
  <si>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</si>
  <si>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</si>
  <si>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</si>
  <si>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</si>
  <si>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</si>
  <si>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</si>
  <si>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</si>
  <si>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</si>
  <si>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</si>
  <si>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</si>
  <si>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</si>
  <si>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</si>
  <si>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</si>
  <si>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</si>
  <si>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</si>
  <si>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</si>
  <si>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</si>
  <si>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</si>
  <si>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</si>
  <si>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</si>
  <si>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</si>
  <si>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</si>
  <si>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</si>
  <si>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</si>
  <si>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</si>
  <si>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</si>
  <si>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</si>
  <si>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</si>
  <si>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</si>
  <si>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</si>
  <si>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</si>
  <si>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</si>
  <si>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</si>
  <si>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</si>
  <si>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</si>
  <si>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</si>
  <si>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</si>
  <si>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</si>
  <si>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</si>
  <si>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</si>
  <si>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</si>
  <si>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</si>
  <si>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</si>
  <si>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</si>
  <si>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</si>
  <si>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</si>
  <si>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</si>
  <si>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</si>
  <si>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</si>
  <si>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</si>
  <si>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</si>
  <si>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</si>
  <si>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</si>
  <si>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</si>
  <si>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</si>
  <si>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</si>
  <si>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</si>
  <si>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</si>
  <si>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</si>
  <si>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</si>
  <si>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</si>
  <si>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</si>
  <si>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</si>
  <si>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</si>
  <si>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</si>
  <si>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</si>
  <si>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</si>
  <si>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</si>
  <si>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</si>
  <si>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</si>
  <si>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</si>
  <si>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</si>
  <si>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</si>
  <si>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</si>
  <si>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</si>
  <si>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</si>
  <si>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</si>
  <si>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</si>
  <si>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</si>
  <si>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</si>
  <si>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</si>
  <si>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</si>
  <si>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</si>
  <si>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</si>
  <si>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</si>
  <si>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</si>
  <si>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</si>
  <si>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</si>
  <si>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</si>
  <si>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</si>
  <si>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</si>
  <si>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</si>
  <si>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</si>
  <si>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</si>
  <si>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</si>
  <si>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</si>
  <si>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</si>
  <si>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</si>
  <si>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</si>
  <si>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</si>
  <si>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</si>
  <si>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</si>
  <si>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</si>
  <si>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</si>
  <si>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</si>
  <si>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</si>
  <si>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</si>
  <si>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</si>
  <si>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</si>
  <si>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</si>
  <si>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</si>
  <si>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</si>
  <si>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</si>
  <si>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</si>
  <si>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</si>
  <si>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</si>
  <si>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</si>
  <si>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</si>
  <si>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</si>
  <si>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</si>
  <si>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</si>
  <si>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</si>
  <si>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</si>
  <si>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</si>
  <si>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</si>
  <si>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</si>
  <si>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</si>
  <si>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</si>
  <si>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</si>
  <si>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</si>
  <si>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</si>
  <si>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</si>
  <si>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</si>
  <si>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</si>
  <si>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</si>
  <si>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</si>
  <si>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</si>
  <si>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</si>
  <si>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</si>
  <si>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</si>
  <si>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</si>
  <si>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</si>
  <si>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</si>
  <si>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</si>
  <si>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</si>
  <si>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</si>
  <si>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</si>
  <si>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</si>
  <si>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</si>
  <si>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</si>
  <si>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</si>
  <si>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</si>
  <si>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</si>
  <si>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</si>
  <si>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</si>
  <si>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</si>
  <si>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</si>
  <si>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</si>
  <si>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</si>
  <si>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</si>
  <si>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</si>
  <si>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</si>
  <si>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</si>
  <si>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</si>
  <si>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</si>
  <si>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</si>
  <si>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</si>
  <si>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</si>
  <si>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</si>
  <si>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</si>
  <si>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</si>
  <si>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</si>
  <si>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</si>
  <si>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</si>
  <si>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</si>
  <si>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</si>
  <si>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</si>
  <si>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</si>
  <si>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</si>
  <si>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</si>
  <si>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</si>
  <si>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</si>
  <si>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</si>
  <si>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</si>
  <si>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</si>
  <si>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</si>
  <si>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</si>
  <si>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</si>
  <si>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</si>
  <si>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</si>
  <si>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</si>
  <si>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</si>
  <si>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</si>
  <si>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</si>
  <si>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</si>
  <si>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</si>
  <si>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</si>
  <si>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</si>
  <si>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</si>
  <si>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</si>
  <si>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</si>
  <si>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</si>
  <si>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</si>
  <si>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</si>
  <si>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</si>
  <si>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</si>
  <si>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</si>
  <si>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</si>
  <si>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</si>
  <si>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</si>
  <si>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</si>
  <si>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</si>
  <si>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</si>
  <si>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</si>
  <si>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</si>
  <si>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</si>
  <si>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</si>
  <si>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</si>
  <si>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</si>
  <si>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</si>
  <si>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</si>
  <si>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</si>
  <si>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</si>
  <si>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</si>
  <si>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</si>
  <si>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</si>
  <si>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</si>
  <si>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</si>
  <si>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</si>
  <si>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</si>
  <si>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</si>
  <si>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</si>
  <si>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</si>
  <si>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</si>
  <si>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</si>
  <si>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</si>
  <si>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</si>
  <si>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</si>
  <si>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</si>
  <si>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</si>
  <si>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</si>
  <si>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正常</t>
  </si>
  <si>
    <t>成新度</t>
  </si>
  <si>
    <t>收益法</t>
  </si>
  <si>
    <t>是</t>
  </si>
  <si>
    <t>地上</t>
  </si>
  <si>
    <t>地下</t>
  </si>
  <si>
    <t>商业</t>
    <phoneticPr fontId="7" type="noConversion"/>
  </si>
  <si>
    <t>抵押</t>
  </si>
  <si>
    <t>房地产抵押价值</t>
  </si>
  <si>
    <t>北京市</t>
  </si>
  <si>
    <t>企业</t>
  </si>
  <si>
    <t>自定义容积率</t>
  </si>
  <si>
    <t>不临65条商业街</t>
  </si>
  <si>
    <t>通路</t>
  </si>
  <si>
    <t>通电</t>
  </si>
  <si>
    <t>通讯</t>
  </si>
  <si>
    <t>通上水</t>
  </si>
  <si>
    <t>通下水</t>
  </si>
  <si>
    <t>通热</t>
  </si>
  <si>
    <t>燃气</t>
  </si>
  <si>
    <t>平整</t>
  </si>
  <si>
    <t>与级别开发程度不一致</t>
  </si>
  <si>
    <t>中心城区以外</t>
  </si>
  <si>
    <t>楼层修正</t>
  </si>
  <si>
    <t>未包含在土地购买价格中</t>
  </si>
  <si>
    <t>全部缴纳</t>
  </si>
  <si>
    <t>已包含在土地取得成本中</t>
  </si>
  <si>
    <t>押一</t>
  </si>
  <si>
    <t>钢混</t>
  </si>
  <si>
    <t>非生产用房</t>
  </si>
  <si>
    <t>否</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</si>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</sst>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16</xdr:col>
      <xdr:colOff>160538</xdr:colOff>
      <xdr:row>28</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0"/>
          <a:ext cx="11104763" cy="4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估价对象为北京市房地产，为所有。根据《国有土地使用证》[]，估价对象（分摊）出让国有建设用地使用权面积为0平方米，建筑面积为3637.06平方米。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估价对象为北京市房地产,属开发建设的，该项目尚在开发建设中。根据《国有土地使用证》[]，估价对象（分摊）出让国有建设用地使用权面积为0平方米，规划建筑面积为3637.06平方米。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2023年7月31日</v>
      </c>
    </row>
    <row r="13" spans="1:2" s="1203" customFormat="1">
      <c r="A13" s="1201" t="s">
        <v>529</v>
      </c>
      <c r="B13" s="1202" t="str">
        <f>'预评函-1'!A18</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3637.06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45138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13.39</v>
      </c>
      <c r="D6" s="3025">
        <f>IF(ISERROR(ROUND(POWER(1+E6,A6-C6)*(POWER(1+E6,C6)-1)/(POWER(1+E6,A6)-1),3)),0,ROUND(POWER(1+E6,A6-C6)*(POWER(1+E6,C6)-1)/(POWER(1+E6,A6)-1),4))</f>
        <v>0.47539999999999999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33.409999999999997</v>
      </c>
      <c r="D7" s="3025">
        <f>IF(ISERROR(ROUND(POWER(1+E7,A7-C7)*(POWER(1+E7,C7)-1)/(POWER(1+E7,A7)-1),3)),0,ROUND(POWER(1+E7,A7-C7)*(POWER(1+E7,C7)-1)/(POWER(1+E7,A7)-1),4))</f>
        <v>0.78039999999999998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M12" sqref="M1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45138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3385</v>
      </c>
      <c r="C8" s="2390"/>
      <c r="D8" s="3503" t="s">
        <v>2177</v>
      </c>
      <c r="E8" s="2391" t="s">
        <v>3386</v>
      </c>
      <c r="F8" s="2392"/>
      <c r="G8" s="2663"/>
      <c r="H8" s="2663"/>
      <c r="I8" s="2663"/>
      <c r="J8" s="2439"/>
      <c r="K8" s="2614"/>
      <c r="L8" s="2613"/>
      <c r="M8" s="2613"/>
      <c r="N8" s="2439"/>
      <c r="O8" s="2450"/>
      <c r="P8" s="2439"/>
      <c r="Q8" s="2439"/>
      <c r="R8" s="2439"/>
    </row>
    <row r="9" spans="1:30" ht="13.5" thickBot="1">
      <c r="A9" s="2393" t="s">
        <v>2178</v>
      </c>
      <c r="B9" s="2394" t="s">
        <v>3386</v>
      </c>
      <c r="C9" s="2395"/>
      <c r="D9" s="3504"/>
      <c r="E9" s="2394"/>
      <c r="F9" s="2396"/>
      <c r="G9" s="2665"/>
      <c r="H9" s="2665"/>
      <c r="I9" s="2665"/>
      <c r="J9" s="2439"/>
      <c r="K9" s="2616"/>
      <c r="L9" s="2613"/>
      <c r="M9" s="2613"/>
      <c r="N9" s="2439"/>
      <c r="O9" s="2450"/>
      <c r="P9" s="2439"/>
      <c r="Q9" s="2439"/>
      <c r="R9" s="2439"/>
    </row>
    <row r="10" spans="1:30" ht="13.5" thickTop="1">
      <c r="A10" s="2397" t="s">
        <v>2179</v>
      </c>
      <c r="B10" s="2398" t="s">
        <v>3387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55715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28.97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3637.06</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2941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3637.06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3637.06</v>
      </c>
      <c r="H5" s="13">
        <f t="shared" ref="H5:AT5" si="0">SUM(H13:H656)</f>
        <v>3637.06</v>
      </c>
      <c r="I5" s="13">
        <f t="shared" si="0"/>
        <v>2581.83</v>
      </c>
      <c r="J5" s="13">
        <f t="shared" si="0"/>
        <v>0</v>
      </c>
      <c r="K5" s="13">
        <f t="shared" si="0"/>
        <v>1055.23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3637.06</v>
      </c>
      <c r="BA5" s="15">
        <f t="shared" si="1"/>
        <v>3637.06</v>
      </c>
      <c r="BB5" s="15">
        <f t="shared" si="1"/>
        <v>2581.83</v>
      </c>
      <c r="BC5" s="15">
        <f t="shared" si="1"/>
        <v>1055.23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t="s">
        <v>3383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3637.06</v>
      </c>
      <c r="H13" s="17">
        <f>SUMIF(I$12:AB$12,"总值",I13:AB13)</f>
        <v>3637.06</v>
      </c>
      <c r="I13" s="1626">
        <f>550.89+530.08+732.94+767.92</f>
        <v>2581.83</v>
      </c>
      <c r="J13" s="1626"/>
      <c r="K13" s="1626">
        <v>1055.23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3637.06</v>
      </c>
      <c r="BA13" s="13">
        <f>SUM(BB13:BK13)</f>
        <v>3637.06</v>
      </c>
      <c r="BB13" s="13">
        <f>IF($D13="是",I13-J13,0)</f>
        <v>2581.83</v>
      </c>
      <c r="BC13" s="13">
        <f>IF($D13="是",K13-L13,0)</f>
        <v>1055.23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9" sqref="N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3637.06</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3637.06</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2581.83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1055.23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3637.06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3637.06</v>
      </c>
      <c r="F19" s="2795">
        <f>'数据-基础表'!I13</f>
        <v>2581.83</v>
      </c>
      <c r="G19" s="2796">
        <f>'数据-基础表'!K13</f>
        <v>1055.23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3637.06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3637.06</v>
      </c>
      <c r="F27" s="1140">
        <f>IF(SUM(F19:F26)=E8,SUM(F19:F26),"地上面积有误")</f>
        <v>2581.83</v>
      </c>
      <c r="G27" s="1142">
        <f>SUM(G19:G26)</f>
        <v>1055.23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3637.06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3637.06</v>
      </c>
      <c r="F31" s="677">
        <f>F27+F30</f>
        <v>2581.83</v>
      </c>
      <c r="G31" s="678">
        <f>G27+G30</f>
        <v>1055.23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Y27" sqref="Y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55715</v>
      </c>
      <c r="F6" s="64">
        <f>SUMIF(项目基本情况!C$12:I$12,C6,项目基本情况!C$15:I$15)</f>
        <v>28.97</v>
      </c>
      <c r="G6" s="65">
        <f>IF(ISERROR(ROUND(POWER(1+H6,D6-F6)*(POWER(1+H6,F6)-1)/(POWER(1+H6,D6)-1),3)),0,ROUND(POWER(1+H6,D6-F6)*(POWER(1+H6,F6)-1)/(POWER(1+H6,D6)-1),3))</f>
        <v>0.89300000000000002</v>
      </c>
      <c r="H6" s="732">
        <v>5.5E-2</v>
      </c>
      <c r="I6" s="732">
        <v>0.06</v>
      </c>
      <c r="J6" s="66">
        <v>7.4999999999999997E-2</v>
      </c>
      <c r="K6" s="1030">
        <f>SUMIF('数据-汇总表'!C$19:C$33,A6,'数据-汇总表'!E$19:E$33)</f>
        <v>3637.06</v>
      </c>
      <c r="L6" s="733">
        <v>5000</v>
      </c>
      <c r="M6" s="67">
        <f t="shared" ref="M6:M14" si="0">ROUND(K6*L6/10000,0)</f>
        <v>1819</v>
      </c>
      <c r="N6" s="731">
        <f>N19</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2.4500000000000002</v>
      </c>
      <c r="V6" s="70">
        <v>0.02</v>
      </c>
      <c r="W6" s="70">
        <v>0.1</v>
      </c>
      <c r="X6" s="1040"/>
      <c r="Y6" s="71">
        <f>N6</f>
        <v>0.85</v>
      </c>
      <c r="Z6" s="72"/>
      <c r="AA6" s="66"/>
      <c r="AB6" s="66"/>
      <c r="AC6" s="1040"/>
      <c r="AD6" s="73"/>
      <c r="AE6" s="1041">
        <f ca="1">IF(AN6="",0,SUMIF(INDIRECT("'"&amp;AN6&amp;"'"&amp;"!E:E"),$AE$5,INDIRECT("'"&amp;AN6&amp;"'"&amp;"!F:F")))</f>
        <v>28.97</v>
      </c>
      <c r="AF6" s="1348"/>
      <c r="AG6" s="138">
        <f>IF(AF6="",0,AE6-AF6)</f>
        <v>0</v>
      </c>
      <c r="AH6" s="74"/>
      <c r="AI6" s="76">
        <v>365</v>
      </c>
      <c r="AJ6" s="77"/>
      <c r="AK6" s="78">
        <v>0.01</v>
      </c>
      <c r="AL6" s="79">
        <v>1E-3</v>
      </c>
      <c r="AM6" s="80">
        <v>0.01</v>
      </c>
      <c r="AN6" s="1715" t="s">
        <v>3380</v>
      </c>
      <c r="AO6" s="52">
        <f ca="1">SUMIF(INDIRECT("'"&amp;AN6&amp;"'"&amp;"!A:A"),"总价",INDIRECT("'"&amp;AN6&amp;"'"&amp;"!B:B"))</f>
        <v>3677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0.89300000000000002</v>
      </c>
      <c r="H16" s="90">
        <f>ROUND(SUMPRODUCT(H6:H13,K6:K13)/SUMPRODUCT((H6:H13&gt;0)*(K6:K13)),3)</f>
        <v>5.5E-2</v>
      </c>
      <c r="I16" s="91"/>
      <c r="J16" s="91"/>
      <c r="K16" s="92">
        <f>SUM(K6:K15)</f>
        <v>3637.06</v>
      </c>
      <c r="L16" s="93">
        <f>ROUND(M16*10000/SUM(K6:K14),0)</f>
        <v>5001</v>
      </c>
      <c r="M16" s="93">
        <f>SUM(M6:M14)</f>
        <v>1819</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ROUND(1-(2023-2014)/60,2)</f>
        <v>0.85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v>-1</v>
      </c>
      <c r="V20" s="2671">
        <f>基准地价修正!D37</f>
        <v>1055.23</v>
      </c>
      <c r="W20" s="2671">
        <v>0.7</v>
      </c>
      <c r="X20" s="2671">
        <f>W20*X21</f>
        <v>2.0999999999999996</v>
      </c>
      <c r="Y20" s="2671">
        <f>V20*X20</f>
        <v>2215.9829999999997</v>
      </c>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v>1</v>
      </c>
      <c r="V21" s="2671">
        <f>基准地价修正!U2</f>
        <v>1080.97</v>
      </c>
      <c r="W21" s="2671">
        <v>1</v>
      </c>
      <c r="X21" s="2671">
        <v>3</v>
      </c>
      <c r="Y21" s="2671">
        <f t="shared" ref="Y21:Y23" si="12">V21*X21</f>
        <v>3242.91</v>
      </c>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v>2</v>
      </c>
      <c r="V22" s="2671">
        <f>基准地价修正!U3</f>
        <v>732.94</v>
      </c>
      <c r="W22" s="2671">
        <v>0.7</v>
      </c>
      <c r="X22" s="2671">
        <f>W22*X21</f>
        <v>2.0999999999999996</v>
      </c>
      <c r="Y22" s="2671">
        <f t="shared" si="12"/>
        <v>1539.1739999999998</v>
      </c>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v>3</v>
      </c>
      <c r="V23" s="2671">
        <f>基准地价修正!U4</f>
        <v>767.92</v>
      </c>
      <c r="W23" s="2671">
        <v>0.6</v>
      </c>
      <c r="X23" s="2671">
        <f>W23*X21</f>
        <v>1.7999999999999998</v>
      </c>
      <c r="Y23" s="2671">
        <f t="shared" si="12"/>
        <v>1382.2559999999999</v>
      </c>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f>V20+V21+V22+V23</f>
        <v>3637.06</v>
      </c>
      <c r="W24" s="2671"/>
      <c r="X24" s="2671">
        <f>Y24/V24</f>
        <v>2.304147580738289</v>
      </c>
      <c r="Y24" s="2671">
        <f>Y20+Y21+Y22+Y23</f>
        <v>8380.3230000000003</v>
      </c>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4" sqref="L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3409</v>
      </c>
      <c r="D4" s="1756" t="s">
        <v>3380</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6</v>
      </c>
      <c r="D14" s="3576">
        <v>4</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3" t="s">
        <v>2131</v>
      </c>
      <c r="F18" s="3564"/>
      <c r="G18" s="3564"/>
      <c r="H18" s="3564"/>
      <c r="I18" s="3564"/>
      <c r="K18" s="302" t="s">
        <v>1289</v>
      </c>
      <c r="L18" s="302">
        <f>IF(C1="",'数据-汇总表'!E3,SUMIF(项目类型,C1,'数据-汇总表'!E17:E26)+SUMIF(项目类型,C1,'数据-汇总表'!I17:I26))</f>
        <v>3637.06</v>
      </c>
      <c r="M18" s="302">
        <f>IF(C1="",'数据-汇总表'!E3,SUMIF(项目类型,C1,'数据-汇总表'!E17:E26))</f>
        <v>3637.06</v>
      </c>
    </row>
    <row r="19" spans="1:36" ht="15">
      <c r="A19" s="1761" t="s">
        <v>1290</v>
      </c>
      <c r="B19" s="1762" t="s">
        <v>1291</v>
      </c>
      <c r="C19" s="134">
        <f ca="1">SUMIF(INDIRECT("'"&amp;C4&amp;"'"&amp;"!A:A"),结果表!B19,INDIRECT("'"&amp;C4&amp;"'"&amp;"!B:B"))</f>
        <v>5186</v>
      </c>
      <c r="D19" s="135">
        <f ca="1">SUMIF(INDIRECT("'"&amp;D4&amp;"'"&amp;"!A:A"),结果表!B19,INDIRECT("'"&amp;D4&amp;"'"&amp;"!B:B"))</f>
        <v>3677</v>
      </c>
      <c r="E19" s="1761" t="s">
        <v>1292</v>
      </c>
      <c r="F19" s="1762" t="s">
        <v>1291</v>
      </c>
      <c r="G19" s="136">
        <f ca="1">ROUND(C19*$C$18+D19*$D$18,0)</f>
        <v>4582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14259</v>
      </c>
      <c r="D20" s="138">
        <f ca="1">SUMIF(INDIRECT("'"&amp;D4&amp;"'"&amp;"!A:A"),结果表!B20,INDIRECT("'"&amp;D4&amp;"'"&amp;"!B:B"))</f>
        <v>10110</v>
      </c>
      <c r="E20" s="1764"/>
      <c r="F20" s="1026" t="s">
        <v>1295</v>
      </c>
      <c r="G20" s="139">
        <f ca="1">ROUND(C20*$C$18+D20*$D$18,0)</f>
        <v>12599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0.41038890399782435</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12599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45138</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t="e">
        <f ca="1">H101</f>
        <v>#REF!</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t="str">
        <f ca="1">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t="e">
        <f ca="1">ROUND(D45*'数据-取费表'!B41/(1+'数据-取费表'!C42),0)</f>
        <v>#REF!</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t="e">
        <f ca="1">ROUND(D45*'数据-取费表'!B41/(1+'数据-取费表'!C42),0)</f>
        <v>#REF!</v>
      </c>
      <c r="E53" s="2334" t="s">
        <v>1354</v>
      </c>
      <c r="F53" s="2554">
        <f>'数据-取费表'!B41</f>
        <v>5.5000000000000007E-2</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565" t="s">
        <v>2292</v>
      </c>
      <c r="C54" s="3566"/>
      <c r="D54" s="1087" t="e">
        <f ca="1">C68</f>
        <v>#REF!</v>
      </c>
      <c r="E54" s="327" t="s">
        <v>1359</v>
      </c>
      <c r="F54" s="2554">
        <f>'数据-取费表'!B41</f>
        <v>5.5000000000000007E-2</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554" t="s">
        <v>1361</v>
      </c>
      <c r="B55" s="3555"/>
      <c r="C55" s="3555"/>
      <c r="D55" s="2324" t="e">
        <f ca="1">IF(H55="个人住宅",0,ROUND(D45*I55,0))</f>
        <v>#REF!</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t="e">
        <f ca="1">D59</f>
        <v>#REF!</v>
      </c>
      <c r="N55" s="2040" t="str">
        <f>E59</f>
        <v>差额计税</v>
      </c>
      <c r="O55" s="2529">
        <f>F59</f>
        <v>0.01</v>
      </c>
    </row>
    <row r="56" spans="1:35" ht="24.75">
      <c r="A56" s="3554" t="s">
        <v>1363</v>
      </c>
      <c r="B56" s="3555"/>
      <c r="C56" s="3555"/>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2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t="e">
        <f ca="1">H118</f>
        <v>#REF!</v>
      </c>
      <c r="I101" s="129"/>
    </row>
    <row r="102" spans="1:35" ht="18.75" customHeight="1">
      <c r="A102" s="3585" t="s">
        <v>1433</v>
      </c>
      <c r="B102" s="2584" t="s">
        <v>1432</v>
      </c>
      <c r="C102" s="2585">
        <f ca="1">IF(D32="楼面单价",ROUND(C19,0),C19)</f>
        <v>5186</v>
      </c>
      <c r="D102" s="2586">
        <f ca="1">IF(D32="楼面单价",ROUND(D19,0),D19)</f>
        <v>3677</v>
      </c>
      <c r="E102" s="3626"/>
      <c r="F102" s="3583"/>
      <c r="G102" s="1827" t="s">
        <v>1434</v>
      </c>
      <c r="H102" s="2555" t="e">
        <f ca="1">I118</f>
        <v>#REF!</v>
      </c>
      <c r="I102" s="129"/>
    </row>
    <row r="103" spans="1:35" ht="42.75" customHeight="1">
      <c r="A103" s="3585"/>
      <c r="B103" s="2584" t="s">
        <v>1434</v>
      </c>
      <c r="C103" s="2587">
        <f ca="1">C20</f>
        <v>14259</v>
      </c>
      <c r="D103" s="2588">
        <f ca="1">D20</f>
        <v>10110</v>
      </c>
      <c r="E103" s="3620" t="s">
        <v>1435</v>
      </c>
      <c r="F103" s="3621"/>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582"/>
      <c r="F108" s="3583"/>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3637.06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93" t="e">
        <f ca="1">NUMBERSTRING(INT(D118*10000),2)&amp;"元整"</f>
        <v>#REF!</v>
      </c>
      <c r="E119" s="3595"/>
      <c r="F119" s="3593" t="e">
        <f ca="1">NUMBERSTRING(INT(F118*10000),2)&amp;"元整"</f>
        <v>#REF!</v>
      </c>
      <c r="G119" s="3595"/>
      <c r="H119" s="3593" t="e">
        <f ca="1">NUMBERSTRING(INT(H118*10000),2)&amp;"元整"</f>
        <v>#REF!</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K25" sqref="K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14259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2061</v>
      </c>
      <c r="D5" s="211" t="s">
        <v>1469</v>
      </c>
      <c r="E5" s="212" t="s">
        <v>1470</v>
      </c>
      <c r="F5" s="212" t="s">
        <v>1471</v>
      </c>
      <c r="G5" s="213"/>
    </row>
    <row r="6" spans="1:9" s="214" customFormat="1" ht="13.5" customHeight="1">
      <c r="A6" s="778" t="s">
        <v>1472</v>
      </c>
      <c r="B6" s="215" t="s">
        <v>1473</v>
      </c>
      <c r="C6" s="216">
        <f>基准地价修正!B2</f>
        <v>1933</v>
      </c>
      <c r="D6" s="217"/>
      <c r="E6" s="218"/>
      <c r="F6" s="218"/>
      <c r="G6" s="219"/>
    </row>
    <row r="7" spans="1:9" s="214" customFormat="1" ht="13.5" customHeight="1">
      <c r="A7" s="778" t="s">
        <v>1474</v>
      </c>
      <c r="B7" s="215" t="s">
        <v>1475</v>
      </c>
      <c r="C7" s="220">
        <f>ROUND(C6*F7,0)</f>
        <v>59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69</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3403</v>
      </c>
      <c r="H9" s="1137"/>
      <c r="I9" s="1858" t="s">
        <v>1479</v>
      </c>
    </row>
    <row r="10" spans="1:9" s="214" customFormat="1" ht="13.5" customHeight="1">
      <c r="A10" s="779" t="s">
        <v>356</v>
      </c>
      <c r="B10" s="224" t="s">
        <v>1480</v>
      </c>
      <c r="C10" s="225">
        <f ca="1">ROUND(D10*E10/10000,0)</f>
        <v>69</v>
      </c>
      <c r="D10" s="845">
        <f ca="1">IF(B1="",'数据-汇总表'!E6,IF(INDIRECT("'数据-取费表'!c"&amp;$G$1)="住宅",INDIRECT("'数据-取费表'!s"&amp;$G$1),INDIRECT("'数据-取费表'!k"&amp;$G$1)+INDIRECT("'数据-取费表'!s"&amp;$G$1)))</f>
        <v>3637.06</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3637.06</v>
      </c>
      <c r="E19" s="211">
        <f>'数据-取费表'!B31</f>
        <v>200</v>
      </c>
      <c r="F19" s="231"/>
      <c r="G19" s="1856" t="s">
        <v>3404</v>
      </c>
    </row>
    <row r="20" spans="1:7" s="214" customFormat="1" ht="13.5" customHeight="1">
      <c r="A20" s="255" t="s">
        <v>1493</v>
      </c>
      <c r="B20" s="210" t="s">
        <v>1494</v>
      </c>
      <c r="C20" s="232">
        <f ca="1">ROUND((C5+C19)*F20,0)</f>
        <v>41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150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420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420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1819</v>
      </c>
      <c r="D34" s="217"/>
      <c r="E34" s="220"/>
      <c r="F34" s="257">
        <f ca="1">IF('数据-取费表'!B24=0,1,IF(B1="",'数据-取费表'!N16,INDIRECT("'数据-取费表'!n"&amp;$G$1)))</f>
        <v>1</v>
      </c>
      <c r="G34" s="219" t="s">
        <v>1526</v>
      </c>
    </row>
    <row r="35" spans="1:7" ht="13.5" customHeight="1">
      <c r="A35" s="780" t="s">
        <v>351</v>
      </c>
      <c r="B35" s="215" t="s">
        <v>1527</v>
      </c>
      <c r="C35" s="220">
        <f ca="1">ROUND(C34*F35,0)</f>
        <v>55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73</v>
      </c>
      <c r="D37" s="217">
        <f ca="1">D19</f>
        <v>3637.06</v>
      </c>
      <c r="E37" s="249">
        <f>'数据-取费表'!B35</f>
        <v>200</v>
      </c>
      <c r="F37" s="259"/>
      <c r="G37" s="261" t="s">
        <v>1532</v>
      </c>
    </row>
    <row r="38" spans="1:7" ht="13.5" customHeight="1">
      <c r="A38" s="780" t="s">
        <v>354</v>
      </c>
      <c r="B38" s="215" t="s">
        <v>1533</v>
      </c>
      <c r="C38" s="220">
        <f ca="1">ROUND(C34*F38,0)</f>
        <v>27</v>
      </c>
      <c r="D38" s="220"/>
      <c r="E38" s="220"/>
      <c r="F38" s="259">
        <f>'数据-取费表'!B36</f>
        <v>1.4999999999999999E-2</v>
      </c>
      <c r="G38" s="219" t="s">
        <v>1528</v>
      </c>
    </row>
    <row r="39" spans="1:7" s="214" customFormat="1" ht="13.5" customHeight="1">
      <c r="A39" s="255" t="s">
        <v>1534</v>
      </c>
      <c r="B39" s="210" t="s">
        <v>1535</v>
      </c>
      <c r="C39" s="232">
        <f ca="1">ROUND(C33*F20,0)</f>
        <v>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70</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403</v>
      </c>
      <c r="D45" s="235">
        <f ca="1">C47</f>
        <v>4.0000000000000001E-3</v>
      </c>
      <c r="E45" s="236" t="s">
        <v>1539</v>
      </c>
      <c r="F45" s="246">
        <f ca="1">F27</f>
        <v>0.2</v>
      </c>
      <c r="G45" s="247" t="s">
        <v>1548</v>
      </c>
    </row>
    <row r="46" spans="1:7" s="214" customFormat="1" ht="13.5" customHeight="1">
      <c r="A46" s="780" t="s">
        <v>346</v>
      </c>
      <c r="B46" s="248" t="s">
        <v>1549</v>
      </c>
      <c r="C46" s="249">
        <f ca="1">ROUND((C33+C39)*F27,0)</f>
        <v>403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2695</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2291</v>
      </c>
      <c r="D51" s="232"/>
      <c r="E51" s="232"/>
      <c r="F51" s="264"/>
      <c r="G51" s="234" t="s">
        <v>1560</v>
      </c>
    </row>
    <row r="52" spans="1:7" s="208" customFormat="1" ht="16.5" thickBot="1">
      <c r="A52" s="265" t="s">
        <v>1561</v>
      </c>
      <c r="B52" s="266"/>
      <c r="C52" s="267">
        <f ca="1">C31+C51</f>
        <v>5186</v>
      </c>
      <c r="D52" s="266"/>
      <c r="E52" s="266"/>
      <c r="F52" s="266"/>
      <c r="G52" s="268"/>
    </row>
    <row r="55" spans="1:7" ht="15">
      <c r="B55" s="270" t="s">
        <v>1562</v>
      </c>
      <c r="C55" s="271"/>
    </row>
    <row r="56" spans="1:7">
      <c r="B56" s="273" t="s">
        <v>802</v>
      </c>
      <c r="C56" s="275">
        <f ca="1">1-C57</f>
        <v>0.55800000000000005</v>
      </c>
    </row>
    <row r="57" spans="1:7">
      <c r="B57" s="273" t="s">
        <v>803</v>
      </c>
      <c r="C57" s="274">
        <f ca="1">ROUND(C51/C52,3)</f>
        <v>0.442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2489.4537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6845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691041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691041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691041</v>
      </c>
      <c r="D10" s="845">
        <f ca="1">IF(B1="",'数据-汇总表'!E6,IF(INDIRECT("'数据-取费表'!c"&amp;$G$1)="住宅",INDIRECT("'数据-取费表'!s"&amp;$G$1),INDIRECT("'数据-取费表'!k"&amp;$G$1)+INDIRECT("'数据-取费表'!s"&amp;$G$1)))</f>
        <v>3637.06</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727412</v>
      </c>
      <c r="D19" s="849">
        <f ca="1">D9+D10</f>
        <v>3637.06</v>
      </c>
      <c r="E19" s="211">
        <f>'数据-取费表'!B31</f>
        <v>200</v>
      </c>
      <c r="F19" s="231"/>
      <c r="G19" s="1856"/>
    </row>
    <row r="20" spans="1:7" s="214" customFormat="1" ht="13.5" customHeight="1">
      <c r="A20" s="255" t="s">
        <v>1574</v>
      </c>
      <c r="B20" s="210" t="s">
        <v>1575</v>
      </c>
      <c r="C20" s="232">
        <f ca="1">ROUND((C5+C19)*F20,0)</f>
        <v>28369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103505</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49935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52563</v>
      </c>
      <c r="D24" s="238"/>
      <c r="E24" s="238"/>
      <c r="F24" s="239"/>
      <c r="G24" s="240" t="s">
        <v>1586</v>
      </c>
    </row>
    <row r="25" spans="1:7" s="214" customFormat="1" ht="24">
      <c r="A25" s="780" t="s">
        <v>1476</v>
      </c>
      <c r="B25" s="215" t="s">
        <v>1587</v>
      </c>
      <c r="C25" s="1128">
        <f ca="1">ROUND(IF('数据-取费表'!B22&lt;=1,C20*F22*'数据-取费表'!B22/2,C20*(POWER((1+F22),'数据-取费表'!B22/2)-1)),0)</f>
        <v>1007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289364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289364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1993381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19731051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18185300</v>
      </c>
      <c r="D34" s="217"/>
      <c r="E34" s="220"/>
      <c r="F34" s="257"/>
      <c r="G34" s="219"/>
    </row>
    <row r="35" spans="1:7" ht="13.5" customHeight="1">
      <c r="A35" s="780" t="s">
        <v>351</v>
      </c>
      <c r="B35" s="215" t="s">
        <v>1527</v>
      </c>
      <c r="C35" s="220">
        <f ca="1">ROUND(C34*F35,0)</f>
        <v>545559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727412</v>
      </c>
      <c r="D37" s="217">
        <f ca="1">D19</f>
        <v>3637.06</v>
      </c>
      <c r="E37" s="249">
        <f>'数据-取费表'!B35</f>
        <v>200</v>
      </c>
      <c r="F37" s="259"/>
      <c r="G37" s="261"/>
    </row>
    <row r="38" spans="1:7" ht="13.5" customHeight="1">
      <c r="A38" s="780" t="s">
        <v>354</v>
      </c>
      <c r="B38" s="215" t="s">
        <v>1533</v>
      </c>
      <c r="C38" s="220">
        <f ca="1">ROUND(C34*F38,0)</f>
        <v>272780</v>
      </c>
      <c r="D38" s="220"/>
      <c r="E38" s="220"/>
      <c r="F38" s="259">
        <f>'数据-取费表'!B36</f>
        <v>1.4999999999999999E-2</v>
      </c>
      <c r="G38" s="219" t="s">
        <v>1528</v>
      </c>
    </row>
    <row r="39" spans="1:7" s="214" customFormat="1" ht="13.5" customHeight="1">
      <c r="A39" s="255" t="s">
        <v>1534</v>
      </c>
      <c r="B39" s="210" t="s">
        <v>1535</v>
      </c>
      <c r="C39" s="232">
        <f ca="1">ROUND(C33*F20,0)</f>
        <v>394621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714461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700452</v>
      </c>
      <c r="D42" s="238"/>
      <c r="E42" s="238"/>
      <c r="F42" s="239"/>
      <c r="G42" s="3633" t="s">
        <v>1591</v>
      </c>
    </row>
    <row r="43" spans="1:7" ht="13.5" customHeight="1">
      <c r="A43" s="780" t="s">
        <v>347</v>
      </c>
      <c r="B43" s="215" t="s">
        <v>1545</v>
      </c>
      <c r="C43" s="238">
        <f ca="1">ROUND(IF('数据-取费表'!B22&lt;=1,C39*F22*'数据-取费表'!B20/2,C39*(POWER((1+F22),'数据-取费表'!B20/2)-1)),0)</f>
        <v>14009</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4025134</v>
      </c>
      <c r="D45" s="235">
        <f ca="1">C47</f>
        <v>4.0000000000000001E-3</v>
      </c>
      <c r="E45" s="236" t="s">
        <v>1539</v>
      </c>
      <c r="F45" s="246">
        <f ca="1">F27</f>
        <v>0.2</v>
      </c>
      <c r="G45" s="247" t="s">
        <v>1548</v>
      </c>
    </row>
    <row r="46" spans="1:7" s="214" customFormat="1" ht="13.5" customHeight="1">
      <c r="A46" s="780" t="s">
        <v>346</v>
      </c>
      <c r="B46" s="248" t="s">
        <v>1549</v>
      </c>
      <c r="C46" s="249">
        <f ca="1">ROUND((C33+C39)*F27,0)</f>
        <v>4025134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26942537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22901156</v>
      </c>
      <c r="D51" s="232"/>
      <c r="E51" s="232"/>
      <c r="F51" s="264"/>
      <c r="G51" s="234" t="s">
        <v>1560</v>
      </c>
    </row>
    <row r="52" spans="1:7" s="208" customFormat="1" ht="16.5" thickBot="1">
      <c r="A52" s="265" t="s">
        <v>1561</v>
      </c>
      <c r="B52" s="266"/>
      <c r="C52" s="267">
        <f ca="1">C31+C51</f>
        <v>24894537</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24" sqref="Q2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3637.06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3637.06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69</v>
      </c>
      <c r="D20" s="846">
        <f ca="1">IF(C1="",'数据-汇总表'!E6,IF(INDIRECT("'数据-取费表'!c"&amp;$K$1)="住宅",INDIRECT("'数据-取费表'!s"&amp;$K$1),INDIRECT("'数据-取费表'!k"&amp;$K$1)+INDIRECT("'数据-取费表'!s"&amp;$K$1)))</f>
        <v>3637.06</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70" zoomScaleNormal="80" zoomScaleSheetLayoutView="70" workbookViewId="0">
      <selection activeCell="O8" sqref="O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3637.06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1933</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Ⅸ-兴1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7821</v>
      </c>
      <c r="U2" s="1213">
        <f>550.89+530.08</f>
        <v>1080.97</v>
      </c>
      <c r="V2" s="3361">
        <f>ROUND(T2*U2/10000,0)</f>
        <v>845</v>
      </c>
      <c r="W2" s="1216"/>
      <c r="X2" s="1216"/>
      <c r="Y2" s="1216"/>
      <c r="Z2" s="1216"/>
      <c r="AA2" s="1216"/>
      <c r="AB2" s="1216"/>
      <c r="AC2" s="1217"/>
      <c r="AD2" s="1218"/>
      <c r="AE2" s="1218"/>
      <c r="AF2" s="1218"/>
      <c r="AG2" s="1218"/>
      <c r="AH2" s="1218"/>
      <c r="AI2" s="1218"/>
      <c r="AJ2" s="1219"/>
    </row>
    <row r="3" spans="1:36" ht="15.75">
      <c r="A3" s="203" t="s">
        <v>1940</v>
      </c>
      <c r="B3" s="204">
        <f>ROUND(B2*10000/D1,0)</f>
        <v>5315</v>
      </c>
      <c r="C3" s="1999" t="s">
        <v>1941</v>
      </c>
      <c r="D3" s="2000" t="s">
        <v>1942</v>
      </c>
      <c r="E3" s="3420" t="s">
        <v>2443</v>
      </c>
      <c r="F3" s="2004" t="s">
        <v>3389</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6029</v>
      </c>
      <c r="U3" s="1213">
        <v>732.94</v>
      </c>
      <c r="V3" s="3361">
        <f t="shared" ref="V3:V16" si="1">ROUND(T3*U3/10000,0)</f>
        <v>442</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4918</v>
      </c>
      <c r="U4" s="1213">
        <v>767.92</v>
      </c>
      <c r="V4" s="3361">
        <f t="shared" si="1"/>
        <v>378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5465</v>
      </c>
      <c r="D5" s="1339">
        <f>ROUND(C6*C17+C20,0)</f>
        <v>5465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4175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5430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3804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5430</v>
      </c>
      <c r="N9" s="866">
        <f>SUMPRODUCT((因素修正幅度!B277:B326=I2)*(因素修正幅度!C3:G3=E2)*(因素修正幅度!C277:G326))</f>
        <v>0.15</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35</v>
      </c>
      <c r="D20" s="3341" t="s">
        <v>1998</v>
      </c>
      <c r="E20" s="3342"/>
      <c r="F20" s="3755" t="s">
        <v>1995</v>
      </c>
      <c r="G20" s="3756"/>
      <c r="H20" s="3326" t="s">
        <v>3391</v>
      </c>
      <c r="I20" s="3326" t="s">
        <v>3392</v>
      </c>
      <c r="J20" s="3327" t="s">
        <v>3393</v>
      </c>
      <c r="K20" s="2047" t="s">
        <v>3394</v>
      </c>
      <c r="L20" s="2047" t="s">
        <v>3395</v>
      </c>
      <c r="M20" s="2047" t="s">
        <v>3396</v>
      </c>
      <c r="N20" s="2047" t="s">
        <v>3397</v>
      </c>
      <c r="O20" s="2048" t="s">
        <v>3398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3399</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45138</v>
      </c>
      <c r="H23" s="3343" t="s">
        <v>3261</v>
      </c>
      <c r="I23" s="3344" t="str">
        <f>IF(H23="季度增幅（自定义）",SUMIF(N25:N28,E2,O25:O28),"")</f>
        <v/>
      </c>
      <c r="J23" s="3446" t="s">
        <v>3400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0.89290000000000003</v>
      </c>
      <c r="D24" s="2060" t="s">
        <v>2007</v>
      </c>
      <c r="E24" s="1335">
        <f>存贷款利率!E23/100</f>
        <v>4.3499999999999997E-2</v>
      </c>
      <c r="F24" s="2060" t="s">
        <v>1999</v>
      </c>
      <c r="G24" s="768">
        <f>SUMIF(M30:Q30,E2,M33:Q33)</f>
        <v>5.5E-2</v>
      </c>
      <c r="H24" s="2060" t="s">
        <v>2008</v>
      </c>
      <c r="I24" s="769">
        <f>SUMIF('数据-取费表'!C6:C15,E2,'数据-取费表'!F6:F15)/COUNTIF('数据-取费表'!C6:C15,E2)</f>
        <v>28.97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1933</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'数据-基础表'!I13</f>
        <v>2581.83</v>
      </c>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2536</v>
      </c>
      <c r="D37" s="2098">
        <f>'数据-汇总表'!G19</f>
        <v>1055.23</v>
      </c>
      <c r="E37" s="171">
        <f>ROUND(C37*D37/10000,0)</f>
        <v>268</v>
      </c>
      <c r="F37" s="171">
        <f>SUMIF(修正!A57:A68,G2,修正!B57:B68)</f>
        <v>0.5</v>
      </c>
      <c r="G37" s="171">
        <f>ROUND(IF(E2="工业",C37*$M$42,C37*$M$41),0)</f>
        <v>634</v>
      </c>
      <c r="H37" s="171">
        <f>D37</f>
        <v>1055.23</v>
      </c>
      <c r="I37" s="171">
        <f>ROUND(G37*H37/10000,0)</f>
        <v>67</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1015</v>
      </c>
      <c r="D38" s="2098"/>
      <c r="E38" s="171">
        <f t="shared" ref="E38:E42" si="4">ROUND(C38*D38/10000,0)</f>
        <v>0</v>
      </c>
      <c r="F38" s="171">
        <f>SUMIF(修正!A57:A68,G2,修正!C57:C68)</f>
        <v>0.2</v>
      </c>
      <c r="G38" s="171">
        <f>ROUND(IF(E2="工业",C38*$M$42,C38*$M$41),0)</f>
        <v>254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1015</v>
      </c>
      <c r="D39" s="2098"/>
      <c r="E39" s="171">
        <f t="shared" si="4"/>
        <v>0</v>
      </c>
      <c r="F39" s="171">
        <f>SUMIF(修正!A57:A68,G2,修正!D57:D68)</f>
        <v>0.2</v>
      </c>
      <c r="G39" s="171">
        <f>ROUND(IF(E2="工业",C39*$M$42,C39*$M$41),0)</f>
        <v>254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1015</v>
      </c>
      <c r="D40" s="2098"/>
      <c r="E40" s="171">
        <f t="shared" si="4"/>
        <v>0</v>
      </c>
      <c r="F40" s="175">
        <f>SUMIF(修正!A57:A68,G2,修正!E57:E68)</f>
        <v>0.2</v>
      </c>
      <c r="G40" s="171">
        <f>ROUND(IF(E2="工业",C40*$M$42,C40*$M$41),0)</f>
        <v>254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0.15</v>
      </c>
      <c r="G50" s="1063"/>
      <c r="H50" s="1066">
        <f t="shared" ref="H50:H58" si="8">IFERROR(ROUNDDOWN($F$50*I50/2,4),"——")</f>
        <v>2.2499999999999999E-2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1.6500000000000001E-2</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f t="shared" si="8"/>
        <v>8.9999999999999993E-3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3.7000000000000002E-3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6.0000000000000001E-3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3.7000000000000002E-3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f t="shared" si="8"/>
        <v>3.7000000000000002E-3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f t="shared" si="8"/>
        <v>6.0000000000000001E-3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f t="shared" si="8"/>
        <v>3.7000000000000002E-3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v>
      </c>
      <c r="C116" s="3400" t="s">
        <v>3318</v>
      </c>
      <c r="D116" s="3401">
        <f>SUMPRODUCT((A118:A122=F116)*(B117:M117=H116)*B118:M122)</f>
        <v>0.81259999999999999</v>
      </c>
      <c r="E116" s="2000" t="s">
        <v>3319</v>
      </c>
      <c r="F116" s="3402" t="str">
        <f>E2</f>
        <v>商业</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3334</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3335</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3336</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28.97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3677</v>
      </c>
      <c r="C2" s="1387" t="s">
        <v>805</v>
      </c>
      <c r="D2" s="1387"/>
      <c r="E2" s="1388"/>
      <c r="F2" s="1389"/>
      <c r="G2" s="2706"/>
      <c r="H2" s="2695"/>
      <c r="I2" s="2695"/>
      <c r="J2" s="2695"/>
      <c r="K2" s="2696"/>
      <c r="L2" s="2695"/>
      <c r="M2" s="2695"/>
    </row>
    <row r="3" spans="1:37" ht="18" customHeight="1" thickBot="1">
      <c r="A3" s="1390" t="s">
        <v>806</v>
      </c>
      <c r="B3" s="1391">
        <f ca="1">IF(ISERROR(B2*10000/F43),0,ROUND(B2*10000/F43,0))</f>
        <v>10110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293</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293</v>
      </c>
      <c r="D6" s="155" t="s">
        <v>2109</v>
      </c>
      <c r="E6" s="302" t="s">
        <v>696</v>
      </c>
      <c r="F6" s="303">
        <f ca="1">INDIRECT("'数据-取费表'!u"&amp;$G$1)</f>
        <v>2.4500000000000002</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3637.06</v>
      </c>
      <c r="G7" s="1384"/>
      <c r="H7" s="304"/>
      <c r="I7" s="3639"/>
      <c r="J7" s="306"/>
      <c r="K7" s="307"/>
      <c r="L7" s="302" t="s">
        <v>697</v>
      </c>
      <c r="M7" s="303">
        <f ca="1">F7</f>
        <v>3637.06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2291</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1819</v>
      </c>
      <c r="D14" s="1345" t="s">
        <v>708</v>
      </c>
      <c r="E14" s="1342"/>
      <c r="F14" s="319"/>
      <c r="G14" s="1384"/>
      <c r="H14" s="982" t="s">
        <v>398</v>
      </c>
      <c r="I14" s="302" t="s">
        <v>709</v>
      </c>
      <c r="J14" s="21">
        <f ca="1">C29</f>
        <v>2695</v>
      </c>
      <c r="K14" s="12"/>
      <c r="L14" s="807"/>
      <c r="M14" s="808"/>
    </row>
    <row r="15" spans="1:37" s="1397" customFormat="1" ht="18" customHeight="1" thickBot="1">
      <c r="A15" s="982" t="s">
        <v>399</v>
      </c>
      <c r="B15" s="302" t="s">
        <v>710</v>
      </c>
      <c r="C15" s="21">
        <f ca="1">ROUND(C14*F15,0)</f>
        <v>55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v>
      </c>
      <c r="K16" s="1087" t="s">
        <v>715</v>
      </c>
      <c r="L16" s="1088"/>
      <c r="M16" s="1072"/>
    </row>
    <row r="17" spans="1:37" s="1397" customFormat="1" ht="18" customHeight="1">
      <c r="A17" s="982" t="s">
        <v>681</v>
      </c>
      <c r="B17" s="302" t="s">
        <v>716</v>
      </c>
      <c r="C17" s="21">
        <f ca="1">ROUND(F17*(F43+INDIRECT("'数据-取费表'!S"&amp;$G$1))/10000,0)</f>
        <v>73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1974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39</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26.95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-27</v>
      </c>
      <c r="K25" s="1095" t="s">
        <v>753</v>
      </c>
      <c r="L25" s="1096"/>
      <c r="M25" s="1097"/>
    </row>
    <row r="26" spans="1:37">
      <c r="A26" s="982" t="s">
        <v>397</v>
      </c>
      <c r="B26" s="302" t="s">
        <v>754</v>
      </c>
      <c r="C26" s="21">
        <f ca="1">ROUND((C19+C20)*F26,0)</f>
        <v>403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2695</v>
      </c>
      <c r="D29" s="1092"/>
      <c r="E29" s="1090"/>
      <c r="F29" s="1093"/>
      <c r="G29" s="1396"/>
      <c r="H29" s="334" t="s">
        <v>396</v>
      </c>
      <c r="I29" s="335" t="s">
        <v>768</v>
      </c>
      <c r="J29" s="336">
        <f ca="1">ROUND(J26/(1+F40)^F41,0)</f>
        <v>0</v>
      </c>
      <c r="K29" s="337" t="s">
        <v>769</v>
      </c>
      <c r="L29" s="338"/>
      <c r="M29" s="339">
        <f ca="1">INDIRECT("'数据-取费表'!k"&amp;$G$1)</f>
        <v>3637.06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48.84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15.35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33.49</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26.95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2.29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2.93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212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3561</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9791</v>
      </c>
      <c r="D43" s="337" t="s">
        <v>777</v>
      </c>
      <c r="E43" s="338" t="s">
        <v>778</v>
      </c>
      <c r="F43" s="339">
        <f ca="1">INDIRECT("'数据-取费表'!k"&amp;$G$1)</f>
        <v>3637.06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-3955</v>
      </c>
      <c r="D46" s="1406" t="str">
        <f>C2</f>
        <v>万元</v>
      </c>
      <c r="E46" s="1400"/>
      <c r="F46" s="1400"/>
      <c r="I46" s="1407" t="s">
        <v>810</v>
      </c>
      <c r="J46" s="1408"/>
      <c r="K46" s="1409"/>
      <c r="L46" s="1410">
        <f ca="1">IF(M47="住宅",0,IF(L48&gt;J51,L60,J60))</f>
        <v>116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40</v>
      </c>
      <c r="M47" s="1380" t="str">
        <f>IF(ISNUMBER(FIND("住宅",C1)),"住宅","非住宅")</f>
        <v>非住宅</v>
      </c>
      <c r="O47" s="1418" t="s">
        <v>403</v>
      </c>
      <c r="P47" s="1419" t="s">
        <v>817</v>
      </c>
      <c r="Q47" s="1420">
        <f ca="1">C40+J29</f>
        <v>3561</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28.97</v>
      </c>
      <c r="O48" s="1418" t="s">
        <v>404</v>
      </c>
      <c r="P48" s="1419" t="s">
        <v>821</v>
      </c>
      <c r="Q48" s="1420">
        <f ca="1">J60</f>
        <v>116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2695</v>
      </c>
      <c r="R49" s="1420" t="s">
        <v>818</v>
      </c>
    </row>
    <row r="50" spans="1:18" s="1384" customFormat="1" ht="13.5" thickBot="1">
      <c r="A50" s="976"/>
      <c r="B50" s="979"/>
      <c r="C50" s="1118"/>
      <c r="D50" s="953"/>
      <c r="E50" s="1056" t="s">
        <v>697</v>
      </c>
      <c r="F50" s="1057">
        <f ca="1">F7</f>
        <v>3637.06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683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28.97</v>
      </c>
      <c r="K53" s="3636" t="s">
        <v>837</v>
      </c>
      <c r="L53" s="3637"/>
      <c r="O53" s="1418" t="s">
        <v>409</v>
      </c>
      <c r="P53" s="1419" t="s">
        <v>838</v>
      </c>
      <c r="Q53" s="1420">
        <f ca="1">Q47+Q48</f>
        <v>3677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2291</v>
      </c>
      <c r="D56" s="1447"/>
      <c r="E56" s="1448"/>
      <c r="F56" s="1440"/>
      <c r="I56" s="1449" t="s">
        <v>842</v>
      </c>
      <c r="J56" s="1450" t="s">
        <v>3408</v>
      </c>
      <c r="K56" s="1421" t="s">
        <v>843</v>
      </c>
      <c r="L56" s="1424" t="str">
        <f ca="1">IF(L48&lt;J51,"——",L48-J53)</f>
        <v>——</v>
      </c>
      <c r="O56" s="1418" t="s">
        <v>403</v>
      </c>
      <c r="P56" s="1419" t="s">
        <v>817</v>
      </c>
      <c r="Q56" s="1420">
        <f ca="1">C40+J29</f>
        <v>3561</v>
      </c>
      <c r="R56" s="1420" t="s">
        <v>818</v>
      </c>
    </row>
    <row r="57" spans="1:18" s="1384" customFormat="1" ht="24.75" thickBot="1">
      <c r="A57" s="1451"/>
      <c r="B57" s="950" t="s">
        <v>767</v>
      </c>
      <c r="C57" s="238">
        <f ca="1">C29</f>
        <v>2695</v>
      </c>
      <c r="D57" s="1452"/>
      <c r="E57" s="1453"/>
      <c r="F57" s="1454"/>
      <c r="I57" s="1455" t="s">
        <v>844</v>
      </c>
      <c r="J57" s="1456">
        <f ca="1">IF(OR(M47="住宅",J51&lt;L48,J56="是"),"——",J51-L48)</f>
        <v>22.03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3561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26.95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2.29</v>
      </c>
      <c r="D65" s="964" t="s">
        <v>743</v>
      </c>
      <c r="E65" s="950" t="s">
        <v>744</v>
      </c>
      <c r="F65" s="330">
        <f t="shared" ca="1" si="0"/>
        <v>1E-3</v>
      </c>
      <c r="I65" s="1462" t="s">
        <v>867</v>
      </c>
      <c r="J65" s="1463">
        <v>40</v>
      </c>
      <c r="K65" s="1463">
        <v>30</v>
      </c>
      <c r="L65" s="1463">
        <v>50</v>
      </c>
      <c r="M65" s="1465">
        <v>0.02</v>
      </c>
      <c r="O65" s="1418" t="s">
        <v>403</v>
      </c>
      <c r="P65" s="1419" t="s">
        <v>868</v>
      </c>
      <c r="Q65" s="1420">
        <f ca="1">C40+J29</f>
        <v>3561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-29</v>
      </c>
      <c r="D67" s="963" t="s">
        <v>753</v>
      </c>
      <c r="E67" s="968"/>
      <c r="F67" s="969"/>
      <c r="O67" s="1428" t="s">
        <v>405</v>
      </c>
      <c r="P67" s="1419" t="s">
        <v>850</v>
      </c>
      <c r="Q67" s="1466">
        <f ca="1">L51</f>
        <v>683</v>
      </c>
      <c r="R67" s="1420" t="s">
        <v>870</v>
      </c>
    </row>
    <row r="68" spans="1:18" s="1384" customFormat="1" ht="16.5" thickBot="1">
      <c r="A68" s="947" t="s">
        <v>395</v>
      </c>
      <c r="B68" s="948" t="s">
        <v>774</v>
      </c>
      <c r="C68" s="301">
        <f ca="1">ROUND(C67*(1-((1+F70)/(1+F68))^F69)/(F68-F70),0)</f>
        <v>-394</v>
      </c>
      <c r="D68" s="965" t="s">
        <v>758</v>
      </c>
      <c r="E68" s="950" t="s">
        <v>759</v>
      </c>
      <c r="F68" s="312">
        <f ca="1">F40</f>
        <v>0.06</v>
      </c>
      <c r="O68" s="1428" t="s">
        <v>406</v>
      </c>
      <c r="P68" s="1467" t="s">
        <v>871</v>
      </c>
      <c r="Q68" s="1420">
        <f ca="1">ROUND(Q69-Q70*Q71,0)</f>
        <v>40</v>
      </c>
      <c r="R68" s="1420" t="s">
        <v>414</v>
      </c>
    </row>
    <row r="69" spans="1:18" s="1384" customFormat="1" ht="13.5" thickBot="1">
      <c r="A69" s="951"/>
      <c r="B69" s="952"/>
      <c r="C69" s="306"/>
      <c r="D69" s="970" t="s">
        <v>762</v>
      </c>
      <c r="E69" s="950" t="s">
        <v>763</v>
      </c>
      <c r="F69" s="333">
        <f ca="1">F41</f>
        <v>28.97</v>
      </c>
      <c r="O69" s="1428" t="s">
        <v>411</v>
      </c>
      <c r="P69" s="1467" t="s">
        <v>872</v>
      </c>
      <c r="Q69" s="1420">
        <f ca="1">C39</f>
        <v>212</v>
      </c>
      <c r="R69" s="1420" t="s">
        <v>818</v>
      </c>
    </row>
    <row r="70" spans="1:18" s="1384" customFormat="1" ht="13.5" thickBot="1">
      <c r="A70" s="954"/>
      <c r="B70" s="955"/>
      <c r="C70" s="310"/>
      <c r="D70" s="966"/>
      <c r="E70" s="950" t="s">
        <v>766</v>
      </c>
      <c r="F70" s="1054"/>
      <c r="O70" s="1428" t="s">
        <v>412</v>
      </c>
      <c r="P70" s="1467" t="s">
        <v>873</v>
      </c>
      <c r="Q70" s="1420">
        <f ca="1">C13</f>
        <v>2291</v>
      </c>
      <c r="R70" s="1420" t="s">
        <v>818</v>
      </c>
    </row>
    <row r="71" spans="1:18" s="1384" customFormat="1" ht="13.5" thickBot="1">
      <c r="A71" s="971" t="s">
        <v>396</v>
      </c>
      <c r="B71" s="972" t="s">
        <v>776</v>
      </c>
      <c r="C71" s="336">
        <f ca="1">ROUND(C68*10000/F71,0)</f>
        <v>-1083</v>
      </c>
      <c r="D71" s="973" t="s">
        <v>777</v>
      </c>
      <c r="E71" s="974" t="s">
        <v>778</v>
      </c>
      <c r="F71" s="339">
        <f ca="1">F43</f>
        <v>3637.06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172</v>
      </c>
      <c r="D75" s="1384"/>
      <c r="E75" s="1384"/>
      <c r="F75" s="1384"/>
      <c r="K75" s="1402"/>
      <c r="L75" s="1384"/>
      <c r="O75" s="1418" t="s">
        <v>409</v>
      </c>
      <c r="P75" s="1419" t="s">
        <v>838</v>
      </c>
      <c r="Q75" s="1420">
        <f ca="1">Q65+Q66</f>
        <v>3561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0.18899999999999995</v>
      </c>
    </row>
    <row r="80" spans="1:18">
      <c r="B80" s="340" t="s">
        <v>800</v>
      </c>
      <c r="C80" s="274">
        <f ca="1">ROUND(C75/C39,3)</f>
        <v>0.81100000000000005</v>
      </c>
    </row>
    <row r="81" spans="2:3">
      <c r="B81" s="270" t="s">
        <v>801</v>
      </c>
      <c r="C81" s="238"/>
    </row>
    <row r="82" spans="2:3">
      <c r="B82" s="273" t="s">
        <v>802</v>
      </c>
      <c r="C82" s="275">
        <f ca="1">1-C83</f>
        <v>0.35699999999999998</v>
      </c>
    </row>
    <row r="83" spans="2:3">
      <c r="B83" s="273" t="s">
        <v>803</v>
      </c>
      <c r="C83" s="274">
        <f ca="1">ROUND(C13/C40,3)</f>
        <v>0.64300000000000002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3677</v>
      </c>
      <c r="C2" s="1872" t="s">
        <v>1651</v>
      </c>
      <c r="D2" s="1873" t="s">
        <v>1652</v>
      </c>
      <c r="E2" s="2607">
        <f>SUM(E6:E13)</f>
        <v>3637.06</v>
      </c>
      <c r="F2" s="2707"/>
      <c r="G2" s="1489"/>
      <c r="H2" s="1489"/>
      <c r="I2" s="1489"/>
      <c r="J2" s="1489"/>
      <c r="K2" s="1489"/>
      <c r="L2" s="1489"/>
      <c r="M2" s="1489"/>
      <c r="N2" s="1489"/>
      <c r="O2" s="1489"/>
      <c r="P2" s="1489"/>
      <c r="Q2" s="1489"/>
      <c r="R2" s="1489"/>
      <c r="S2" s="1489"/>
    </row>
    <row r="3" spans="1:22" ht="15.75">
      <c r="A3" s="1870" t="s">
        <v>686</v>
      </c>
      <c r="B3" s="2601">
        <f ca="1">ROUND(B2*10000/E2,0)</f>
        <v>10110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3677</v>
      </c>
      <c r="C6" s="1872" t="s">
        <v>1651</v>
      </c>
      <c r="D6" s="2709"/>
      <c r="E6" s="2606">
        <f>IF(OR(A6=0,F6="否"),0,'数据-取费表'!K6+'数据-取费表'!S6)</f>
        <v>3637.06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3637.06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3637.06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45138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3637.06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45138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估价对象为北京市房地产，为所有。根据《国有土地使用证》[]，估价对象（分摊）出让国有建设用地使用权面积为0平方米，建筑面积为3637.06平方米。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估价对象为北京市房地产,属开发建设的，该项目尚在开发建设中。根据《国有土地使用证》[]，估价对象（分摊）出让国有建设用地使用权面积为0平方米，规划建筑面积为3637.06平方米。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3637.06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45138</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7" sqref="E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45138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t="s">
        <v>3378</v>
      </c>
      <c r="F8" s="367">
        <f>SUMIF(72:72,E8,73:73)-SUMIF(72:72,C8,73:73)+100</f>
        <v>100</v>
      </c>
      <c r="G8" s="368" t="s">
        <v>3378</v>
      </c>
      <c r="H8" s="365">
        <f>SUMIF(72:72,G8,73:73)-SUMIF(72:72,C8,73:73)+100</f>
        <v>100</v>
      </c>
      <c r="I8" s="368" t="s">
        <v>3378</v>
      </c>
      <c r="J8" s="365">
        <f>SUMIF(72:72,I8,73:73)-SUMIF(72:72,C8,73:73)+100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5" si="3">D8/F8</f>
        <v>1</v>
      </c>
      <c r="AB8" s="704">
        <f t="shared" ref="AB8:AB45" si="4">D8/H8</f>
        <v>1</v>
      </c>
      <c r="AC8" s="704">
        <f t="shared" ref="AC8:AC45" si="5">D8/J8</f>
        <v>1</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65"/>
      <c r="Q10" s="1343" t="str">
        <f t="shared" si="6"/>
        <v>土地使用年限（年）</v>
      </c>
      <c r="R10" s="701" t="s">
        <v>14</v>
      </c>
      <c r="S10" s="702">
        <f t="shared" si="0"/>
        <v>112</v>
      </c>
      <c r="T10" s="701" t="s">
        <v>14</v>
      </c>
      <c r="U10" s="702">
        <f t="shared" si="1"/>
        <v>112</v>
      </c>
      <c r="V10" s="701" t="s">
        <v>14</v>
      </c>
      <c r="W10" s="702">
        <f t="shared" si="2"/>
        <v>112</v>
      </c>
      <c r="X10" s="703"/>
      <c r="Y10" s="3540"/>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2581.83</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2581.83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65"/>
      <c r="Q10" s="1343" t="str">
        <f t="shared" si="6"/>
        <v>土地使用年限（年）</v>
      </c>
      <c r="R10" s="701" t="s">
        <v>14</v>
      </c>
      <c r="S10" s="702">
        <f t="shared" si="0"/>
        <v>112</v>
      </c>
      <c r="T10" s="701" t="s">
        <v>14</v>
      </c>
      <c r="U10" s="702">
        <f t="shared" si="1"/>
        <v>112</v>
      </c>
      <c r="V10" s="701" t="s">
        <v>14</v>
      </c>
      <c r="W10" s="702">
        <f t="shared" si="2"/>
        <v>112</v>
      </c>
      <c r="X10" s="703"/>
      <c r="Y10" s="3540"/>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2581.83</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1933</v>
      </c>
      <c r="C2" s="2145" t="s">
        <v>2074</v>
      </c>
      <c r="D2" s="2145" t="s">
        <v>2075</v>
      </c>
      <c r="E2" s="2612">
        <f ca="1">SUMIF(E6:E13,"&lt;&gt;#ref!",E6:E13)</f>
        <v>3637.06</v>
      </c>
      <c r="F2" s="2793"/>
      <c r="G2" s="2793"/>
      <c r="H2" s="2793"/>
      <c r="I2" s="2793"/>
      <c r="J2" s="2793"/>
      <c r="K2" s="2793"/>
      <c r="L2" s="2793"/>
      <c r="M2" s="2793"/>
      <c r="N2" s="2793"/>
      <c r="O2" s="2793"/>
      <c r="P2" s="2793"/>
    </row>
    <row r="3" spans="1:16" ht="15.75">
      <c r="A3" s="2145" t="s">
        <v>2076</v>
      </c>
      <c r="B3" s="2602">
        <f ca="1">ROUND(B2*10000/E2,0)</f>
        <v>5315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1933</v>
      </c>
      <c r="C6" s="2145" t="s">
        <v>2074</v>
      </c>
      <c r="D6" s="2793"/>
      <c r="E6" s="2612">
        <f ca="1">SUMIF(INDIRECT("'"&amp;A6&amp;"'"&amp;"!C:C"),"建筑面积",INDIRECT("'"&amp;A6&amp;"'"&amp;"!D:D"))</f>
        <v>3637.06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31356</v>
      </c>
      <c r="C2" s="2" t="s">
        <v>106</v>
      </c>
      <c r="D2" s="199"/>
      <c r="E2" s="199"/>
      <c r="F2" s="199"/>
      <c r="G2" s="199"/>
    </row>
    <row r="3" spans="1:7" s="200" customFormat="1" ht="18" customHeight="1" thickBot="1">
      <c r="A3" s="203" t="s">
        <v>58</v>
      </c>
      <c r="B3" s="204">
        <f ca="1">ROUND(B2*10000/'数据-汇总表'!E3,0)</f>
        <v>86212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69</v>
      </c>
      <c r="D10" s="845">
        <f>'数据-汇总表'!E6</f>
        <v>3637.06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v>
      </c>
      <c r="D19" s="849">
        <f>'数据-汇总表'!E3</f>
        <v>3637.06</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1509</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4219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29065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1819</v>
      </c>
      <c r="D34" s="217"/>
      <c r="E34" s="220"/>
      <c r="F34" s="257">
        <f>IF('数据-取费表'!B24=0,1,'数据-取费表'!N16)</f>
        <v>1</v>
      </c>
      <c r="G34" s="219" t="s">
        <v>89</v>
      </c>
    </row>
    <row r="35" spans="1:7" ht="13.5" customHeight="1">
      <c r="A35" s="780" t="s">
        <v>351</v>
      </c>
      <c r="B35" s="215" t="s">
        <v>33</v>
      </c>
      <c r="C35" s="220">
        <f>ROUND(C34*F35,0)</f>
        <v>55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73</v>
      </c>
      <c r="D37" s="217">
        <f>'数据-汇总表'!E3</f>
        <v>3637.06</v>
      </c>
      <c r="E37" s="249">
        <f>'数据-取费表'!B35</f>
        <v>200</v>
      </c>
      <c r="F37" s="259"/>
      <c r="G37" s="261" t="s">
        <v>92</v>
      </c>
    </row>
    <row r="38" spans="1:7" ht="13.5" customHeight="1">
      <c r="A38" s="780" t="s">
        <v>354</v>
      </c>
      <c r="B38" s="215" t="s">
        <v>36</v>
      </c>
      <c r="C38" s="220">
        <f>ROUND(C34*F38,0)</f>
        <v>27</v>
      </c>
      <c r="D38" s="220"/>
      <c r="E38" s="220"/>
      <c r="F38" s="259">
        <f>'数据-取费表'!B36</f>
        <v>1.4999999999999999E-2</v>
      </c>
      <c r="G38" s="219" t="s">
        <v>90</v>
      </c>
    </row>
    <row r="39" spans="1:7" s="214" customFormat="1" ht="13.5" customHeight="1">
      <c r="A39" s="777" t="s">
        <v>338</v>
      </c>
      <c r="B39" s="210" t="s">
        <v>77</v>
      </c>
      <c r="C39" s="232">
        <f>ROUND(C33*F20,0)</f>
        <v>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70</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403</v>
      </c>
      <c r="D45" s="235">
        <f>C47</f>
        <v>4.0000000000000001E-3</v>
      </c>
      <c r="E45" s="236" t="s">
        <v>102</v>
      </c>
      <c r="F45" s="246"/>
      <c r="G45" s="247" t="s">
        <v>434</v>
      </c>
    </row>
    <row r="46" spans="1:7" s="214" customFormat="1" ht="13.5" customHeight="1">
      <c r="A46" s="780" t="s">
        <v>349</v>
      </c>
      <c r="B46" s="248" t="s">
        <v>427</v>
      </c>
      <c r="C46" s="249">
        <f>ROUND((C33+C39)*F27,0)</f>
        <v>403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2695</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2291</v>
      </c>
      <c r="D51" s="232"/>
      <c r="E51" s="232"/>
      <c r="F51" s="264"/>
      <c r="G51" s="234" t="s">
        <v>37</v>
      </c>
    </row>
    <row r="52" spans="1:7" s="208" customFormat="1" ht="16.5" thickBot="1">
      <c r="A52" s="265" t="s">
        <v>38</v>
      </c>
      <c r="B52" s="266"/>
      <c r="C52" s="267">
        <f ca="1">C31+C51</f>
        <v>31356</v>
      </c>
      <c r="D52" s="266"/>
      <c r="E52" s="266"/>
      <c r="F52" s="266"/>
      <c r="G52" s="268"/>
    </row>
    <row r="55" spans="1:7" ht="15">
      <c r="B55" s="270" t="s">
        <v>39</v>
      </c>
      <c r="C55" s="271"/>
    </row>
    <row r="56" spans="1:7">
      <c r="B56" s="273" t="s">
        <v>40</v>
      </c>
      <c r="C56" s="274">
        <f ca="1">ROUND(C51/C52,3)</f>
        <v>7.2999999999999995E-2</v>
      </c>
    </row>
    <row r="57" spans="1:7">
      <c r="B57" s="273" t="s">
        <v>41</v>
      </c>
      <c r="C57" s="275">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0" zoomScale="80" zoomScaleNormal="80" workbookViewId="0">
      <selection activeCell="G13" sqref="G13"/>
    </sheetView>
  </sheetViews>
  <sheetFormatPr defaultRowHeight="13.5"/>
  <cols>
    <col min="1" max="1" width="13.875" customWidth="1"/>
    <col min="11" max="17" width="0" hidden="1" customWidth="1"/>
    <col min="25" max="30" width="0" hidden="1" customWidth="1"/>
  </cols>
  <sheetData>
    <row r="1" spans="1:30">
      <c r="A1" s="3221">
        <f>基准地价修正!G23</f>
        <v>45138</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3637.06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2023-07-31T06:27:03Z</dcterms:modified>
</cp:coreProperties>
</file>