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05" windowWidth="14430" windowHeight="1132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4" r:id="rId14"/>
    <sheet name="分楼宇面积" sheetId="85" r:id="rId15"/>
    <sheet name="土地分摊表" sheetId="86" r:id="rId16"/>
    <sheet name="数据-汇总表" sheetId="6" r:id="rId17"/>
    <sheet name="数据-取费表" sheetId="1" r:id="rId18"/>
    <sheet name="估价对象房地状况" sheetId="20" r:id="rId19"/>
    <sheet name="系统读取表" sheetId="74" r:id="rId20"/>
    <sheet name="结果表" sheetId="9" r:id="rId21"/>
    <sheet name="合同地下补缴标准" sheetId="87" r:id="rId22"/>
    <sheet name="成本法" sheetId="68" r:id="rId23"/>
    <sheet name="成本法 (元)" sheetId="69" state="hidden" r:id="rId24"/>
    <sheet name="土地比较法-住宅、综合" sheetId="39" r:id="rId25"/>
    <sheet name="土地案例" sheetId="80"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收益法" sheetId="15" state="hidden" r:id="rId35"/>
    <sheet name="比较法-车位" sheetId="35"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住宅案例" sheetId="81" r:id="rId51"/>
    <sheet name="车位案例" sheetId="82" r:id="rId52"/>
    <sheet name="仓储案例" sheetId="83" r:id="rId53"/>
  </sheets>
  <externalReferences>
    <externalReference r:id="rId54"/>
    <externalReference r:id="rId55"/>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6">假设开发法!$A$1:$K$32</definedName>
    <definedName name="_xlnm.Print_Area" localSheetId="20">结果表!$A$1:$I$127</definedName>
    <definedName name="_xlnm.Print_Area" localSheetId="3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8" i="1" l="1"/>
  <c r="L8" i="1"/>
  <c r="N22" i="1" l="1"/>
  <c r="N23" i="1"/>
  <c r="N24" i="1"/>
  <c r="N25" i="1"/>
  <c r="N26" i="1"/>
  <c r="N27" i="1"/>
  <c r="N28" i="1"/>
  <c r="N29" i="1"/>
  <c r="N30" i="1"/>
  <c r="N31" i="1"/>
  <c r="N32" i="1"/>
  <c r="N33" i="1"/>
  <c r="N34" i="1"/>
  <c r="N21" i="1"/>
  <c r="N35" i="1" s="1"/>
  <c r="M34" i="1"/>
  <c r="O34" i="1" s="1"/>
  <c r="M33" i="1"/>
  <c r="O33" i="1" s="1"/>
  <c r="M32" i="1"/>
  <c r="O32" i="1" s="1"/>
  <c r="M31" i="1"/>
  <c r="O31" i="1" s="1"/>
  <c r="M30" i="1"/>
  <c r="O30" i="1" s="1"/>
  <c r="M29" i="1"/>
  <c r="O29" i="1" s="1"/>
  <c r="M28" i="1"/>
  <c r="O28" i="1" s="1"/>
  <c r="M27" i="1"/>
  <c r="O27" i="1" s="1"/>
  <c r="M26" i="1"/>
  <c r="O26" i="1" s="1"/>
  <c r="M25" i="1"/>
  <c r="O25" i="1" s="1"/>
  <c r="M24" i="1"/>
  <c r="O24" i="1" s="1"/>
  <c r="M23" i="1"/>
  <c r="O23" i="1" s="1"/>
  <c r="M22" i="1"/>
  <c r="O22" i="1" s="1"/>
  <c r="M21" i="1"/>
  <c r="O21" i="1" s="1"/>
  <c r="O35" i="1" l="1"/>
  <c r="M35" i="1" s="1"/>
  <c r="M40" i="1" s="1"/>
  <c r="I1064" i="86"/>
  <c r="L76" i="9" l="1"/>
  <c r="L75" i="9"/>
  <c r="N187" i="86" l="1"/>
  <c r="I5" i="36"/>
  <c r="G5" i="36"/>
  <c r="M40" i="83"/>
  <c r="M7" i="83"/>
  <c r="M59" i="82"/>
  <c r="M31" i="82"/>
  <c r="M33" i="82" s="1"/>
  <c r="M8" i="82"/>
  <c r="K192" i="86"/>
  <c r="K193" i="86"/>
  <c r="K194" i="86"/>
  <c r="J194" i="86"/>
  <c r="M13" i="3" s="1"/>
  <c r="G21" i="6" s="1"/>
  <c r="M76" i="9" s="1"/>
  <c r="N76" i="9" s="1"/>
  <c r="J193" i="86"/>
  <c r="K13" i="3" s="1"/>
  <c r="G20" i="6" s="1"/>
  <c r="M75" i="9" s="1"/>
  <c r="N75" i="9" s="1"/>
  <c r="J192" i="86"/>
  <c r="J195" i="86" l="1"/>
  <c r="J197" i="86" s="1"/>
  <c r="I13" i="3"/>
  <c r="F19" i="6" s="1"/>
  <c r="M74" i="9" s="1"/>
  <c r="N74" i="9" s="1"/>
  <c r="N77" i="9" s="1"/>
  <c r="C88" i="9" s="1"/>
  <c r="K195" i="86"/>
  <c r="A3" i="3" s="1"/>
  <c r="K197" i="86"/>
  <c r="I5" i="21"/>
  <c r="G5" i="21"/>
  <c r="E5" i="21"/>
  <c r="I38" i="39" l="1"/>
  <c r="G38" i="39"/>
  <c r="E38" i="39"/>
  <c r="I7" i="39"/>
  <c r="G7" i="39"/>
  <c r="E7" i="39"/>
  <c r="I5" i="39"/>
  <c r="G5" i="39"/>
  <c r="E5" i="39"/>
  <c r="AC13" i="85" l="1"/>
  <c r="AB13" i="85"/>
  <c r="AA13" i="85"/>
  <c r="Z13" i="85"/>
  <c r="Y13" i="85"/>
  <c r="X13" i="85"/>
  <c r="W13" i="85"/>
  <c r="V13" i="85"/>
  <c r="U13" i="85"/>
  <c r="S13" i="85"/>
  <c r="Q13" i="85"/>
  <c r="P13" i="85"/>
  <c r="O13" i="85"/>
  <c r="N13" i="85"/>
  <c r="M13" i="85"/>
  <c r="L13" i="85" l="1"/>
  <c r="K13" i="85"/>
  <c r="J13" i="85"/>
  <c r="I13" i="85"/>
  <c r="H13" i="85"/>
  <c r="G13" i="85"/>
  <c r="F13" i="85"/>
  <c r="E13" i="85"/>
  <c r="D13" i="85"/>
  <c r="C13" i="85"/>
  <c r="B13" i="85"/>
  <c r="AA9" i="85" l="1"/>
  <c r="Y9" i="85"/>
  <c r="U9" i="85"/>
  <c r="S9" i="85"/>
  <c r="Q9" i="85"/>
  <c r="M9" i="85"/>
  <c r="K9" i="85"/>
  <c r="I9" i="85"/>
  <c r="G9" i="85"/>
  <c r="E9" i="85"/>
  <c r="AD15" i="85"/>
  <c r="C3" i="85" s="1"/>
  <c r="D15" i="85"/>
  <c r="E8" i="85" s="1"/>
  <c r="F15" i="85"/>
  <c r="G8" i="85" s="1"/>
  <c r="H15" i="85"/>
  <c r="I8" i="85" s="1"/>
  <c r="J15" i="85"/>
  <c r="K8" i="85" s="1"/>
  <c r="L15" i="85"/>
  <c r="M8" i="85" s="1"/>
  <c r="N15" i="85"/>
  <c r="O8" i="85" s="1"/>
  <c r="P15" i="85"/>
  <c r="R15" i="85"/>
  <c r="S8" i="85" s="1"/>
  <c r="T15" i="85"/>
  <c r="V15" i="85"/>
  <c r="W8" i="85" s="1"/>
  <c r="X15" i="85"/>
  <c r="Y8" i="85" s="1"/>
  <c r="Z15" i="85"/>
  <c r="AA8" i="85" s="1"/>
  <c r="AB15" i="85"/>
  <c r="AC8" i="85" s="1"/>
  <c r="B15" i="85"/>
  <c r="C8" i="85" s="1"/>
  <c r="D21" i="84"/>
  <c r="C33" i="21" s="1"/>
  <c r="E21" i="84"/>
  <c r="F21" i="84"/>
  <c r="G21" i="84"/>
  <c r="H21" i="84"/>
  <c r="I21" i="84"/>
  <c r="J21" i="84"/>
  <c r="K21" i="84"/>
  <c r="L21" i="84"/>
  <c r="M21" i="84"/>
  <c r="N21" i="84"/>
  <c r="O21" i="84"/>
  <c r="C21" i="84"/>
  <c r="A2" i="83"/>
  <c r="E5" i="36" s="1"/>
  <c r="A53" i="82"/>
  <c r="I5" i="35" s="1"/>
  <c r="A28" i="82"/>
  <c r="G5" i="35" s="1"/>
  <c r="A2" i="82"/>
  <c r="E5" i="35" s="1"/>
  <c r="U8" i="85" l="1"/>
  <c r="Q8" i="85"/>
  <c r="AE10" i="85"/>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s="1"/>
  <c r="Q38" i="71"/>
  <c r="AB38" i="71" s="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Q34" i="71"/>
  <c r="AB34" i="71" s="1"/>
  <c r="P34" i="71"/>
  <c r="O34" i="71"/>
  <c r="N34" i="71"/>
  <c r="Q33" i="71"/>
  <c r="F34" i="71" s="1"/>
  <c r="P33" i="71"/>
  <c r="O33" i="71"/>
  <c r="C34" i="71" s="1"/>
  <c r="N33" i="71"/>
  <c r="D33" i="71"/>
  <c r="Q32" i="71"/>
  <c r="AB32" i="71" s="1"/>
  <c r="P32" i="71"/>
  <c r="O32" i="71"/>
  <c r="Y32" i="71" s="1"/>
  <c r="Z32" i="71" s="1"/>
  <c r="N32" i="71"/>
  <c r="Q31" i="71"/>
  <c r="AB31" i="71" s="1"/>
  <c r="P31" i="71"/>
  <c r="O31" i="71"/>
  <c r="Y31" i="71" s="1"/>
  <c r="Z31" i="71" s="1"/>
  <c r="N31" i="71"/>
  <c r="Q30" i="71"/>
  <c r="AB30" i="71" s="1"/>
  <c r="P30" i="71"/>
  <c r="O30" i="71"/>
  <c r="N30" i="71"/>
  <c r="Q29" i="71"/>
  <c r="F30" i="71" s="1"/>
  <c r="P29" i="71"/>
  <c r="O29" i="71"/>
  <c r="C30" i="71" s="1"/>
  <c r="N29" i="71"/>
  <c r="D29" i="71"/>
  <c r="O28" i="71"/>
  <c r="N28" i="71"/>
  <c r="B28" i="71" s="1"/>
  <c r="B30" i="71"/>
  <c r="B31" i="71" s="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X32" i="71"/>
  <c r="AA32" i="71"/>
  <c r="Y33" i="71"/>
  <c r="Z33" i="71" s="1"/>
  <c r="X34" i="71"/>
  <c r="AA34" i="71"/>
  <c r="X35" i="71"/>
  <c r="AA35" i="71"/>
  <c r="X36" i="71"/>
  <c r="AA36" i="71"/>
  <c r="C38" i="71"/>
  <c r="C39" i="71" s="1"/>
  <c r="Y37" i="71"/>
  <c r="Z37" i="71" s="1"/>
  <c r="AB37" i="71"/>
  <c r="X38" i="71"/>
  <c r="AA38" i="71"/>
  <c r="F51" i="71"/>
  <c r="F52" i="71" s="1"/>
  <c r="V52" i="71" s="1"/>
  <c r="C28" i="71"/>
  <c r="Y25" i="71"/>
  <c r="Z25" i="71" s="1"/>
  <c r="Y26" i="71"/>
  <c r="Z26" i="71" s="1"/>
  <c r="Y27" i="71"/>
  <c r="Z27" i="71" s="1"/>
  <c r="Y28" i="71"/>
  <c r="Z28" i="71" s="1"/>
  <c r="X25" i="71"/>
  <c r="X27" i="71"/>
  <c r="D38" i="71"/>
  <c r="P28" i="71"/>
  <c r="E55" i="71"/>
  <c r="E56" i="71" s="1"/>
  <c r="U56" i="71" s="1"/>
  <c r="E63" i="71"/>
  <c r="E64" i="71" s="1"/>
  <c r="U64" i="71" s="1"/>
  <c r="Q65" i="71"/>
  <c r="U68" i="71"/>
  <c r="E67" i="71"/>
  <c r="P67" i="71" s="1"/>
  <c r="Q28" i="71"/>
  <c r="C55" i="71"/>
  <c r="C56" i="71" s="1"/>
  <c r="D54" i="71"/>
  <c r="C63" i="71"/>
  <c r="D63" i="71" s="1"/>
  <c r="D62" i="71"/>
  <c r="Q67" i="71"/>
  <c r="T68" i="71"/>
  <c r="O68" i="71"/>
  <c r="D68" i="71"/>
  <c r="C67" i="71"/>
  <c r="C66" i="71" s="1"/>
  <c r="Q68" i="71"/>
  <c r="C71" i="71"/>
  <c r="C70" i="71" s="1"/>
  <c r="D70" i="71" s="1"/>
  <c r="E71" i="71"/>
  <c r="E70" i="71" s="1"/>
  <c r="D72" i="71"/>
  <c r="C75" i="71"/>
  <c r="D75" i="71" s="1"/>
  <c r="E75" i="71"/>
  <c r="E74" i="71"/>
  <c r="D76" i="71"/>
  <c r="C79" i="71"/>
  <c r="C78" i="71" s="1"/>
  <c r="D78" i="71" s="1"/>
  <c r="E79" i="71"/>
  <c r="E78" i="71"/>
  <c r="D80" i="71"/>
  <c r="C83" i="71"/>
  <c r="C82" i="71" s="1"/>
  <c r="D82" i="71" s="1"/>
  <c r="C87" i="71"/>
  <c r="T28" i="71"/>
  <c r="C27" i="71"/>
  <c r="F28" i="71"/>
  <c r="F27" i="71" s="1"/>
  <c r="F26" i="71" s="1"/>
  <c r="AB25" i="71"/>
  <c r="AB26" i="71"/>
  <c r="AB27" i="71"/>
  <c r="AB28" i="71"/>
  <c r="E28" i="71"/>
  <c r="E27" i="71" s="1"/>
  <c r="E26" i="71" s="1"/>
  <c r="AA3" i="71"/>
  <c r="AA25" i="71"/>
  <c r="AA26" i="71"/>
  <c r="AA27" i="71"/>
  <c r="AA28" i="71"/>
  <c r="D28" i="71"/>
  <c r="U28" i="71"/>
  <c r="O67" i="71"/>
  <c r="C64" i="71"/>
  <c r="T64" i="71" s="1"/>
  <c r="D83" i="71"/>
  <c r="C74" i="71"/>
  <c r="D74" i="71" s="1"/>
  <c r="D87" i="71"/>
  <c r="C86" i="71"/>
  <c r="D86" i="71" s="1"/>
  <c r="D79" i="71"/>
  <c r="D71" i="71"/>
  <c r="D55" i="71"/>
  <c r="E66" i="71"/>
  <c r="P65" i="71" s="1"/>
  <c r="C26" i="71"/>
  <c r="D26" i="71"/>
  <c r="D27" i="71"/>
  <c r="V28"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s="1"/>
  <c r="C22" i="20"/>
  <c r="B100" i="43" s="1"/>
  <c r="B57" i="43"/>
  <c r="C25" i="40"/>
  <c r="S25" i="40"/>
  <c r="S18" i="36"/>
  <c r="H25" i="40"/>
  <c r="AB25" i="40" s="1"/>
  <c r="J25" i="40"/>
  <c r="AC25" i="40" s="1"/>
  <c r="H29" i="39"/>
  <c r="AB29" i="39" s="1"/>
  <c r="J29" i="39"/>
  <c r="AC29" i="39" s="1"/>
  <c r="J18" i="36"/>
  <c r="AC18" i="36" s="1"/>
  <c r="H18" i="35"/>
  <c r="AB18" i="35" s="1"/>
  <c r="J18" i="35"/>
  <c r="AC18" i="35" s="1"/>
  <c r="H21" i="37"/>
  <c r="F21" i="37"/>
  <c r="AA21" i="37" s="1"/>
  <c r="H21" i="34"/>
  <c r="AB21" i="34" s="1"/>
  <c r="H21" i="33"/>
  <c r="U21" i="33" s="1"/>
  <c r="F21" i="33"/>
  <c r="AA21" i="33" s="1"/>
  <c r="E83" i="21"/>
  <c r="F83" i="21" s="1"/>
  <c r="S21" i="21"/>
  <c r="H1" i="69"/>
  <c r="W25" i="40"/>
  <c r="U25" i="40"/>
  <c r="AB21" i="37"/>
  <c r="U21" i="37"/>
  <c r="S21" i="37"/>
  <c r="AB21" i="33"/>
  <c r="S21" i="33"/>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c r="F62" i="36" s="1"/>
  <c r="G62" i="36" s="1"/>
  <c r="B59" i="36"/>
  <c r="B57" i="36"/>
  <c r="J12" i="36" s="1"/>
  <c r="B55" i="36"/>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F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W28" i="35"/>
  <c r="W22" i="35"/>
  <c r="S31" i="35"/>
  <c r="U34" i="35"/>
  <c r="F36" i="34"/>
  <c r="J35" i="34"/>
  <c r="U34" i="34"/>
  <c r="H39" i="33"/>
  <c r="AB39" i="33" s="1"/>
  <c r="U35" i="33"/>
  <c r="S40" i="33"/>
  <c r="W33" i="33"/>
  <c r="H39" i="37"/>
  <c r="AB39" i="37" s="1"/>
  <c r="F11" i="40"/>
  <c r="AA11" i="40" s="1"/>
  <c r="H11" i="40"/>
  <c r="AB11" i="40" s="1"/>
  <c r="W8" i="40"/>
  <c r="AB39" i="40"/>
  <c r="AC40" i="40"/>
  <c r="AA9" i="40"/>
  <c r="AC9" i="40"/>
  <c r="U9" i="40"/>
  <c r="S34" i="40"/>
  <c r="S40" i="40"/>
  <c r="W31" i="40"/>
  <c r="U34" i="40"/>
  <c r="F42" i="39"/>
  <c r="AA42"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S40" i="21"/>
  <c r="C27" i="39"/>
  <c r="H11" i="39"/>
  <c r="S40" i="39"/>
  <c r="C15" i="39"/>
  <c r="H32" i="33"/>
  <c r="AB32" i="33" s="1"/>
  <c r="H11" i="21"/>
  <c r="U11" i="21" s="1"/>
  <c r="H37" i="40"/>
  <c r="U37" i="40" s="1"/>
  <c r="H36" i="40"/>
  <c r="AB36" i="40" s="1"/>
  <c r="F35" i="40"/>
  <c r="AA35" i="40" s="1"/>
  <c r="H23" i="40"/>
  <c r="AB23" i="40" s="1"/>
  <c r="H17" i="40"/>
  <c r="U17" i="40" s="1"/>
  <c r="J15" i="40"/>
  <c r="W15" i="40" s="1"/>
  <c r="J11" i="40"/>
  <c r="W11" i="40" s="1"/>
  <c r="AB8" i="39"/>
  <c r="AB12" i="35"/>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S12" i="36"/>
  <c r="AA12" i="36"/>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B26" i="33"/>
  <c r="AA14" i="37"/>
  <c r="W31" i="34"/>
  <c r="W13" i="36"/>
  <c r="S11" i="36"/>
  <c r="AA14" i="34"/>
  <c r="U31" i="33"/>
  <c r="AC28" i="21"/>
  <c r="BA586" i="3"/>
  <c r="BA585" i="3"/>
  <c r="F15" i="21"/>
  <c r="S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W14" i="37"/>
  <c r="AB28" i="37"/>
  <c r="U33" i="37"/>
  <c r="U39" i="37"/>
  <c r="W47" i="34"/>
  <c r="AB13" i="34"/>
  <c r="AC36" i="34"/>
  <c r="AA13" i="33"/>
  <c r="AC45" i="33"/>
  <c r="U11" i="33"/>
  <c r="U19" i="21"/>
  <c r="W44" i="21"/>
  <c r="U26" i="21"/>
  <c r="AC46" i="21"/>
  <c r="U12" i="21"/>
  <c r="F43" i="33"/>
  <c r="AA43" i="33" s="1"/>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497"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AZ196" i="3" s="1"/>
  <c r="G197" i="3"/>
  <c r="BA199" i="3"/>
  <c r="BL200" i="3"/>
  <c r="G201" i="3"/>
  <c r="BA203" i="3"/>
  <c r="BL204" i="3"/>
  <c r="AZ204" i="3" s="1"/>
  <c r="AZ51" i="3"/>
  <c r="AZ152" i="3"/>
  <c r="AZ184" i="3"/>
  <c r="AZ20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BA390" i="3"/>
  <c r="BL390" i="3"/>
  <c r="G391" i="3"/>
  <c r="G394" i="3"/>
  <c r="AZ146" i="3"/>
  <c r="AZ154" i="3"/>
  <c r="AZ158" i="3"/>
  <c r="AZ178" i="3"/>
  <c r="AZ194" i="3"/>
  <c r="AZ500" i="3"/>
  <c r="BA16" i="3"/>
  <c r="AZ16" i="3" s="1"/>
  <c r="BL303" i="3"/>
  <c r="G304" i="3"/>
  <c r="BA306" i="3"/>
  <c r="BL307" i="3"/>
  <c r="AZ307" i="3" s="1"/>
  <c r="G308" i="3"/>
  <c r="BA310" i="3"/>
  <c r="AZ310" i="3" s="1"/>
  <c r="BL311" i="3"/>
  <c r="G312" i="3"/>
  <c r="BA314" i="3"/>
  <c r="BL315" i="3"/>
  <c r="G316" i="3"/>
  <c r="BA318" i="3"/>
  <c r="BL319" i="3"/>
  <c r="G320" i="3"/>
  <c r="BA322" i="3"/>
  <c r="BL323" i="3"/>
  <c r="G324" i="3"/>
  <c r="BA326" i="3"/>
  <c r="AZ326" i="3" s="1"/>
  <c r="BL327" i="3"/>
  <c r="G328" i="3"/>
  <c r="BA330" i="3"/>
  <c r="AZ330" i="3" s="1"/>
  <c r="BL331" i="3"/>
  <c r="AZ331" i="3" s="1"/>
  <c r="G332" i="3"/>
  <c r="BA334" i="3"/>
  <c r="AZ334" i="3" s="1"/>
  <c r="BL335" i="3"/>
  <c r="G336" i="3"/>
  <c r="BA338" i="3"/>
  <c r="AZ338" i="3" s="1"/>
  <c r="BL339" i="3"/>
  <c r="G340" i="3"/>
  <c r="BL343" i="3"/>
  <c r="G344" i="3"/>
  <c r="G348" i="3"/>
  <c r="G355" i="3"/>
  <c r="AZ214" i="3"/>
  <c r="AZ222" i="3"/>
  <c r="AZ303" i="3"/>
  <c r="G342" i="3"/>
  <c r="BL345" i="3"/>
  <c r="G346" i="3"/>
  <c r="AZ348" i="3"/>
  <c r="BL349" i="3"/>
  <c r="AZ349" i="3" s="1"/>
  <c r="BL352" i="3"/>
  <c r="AZ352" i="3" s="1"/>
  <c r="G353" i="3"/>
  <c r="BA357" i="3"/>
  <c r="BL358" i="3"/>
  <c r="G359" i="3"/>
  <c r="BA361" i="3"/>
  <c r="AZ361" i="3" s="1"/>
  <c r="BL362" i="3"/>
  <c r="G363" i="3"/>
  <c r="BA365" i="3"/>
  <c r="AZ365" i="3" s="1"/>
  <c r="BL366" i="3"/>
  <c r="G367" i="3"/>
  <c r="BA369" i="3"/>
  <c r="AZ369" i="3" s="1"/>
  <c r="BL370" i="3"/>
  <c r="AZ370" i="3" s="1"/>
  <c r="G371" i="3"/>
  <c r="BA373" i="3"/>
  <c r="AZ373" i="3" s="1"/>
  <c r="BL374" i="3"/>
  <c r="AZ374" i="3" s="1"/>
  <c r="G375" i="3"/>
  <c r="BA377" i="3"/>
  <c r="AZ377" i="3" s="1"/>
  <c r="AZ233" i="3"/>
  <c r="AZ237" i="3"/>
  <c r="AZ249" i="3"/>
  <c r="AZ253" i="3"/>
  <c r="AZ269" i="3"/>
  <c r="BA379" i="3"/>
  <c r="BL380" i="3"/>
  <c r="G381" i="3"/>
  <c r="BA383" i="3"/>
  <c r="BL384" i="3"/>
  <c r="G385" i="3"/>
  <c r="BA387" i="3"/>
  <c r="AZ387" i="3" s="1"/>
  <c r="BL388" i="3"/>
  <c r="AZ388" i="3" s="1"/>
  <c r="G389" i="3"/>
  <c r="BA391" i="3"/>
  <c r="BL392" i="3"/>
  <c r="AZ392" i="3" s="1"/>
  <c r="G393" i="3"/>
  <c r="AZ291" i="3"/>
  <c r="BO5" i="3"/>
  <c r="BM5" i="3"/>
  <c r="BJ5" i="3"/>
  <c r="BH5" i="3"/>
  <c r="BF5" i="3"/>
  <c r="BD5" i="3"/>
  <c r="BQ5" i="3"/>
  <c r="AC5" i="3"/>
  <c r="AZ506" i="3"/>
  <c r="AZ496" i="3"/>
  <c r="G548" i="3"/>
  <c r="G538" i="3"/>
  <c r="G520" i="3"/>
  <c r="G502" i="3"/>
  <c r="BS5" i="3"/>
  <c r="F28" i="6" s="1"/>
  <c r="BP5" i="3"/>
  <c r="BN5" i="3"/>
  <c r="G29" i="6" s="1"/>
  <c r="BK5" i="3"/>
  <c r="BI5" i="3"/>
  <c r="BG5" i="3"/>
  <c r="BE5" i="3"/>
  <c r="BC5" i="3"/>
  <c r="G17" i="3"/>
  <c r="BA17" i="3"/>
  <c r="BT5" i="3"/>
  <c r="BA15" i="3"/>
  <c r="BR5" i="3"/>
  <c r="AZ380" i="3"/>
  <c r="AZ499" i="3"/>
  <c r="AZ509" i="3"/>
  <c r="G509" i="3"/>
  <c r="BL493" i="3"/>
  <c r="AZ493" i="3" s="1"/>
  <c r="AZ491" i="3"/>
  <c r="AZ390" i="3"/>
  <c r="U36" i="40"/>
  <c r="F83" i="43"/>
  <c r="H85" i="43" s="1"/>
  <c r="F50" i="43"/>
  <c r="H54" i="43" s="1"/>
  <c r="F72" i="43"/>
  <c r="H75" i="43" s="1"/>
  <c r="U17" i="39"/>
  <c r="U43" i="21"/>
  <c r="U35" i="21"/>
  <c r="AC35" i="21"/>
  <c r="G10" i="1"/>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4" i="3"/>
  <c r="C40" i="11"/>
  <c r="AZ223" i="3"/>
  <c r="AZ235" i="3"/>
  <c r="AZ240" i="3"/>
  <c r="AZ251" i="3"/>
  <c r="AZ256" i="3"/>
  <c r="AZ268" i="3"/>
  <c r="AZ288" i="3"/>
  <c r="AZ117" i="3"/>
  <c r="AZ50" i="3"/>
  <c r="AZ53"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AA32" i="36"/>
  <c r="S32" i="36"/>
  <c r="AZ490" i="3"/>
  <c r="AA39" i="34"/>
  <c r="BL14" i="3"/>
  <c r="AZ266" i="3"/>
  <c r="U30" i="33"/>
  <c r="AC13" i="34"/>
  <c r="AA47" i="34"/>
  <c r="W28" i="37"/>
  <c r="S19" i="39"/>
  <c r="F12" i="33"/>
  <c r="H12" i="39"/>
  <c r="AB12" i="39" s="1"/>
  <c r="F39" i="40"/>
  <c r="BA14" i="3"/>
  <c r="AZ14" i="3" s="1"/>
  <c r="AZ224" i="3"/>
  <c r="AZ238" i="3"/>
  <c r="AZ254" i="3"/>
  <c r="AZ286" i="3"/>
  <c r="AZ173" i="3"/>
  <c r="AZ189" i="3"/>
  <c r="B12" i="1"/>
  <c r="E12" i="1" s="1"/>
  <c r="B10" i="1"/>
  <c r="E10" i="1" s="1"/>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31" i="39"/>
  <c r="J21" i="39"/>
  <c r="W21" i="39" s="1"/>
  <c r="F21" i="39"/>
  <c r="G94" i="39"/>
  <c r="H21" i="39"/>
  <c r="W19" i="39"/>
  <c r="S17" i="39"/>
  <c r="S15" i="39"/>
  <c r="AA12" i="39"/>
  <c r="S9" i="39"/>
  <c r="U14" i="39"/>
  <c r="AC13" i="39"/>
  <c r="S23" i="36"/>
  <c r="U13" i="36"/>
  <c r="U26" i="36"/>
  <c r="S33" i="36"/>
  <c r="AA26" i="36"/>
  <c r="AA34" i="36"/>
  <c r="AC26" i="36"/>
  <c r="AA22" i="36"/>
  <c r="W14" i="36"/>
  <c r="U22" i="36"/>
  <c r="AA25" i="36"/>
  <c r="S24" i="36"/>
  <c r="U23" i="36"/>
  <c r="U16" i="36"/>
  <c r="S14" i="36"/>
  <c r="AA25" i="35"/>
  <c r="S23" i="35"/>
  <c r="W24" i="35"/>
  <c r="AB13" i="35"/>
  <c r="U28" i="35"/>
  <c r="AB27" i="35"/>
  <c r="U36" i="35"/>
  <c r="U32" i="35"/>
  <c r="AA33" i="35"/>
  <c r="AC30" i="35"/>
  <c r="S32" i="35"/>
  <c r="AA36" i="35"/>
  <c r="S28" i="35"/>
  <c r="U22" i="35"/>
  <c r="AC20" i="35"/>
  <c r="S22"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19" i="37"/>
  <c r="AA19" i="37" s="1"/>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J35" i="33"/>
  <c r="W35" i="33" s="1"/>
  <c r="S37" i="33"/>
  <c r="AA37" i="33"/>
  <c r="S39" i="33"/>
  <c r="F101" i="33"/>
  <c r="G101" i="33" s="1"/>
  <c r="H101" i="33" s="1"/>
  <c r="I101" i="33" s="1"/>
  <c r="J101" i="33" s="1"/>
  <c r="K101" i="33" s="1"/>
  <c r="L101" i="33" s="1"/>
  <c r="M101" i="33" s="1"/>
  <c r="J32" i="33"/>
  <c r="S46" i="33"/>
  <c r="W43" i="33"/>
  <c r="S43" i="33"/>
  <c r="F91" i="33"/>
  <c r="H27" i="33"/>
  <c r="U27" i="33" s="1"/>
  <c r="H25" i="33"/>
  <c r="U25" i="33" s="1"/>
  <c r="F25" i="33"/>
  <c r="J23" i="33"/>
  <c r="W23" i="33" s="1"/>
  <c r="H23" i="33"/>
  <c r="U23" i="33" s="1"/>
  <c r="F19" i="33"/>
  <c r="S19" i="33" s="1"/>
  <c r="W19" i="33"/>
  <c r="J17" i="33"/>
  <c r="S15" i="33"/>
  <c r="W15" i="33"/>
  <c r="U9" i="33"/>
  <c r="J10" i="33"/>
  <c r="W10" i="33" s="1"/>
  <c r="H10" i="33"/>
  <c r="U10" i="33" s="1"/>
  <c r="AC11" i="33"/>
  <c r="AB14" i="33"/>
  <c r="W43" i="21"/>
  <c r="W36" i="21"/>
  <c r="W41" i="21"/>
  <c r="AB39" i="21"/>
  <c r="AA43" i="21"/>
  <c r="S39"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A24" i="51"/>
  <c r="B18" i="72" s="1"/>
  <c r="U29" i="34"/>
  <c r="E32" i="6"/>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AB13" i="21"/>
  <c r="J37" i="21"/>
  <c r="W37" i="21" s="1"/>
  <c r="H15" i="21"/>
  <c r="U15" i="21" s="1"/>
  <c r="AC19" i="21"/>
  <c r="W39" i="21"/>
  <c r="AC14" i="21"/>
  <c r="W30" i="21"/>
  <c r="S46" i="21"/>
  <c r="H45" i="21"/>
  <c r="U45" i="21" s="1"/>
  <c r="F29" i="21"/>
  <c r="S29" i="21" s="1"/>
  <c r="F13" i="21"/>
  <c r="AA13" i="21" s="1"/>
  <c r="AC38" i="21"/>
  <c r="H32" i="21"/>
  <c r="AB32" i="21" s="1"/>
  <c r="H9" i="21"/>
  <c r="U9" i="21" s="1"/>
  <c r="J9" i="21"/>
  <c r="J32" i="21"/>
  <c r="W32" i="21" s="1"/>
  <c r="F32" i="21"/>
  <c r="AA32" i="21" s="1"/>
  <c r="AA31" i="21"/>
  <c r="W29" i="21"/>
  <c r="S19" i="21"/>
  <c r="S9" i="21"/>
  <c r="AA9" i="21"/>
  <c r="K141" i="21"/>
  <c r="K144" i="21"/>
  <c r="K143" i="21"/>
  <c r="U27" i="21"/>
  <c r="AB25" i="21"/>
  <c r="AB44" i="21"/>
  <c r="AA30" i="21"/>
  <c r="W13" i="21"/>
  <c r="W42" i="21"/>
  <c r="AC45" i="21"/>
  <c r="F10" i="21"/>
  <c r="AA10" i="21" s="1"/>
  <c r="K145" i="21"/>
  <c r="W25" i="21"/>
  <c r="W31" i="21"/>
  <c r="S2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J19" i="37"/>
  <c r="W19" i="37" s="1"/>
  <c r="G75" i="37"/>
  <c r="S19" i="37"/>
  <c r="AA23" i="37"/>
  <c r="J23" i="37"/>
  <c r="W23" i="37" s="1"/>
  <c r="G79" i="37"/>
  <c r="J10" i="37"/>
  <c r="W10" i="37" s="1"/>
  <c r="G63" i="37"/>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AB23" i="33"/>
  <c r="F23" i="33"/>
  <c r="S23" i="33" s="1"/>
  <c r="G85" i="33"/>
  <c r="AC23" i="33"/>
  <c r="AA19" i="33"/>
  <c r="H19" i="33"/>
  <c r="U19" i="33" s="1"/>
  <c r="G81" i="33"/>
  <c r="H17" i="33"/>
  <c r="AB17" i="33" s="1"/>
  <c r="F17" i="33"/>
  <c r="S17" i="33" s="1"/>
  <c r="W17" i="33"/>
  <c r="AC17" i="33"/>
  <c r="J23" i="21"/>
  <c r="W23" i="21" s="1"/>
  <c r="F85" i="21"/>
  <c r="G85" i="21"/>
  <c r="H23" i="21"/>
  <c r="U23" i="21" s="1"/>
  <c r="S13" i="21"/>
  <c r="D6" i="52"/>
  <c r="AP7" i="1"/>
  <c r="AB9" i="21"/>
  <c r="W9" i="21"/>
  <c r="AC9" i="21"/>
  <c r="U32" i="39"/>
  <c r="W32" i="39"/>
  <c r="AC19" i="37"/>
  <c r="AC23" i="37"/>
  <c r="H63" i="37"/>
  <c r="I63" i="37" s="1"/>
  <c r="J63" i="37" s="1"/>
  <c r="K63" i="37" s="1"/>
  <c r="L63" i="37" s="1"/>
  <c r="M63" i="37" s="1"/>
  <c r="J11" i="37"/>
  <c r="AC11" i="37" s="1"/>
  <c r="J11" i="34"/>
  <c r="W11" i="34" s="1"/>
  <c r="AB36" i="33"/>
  <c r="W27" i="33"/>
  <c r="W25" i="33"/>
  <c r="AA23" i="33"/>
  <c r="AA17" i="33"/>
  <c r="AB23" i="21"/>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9" i="71"/>
  <c r="B8" i="76"/>
  <c r="E9" i="76"/>
  <c r="B13" i="76"/>
  <c r="D5" i="73"/>
  <c r="F6" i="73"/>
  <c r="D4" i="73"/>
  <c r="F4" i="73"/>
  <c r="D3" i="73"/>
  <c r="E10" i="76"/>
  <c r="E11" i="76"/>
  <c r="F7" i="73"/>
  <c r="E8" i="76"/>
  <c r="D7" i="73"/>
  <c r="D6" i="73"/>
  <c r="E2" i="68"/>
  <c r="B11" i="76"/>
  <c r="AO13" i="1"/>
  <c r="E12" i="76"/>
  <c r="B9" i="76"/>
  <c r="E2" i="69"/>
  <c r="F3" i="73"/>
  <c r="F5" i="73"/>
  <c r="E13" i="76"/>
  <c r="B10" i="76"/>
  <c r="B12" i="76"/>
  <c r="E7" i="76"/>
  <c r="F20" i="31"/>
  <c r="B7" i="76"/>
  <c r="D18" i="71" l="1"/>
  <c r="U17" i="33"/>
  <c r="AB19" i="33"/>
  <c r="S12" i="21"/>
  <c r="AA12" i="21"/>
  <c r="F79" i="21"/>
  <c r="G79" i="21" s="1"/>
  <c r="H17" i="21"/>
  <c r="F17" i="21"/>
  <c r="J17" i="21"/>
  <c r="AC17" i="21" s="1"/>
  <c r="AC34" i="35"/>
  <c r="W34" i="35"/>
  <c r="AA38" i="40"/>
  <c r="S38" i="40"/>
  <c r="AA39" i="39"/>
  <c r="M7" i="1"/>
  <c r="O7" i="1" s="1"/>
  <c r="P7" i="1" s="1"/>
  <c r="N36" i="1"/>
  <c r="O36" i="1" s="1"/>
  <c r="AA35" i="33"/>
  <c r="AC39" i="34"/>
  <c r="AB20" i="36"/>
  <c r="U35" i="40"/>
  <c r="AA34" i="33"/>
  <c r="S15" i="37"/>
  <c r="AZ357" i="3"/>
  <c r="AZ306" i="3"/>
  <c r="AZ355" i="3"/>
  <c r="AZ351" i="3"/>
  <c r="AZ313" i="3"/>
  <c r="AZ304" i="3"/>
  <c r="AZ394" i="3"/>
  <c r="AZ341" i="3"/>
  <c r="AZ325" i="3"/>
  <c r="AZ309" i="3"/>
  <c r="W44" i="33"/>
  <c r="AC31" i="33"/>
  <c r="U14" i="40"/>
  <c r="AZ505" i="3"/>
  <c r="AZ515" i="3"/>
  <c r="AZ533" i="3"/>
  <c r="AZ555" i="3"/>
  <c r="AZ565" i="3"/>
  <c r="AZ516" i="3"/>
  <c r="AZ524" i="3"/>
  <c r="AZ528" i="3"/>
  <c r="AZ532" i="3"/>
  <c r="AZ536" i="3"/>
  <c r="AZ544" i="3"/>
  <c r="AZ554" i="3"/>
  <c r="AZ558" i="3"/>
  <c r="AZ566" i="3"/>
  <c r="AZ574" i="3"/>
  <c r="AZ582" i="3"/>
  <c r="AZ560" i="3"/>
  <c r="AZ584" i="3"/>
  <c r="AB30" i="21"/>
  <c r="U31" i="34"/>
  <c r="S41" i="33"/>
  <c r="J12" i="21"/>
  <c r="J9" i="33"/>
  <c r="J9" i="34"/>
  <c r="AC9" i="34" s="1"/>
  <c r="F34" i="35"/>
  <c r="H38" i="40"/>
  <c r="G582" i="3"/>
  <c r="G556" i="3"/>
  <c r="G552" i="3"/>
  <c r="M8" i="1"/>
  <c r="N37" i="1"/>
  <c r="O37" i="1" s="1"/>
  <c r="G398" i="3"/>
  <c r="BA399" i="3"/>
  <c r="BL399" i="3"/>
  <c r="BA400" i="3"/>
  <c r="AZ400" i="3" s="1"/>
  <c r="BA401" i="3"/>
  <c r="AZ401" i="3" s="1"/>
  <c r="BA402" i="3"/>
  <c r="AZ402" i="3" s="1"/>
  <c r="BL402" i="3"/>
  <c r="BA404" i="3"/>
  <c r="BL404" i="3"/>
  <c r="BA405" i="3"/>
  <c r="AZ405" i="3" s="1"/>
  <c r="BA406" i="3"/>
  <c r="BL406" i="3"/>
  <c r="BA407" i="3"/>
  <c r="AZ407" i="3" s="1"/>
  <c r="BA408" i="3"/>
  <c r="AZ408" i="3" s="1"/>
  <c r="BL410" i="3"/>
  <c r="G411" i="3"/>
  <c r="G413" i="3"/>
  <c r="BA414" i="3"/>
  <c r="BL414" i="3"/>
  <c r="BA415" i="3"/>
  <c r="AZ415" i="3" s="1"/>
  <c r="BA417" i="3"/>
  <c r="BL417" i="3"/>
  <c r="G420" i="3"/>
  <c r="BA421" i="3"/>
  <c r="BL421" i="3"/>
  <c r="BA423" i="3"/>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BA472" i="3"/>
  <c r="AZ472" i="3" s="1"/>
  <c r="BA473" i="3"/>
  <c r="AZ473" i="3" s="1"/>
  <c r="BL475" i="3"/>
  <c r="G476" i="3"/>
  <c r="G477" i="3"/>
  <c r="G479" i="3"/>
  <c r="BA480" i="3"/>
  <c r="BL480" i="3"/>
  <c r="BA482" i="3"/>
  <c r="BL482" i="3"/>
  <c r="BA483" i="3"/>
  <c r="AZ483" i="3" s="1"/>
  <c r="BL485" i="3"/>
  <c r="G486" i="3"/>
  <c r="BL487" i="3"/>
  <c r="G488" i="3"/>
  <c r="G311" i="3"/>
  <c r="BL312" i="3"/>
  <c r="AZ312" i="3" s="1"/>
  <c r="BA315" i="3"/>
  <c r="BA317" i="3"/>
  <c r="BL317" i="3"/>
  <c r="G323" i="3"/>
  <c r="BL324" i="3"/>
  <c r="AZ324" i="3" s="1"/>
  <c r="G334" i="3"/>
  <c r="BA335" i="3"/>
  <c r="AZ335" i="3" s="1"/>
  <c r="BA339" i="3"/>
  <c r="AZ339" i="3" s="1"/>
  <c r="BL353" i="3"/>
  <c r="AZ353" i="3" s="1"/>
  <c r="BL383" i="3"/>
  <c r="AZ383" i="3" s="1"/>
  <c r="G384" i="3"/>
  <c r="BA386" i="3"/>
  <c r="AZ386" i="3" s="1"/>
  <c r="G392" i="3"/>
  <c r="BL393" i="3"/>
  <c r="AZ393" i="3" s="1"/>
  <c r="BL395" i="3"/>
  <c r="G396" i="3"/>
  <c r="BA397" i="3"/>
  <c r="AZ397" i="3" s="1"/>
  <c r="BL397" i="3"/>
  <c r="BA208" i="3"/>
  <c r="AZ208" i="3" s="1"/>
  <c r="BA209" i="3"/>
  <c r="AZ209" i="3" s="1"/>
  <c r="BL211" i="3"/>
  <c r="G212" i="3"/>
  <c r="G214" i="3"/>
  <c r="G216" i="3"/>
  <c r="BA217" i="3"/>
  <c r="AZ217" i="3" s="1"/>
  <c r="BL217" i="3"/>
  <c r="BL219" i="3"/>
  <c r="G220" i="3"/>
  <c r="G226" i="3"/>
  <c r="BL244" i="3"/>
  <c r="AZ244" i="3" s="1"/>
  <c r="G247" i="3"/>
  <c r="G249" i="3"/>
  <c r="G251" i="3"/>
  <c r="G256" i="3"/>
  <c r="G258" i="3"/>
  <c r="BL259" i="3"/>
  <c r="G260" i="3"/>
  <c r="G262" i="3"/>
  <c r="BL263" i="3"/>
  <c r="G264" i="3"/>
  <c r="G266" i="3"/>
  <c r="G271" i="3"/>
  <c r="G343" i="3"/>
  <c r="G345" i="3"/>
  <c r="G351" i="3"/>
  <c r="BA358" i="3"/>
  <c r="AZ358" i="3" s="1"/>
  <c r="G366" i="3"/>
  <c r="BA367" i="3"/>
  <c r="AZ367" i="3" s="1"/>
  <c r="BL226" i="3"/>
  <c r="G227" i="3"/>
  <c r="BA228" i="3"/>
  <c r="BL228" i="3"/>
  <c r="G231" i="3"/>
  <c r="G233" i="3"/>
  <c r="G235" i="3"/>
  <c r="G240" i="3"/>
  <c r="G242" i="3"/>
  <c r="BA271" i="3"/>
  <c r="AZ271" i="3" s="1"/>
  <c r="BL271" i="3"/>
  <c r="BA272" i="3"/>
  <c r="AZ272" i="3" s="1"/>
  <c r="BA273" i="3"/>
  <c r="AZ273" i="3" s="1"/>
  <c r="BA275" i="3"/>
  <c r="AZ275" i="3" s="1"/>
  <c r="BL275" i="3"/>
  <c r="BA276" i="3"/>
  <c r="AZ276" i="3" s="1"/>
  <c r="BL278" i="3"/>
  <c r="G279" i="3"/>
  <c r="BL280" i="3"/>
  <c r="G281" i="3"/>
  <c r="BA282" i="3"/>
  <c r="BL282" i="3"/>
  <c r="BL284" i="3"/>
  <c r="G285" i="3"/>
  <c r="G288" i="3"/>
  <c r="G291" i="3"/>
  <c r="G294" i="3"/>
  <c r="BL295" i="3"/>
  <c r="G296" i="3"/>
  <c r="BL297" i="3"/>
  <c r="G298" i="3"/>
  <c r="G300" i="3"/>
  <c r="BA301" i="3"/>
  <c r="BL301" i="3"/>
  <c r="BA302" i="3"/>
  <c r="BL302" i="3"/>
  <c r="G115" i="3"/>
  <c r="G119" i="3"/>
  <c r="G122" i="3"/>
  <c r="G124" i="3"/>
  <c r="BL125" i="3"/>
  <c r="G126" i="3"/>
  <c r="BA129" i="3"/>
  <c r="BL129" i="3"/>
  <c r="BL131" i="3"/>
  <c r="AZ131" i="3" s="1"/>
  <c r="G132" i="3"/>
  <c r="BA133" i="3"/>
  <c r="AZ133" i="3" s="1"/>
  <c r="BL135" i="3"/>
  <c r="AZ135" i="3" s="1"/>
  <c r="G136" i="3"/>
  <c r="BA138" i="3"/>
  <c r="AZ138" i="3" s="1"/>
  <c r="BL138" i="3"/>
  <c r="BA140" i="3"/>
  <c r="AZ140" i="3" s="1"/>
  <c r="G143" i="3"/>
  <c r="G146" i="3"/>
  <c r="BL149" i="3"/>
  <c r="G150" i="3"/>
  <c r="G152" i="3"/>
  <c r="BL153" i="3"/>
  <c r="G154" i="3"/>
  <c r="BL155" i="3"/>
  <c r="AZ155" i="3" s="1"/>
  <c r="G156" i="3"/>
  <c r="G158" i="3"/>
  <c r="BA160" i="3"/>
  <c r="AZ160" i="3" s="1"/>
  <c r="G163" i="3"/>
  <c r="BA164" i="3"/>
  <c r="AZ164" i="3" s="1"/>
  <c r="BL166" i="3"/>
  <c r="G167" i="3"/>
  <c r="BA168" i="3"/>
  <c r="AZ168" i="3" s="1"/>
  <c r="BL170" i="3"/>
  <c r="G171" i="3"/>
  <c r="BA172" i="3"/>
  <c r="AZ172" i="3" s="1"/>
  <c r="G175" i="3"/>
  <c r="G178" i="3"/>
  <c r="BA181" i="3"/>
  <c r="AZ181" i="3" s="1"/>
  <c r="BA182" i="3"/>
  <c r="AZ182" i="3" s="1"/>
  <c r="BL183" i="3"/>
  <c r="AZ183" i="3" s="1"/>
  <c r="BA185" i="3"/>
  <c r="AZ185" i="3" s="1"/>
  <c r="BA186" i="3"/>
  <c r="AZ186" i="3" s="1"/>
  <c r="BA188" i="3"/>
  <c r="AZ188" i="3" s="1"/>
  <c r="G191" i="3"/>
  <c r="G194" i="3"/>
  <c r="BL197" i="3"/>
  <c r="G198" i="3"/>
  <c r="G200" i="3"/>
  <c r="BL201" i="3"/>
  <c r="G202" i="3"/>
  <c r="G204" i="3"/>
  <c r="BA205" i="3"/>
  <c r="BL205" i="3"/>
  <c r="BL207" i="3"/>
  <c r="BA18" i="3"/>
  <c r="AZ18" i="3" s="1"/>
  <c r="BA19" i="3"/>
  <c r="AZ19" i="3" s="1"/>
  <c r="BA20" i="3"/>
  <c r="AZ20" i="3" s="1"/>
  <c r="BL22" i="3"/>
  <c r="G23" i="3"/>
  <c r="G25" i="3"/>
  <c r="BL26" i="3"/>
  <c r="G27" i="3"/>
  <c r="G30" i="3"/>
  <c r="BL31" i="3"/>
  <c r="G32" i="3"/>
  <c r="BL33" i="3"/>
  <c r="G34" i="3"/>
  <c r="G36" i="3"/>
  <c r="BL37" i="3"/>
  <c r="G38" i="3"/>
  <c r="BL39" i="3"/>
  <c r="G40" i="3"/>
  <c r="BL41" i="3"/>
  <c r="G42" i="3"/>
  <c r="BL43" i="3"/>
  <c r="G44" i="3"/>
  <c r="G46" i="3"/>
  <c r="BL47" i="3"/>
  <c r="G48" i="3"/>
  <c r="G53" i="3"/>
  <c r="BL55" i="3"/>
  <c r="G56" i="3"/>
  <c r="BL58" i="3"/>
  <c r="G59" i="3"/>
  <c r="BA60" i="3"/>
  <c r="BL60" i="3"/>
  <c r="BA62" i="3"/>
  <c r="AZ62" i="3" s="1"/>
  <c r="BA63" i="3"/>
  <c r="AZ63" i="3" s="1"/>
  <c r="BL65" i="3"/>
  <c r="G66" i="3"/>
  <c r="BL67" i="3"/>
  <c r="G68" i="3"/>
  <c r="G70" i="3"/>
  <c r="BL71" i="3"/>
  <c r="G72" i="3"/>
  <c r="BA73" i="3"/>
  <c r="AZ73" i="3" s="1"/>
  <c r="BL73" i="3"/>
  <c r="BA74" i="3"/>
  <c r="AZ74" i="3" s="1"/>
  <c r="BL74" i="3"/>
  <c r="BL76" i="3"/>
  <c r="G77" i="3"/>
  <c r="BA78" i="3"/>
  <c r="BL78" i="3"/>
  <c r="D50" i="71"/>
  <c r="C51" i="71"/>
  <c r="F31" i="71"/>
  <c r="F32" i="71" s="1"/>
  <c r="V32" i="71" s="1"/>
  <c r="Y30" i="71"/>
  <c r="Z30" i="71" s="1"/>
  <c r="X29" i="71"/>
  <c r="BA80" i="3"/>
  <c r="BL80" i="3"/>
  <c r="BA81" i="3"/>
  <c r="AZ81" i="3" s="1"/>
  <c r="BA82" i="3"/>
  <c r="AZ82" i="3" s="1"/>
  <c r="BA83" i="3"/>
  <c r="AZ83" i="3" s="1"/>
  <c r="BA84" i="3"/>
  <c r="AZ84" i="3" s="1"/>
  <c r="BA85" i="3"/>
  <c r="AZ85" i="3" s="1"/>
  <c r="BA86" i="3"/>
  <c r="AZ86" i="3" s="1"/>
  <c r="BA88" i="3"/>
  <c r="BL88" i="3"/>
  <c r="BA90" i="3"/>
  <c r="AZ90" i="3" s="1"/>
  <c r="BA92" i="3"/>
  <c r="AZ92" i="3" s="1"/>
  <c r="BA93" i="3"/>
  <c r="AZ93" i="3" s="1"/>
  <c r="BA94" i="3"/>
  <c r="AZ94" i="3" s="1"/>
  <c r="BA96" i="3"/>
  <c r="AZ96" i="3" s="1"/>
  <c r="BA97" i="3"/>
  <c r="AZ97" i="3" s="1"/>
  <c r="BA99" i="3"/>
  <c r="AZ99" i="3" s="1"/>
  <c r="BA101" i="3"/>
  <c r="AZ101" i="3" s="1"/>
  <c r="BL101" i="3"/>
  <c r="BA103" i="3"/>
  <c r="AZ103" i="3" s="1"/>
  <c r="BA105" i="3"/>
  <c r="BL105" i="3"/>
  <c r="BA106" i="3"/>
  <c r="AZ106" i="3" s="1"/>
  <c r="BA107" i="3"/>
  <c r="AZ107" i="3" s="1"/>
  <c r="BA109" i="3"/>
  <c r="BL109" i="3"/>
  <c r="BA111" i="3"/>
  <c r="BL111" i="3"/>
  <c r="BL112" i="3"/>
  <c r="C29" i="39"/>
  <c r="B68" i="43"/>
  <c r="B77" i="43"/>
  <c r="P27" i="6"/>
  <c r="F35" i="71"/>
  <c r="F36" i="71" s="1"/>
  <c r="V36" i="71" s="1"/>
  <c r="Y34" i="71"/>
  <c r="Z34" i="71" s="1"/>
  <c r="X33" i="71"/>
  <c r="W9" i="39"/>
  <c r="I7" i="36"/>
  <c r="E7" i="36"/>
  <c r="G7" i="36"/>
  <c r="W12" i="34"/>
  <c r="AC12" i="34"/>
  <c r="AB40" i="40"/>
  <c r="U40" i="40"/>
  <c r="H87" i="35"/>
  <c r="I87" i="35" s="1"/>
  <c r="J87" i="35" s="1"/>
  <c r="K87" i="35" s="1"/>
  <c r="L87" i="35" s="1"/>
  <c r="M87" i="35" s="1"/>
  <c r="J29" i="35"/>
  <c r="W29" i="35" s="1"/>
  <c r="F29" i="35"/>
  <c r="S29" i="35" s="1"/>
  <c r="H29" i="35"/>
  <c r="AB29" i="35" s="1"/>
  <c r="AZ315" i="3"/>
  <c r="C48" i="35"/>
  <c r="D48" i="35" s="1"/>
  <c r="G7" i="35"/>
  <c r="I7" i="35"/>
  <c r="E7" i="35"/>
  <c r="D20" i="71"/>
  <c r="U20" i="71" s="1"/>
  <c r="T20" i="71"/>
  <c r="AB45" i="21"/>
  <c r="S17" i="37"/>
  <c r="AA29" i="21"/>
  <c r="U44" i="34"/>
  <c r="AZ391" i="3"/>
  <c r="AZ322" i="3"/>
  <c r="AZ311" i="3"/>
  <c r="AZ389" i="3"/>
  <c r="AZ347" i="3"/>
  <c r="AZ378" i="3"/>
  <c r="AB14" i="37"/>
  <c r="U14" i="37"/>
  <c r="U27" i="37"/>
  <c r="AB27" i="37"/>
  <c r="AC12" i="40"/>
  <c r="W12" i="40"/>
  <c r="AZ581" i="3"/>
  <c r="BL586" i="3"/>
  <c r="AZ586" i="3" s="1"/>
  <c r="BA551" i="3"/>
  <c r="AZ551" i="3" s="1"/>
  <c r="BL550" i="3"/>
  <c r="BA550" i="3"/>
  <c r="H5" i="3"/>
  <c r="BB5" i="3"/>
  <c r="E5" i="6"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AZ467" i="3" s="1"/>
  <c r="BA468" i="3"/>
  <c r="AZ468" i="3" s="1"/>
  <c r="BA469" i="3"/>
  <c r="BL469" i="3"/>
  <c r="BA470" i="3"/>
  <c r="AZ470" i="3" s="1"/>
  <c r="G473" i="3"/>
  <c r="G474" i="3"/>
  <c r="BL474" i="3"/>
  <c r="BA475" i="3"/>
  <c r="AZ475" i="3" s="1"/>
  <c r="AZ481" i="3"/>
  <c r="AZ487" i="3"/>
  <c r="AZ379" i="3"/>
  <c r="AZ345" i="3"/>
  <c r="AZ318" i="3"/>
  <c r="AZ372" i="3"/>
  <c r="AZ337" i="3"/>
  <c r="AZ320" i="3"/>
  <c r="AZ305" i="3"/>
  <c r="AZ376" i="3"/>
  <c r="AZ362" i="3"/>
  <c r="AZ360" i="3"/>
  <c r="AZ343" i="3"/>
  <c r="AC12" i="37"/>
  <c r="AZ511" i="3"/>
  <c r="AZ519" i="3"/>
  <c r="AZ569" i="3"/>
  <c r="AZ577" i="3"/>
  <c r="AZ495" i="3"/>
  <c r="AZ513" i="3"/>
  <c r="AZ517" i="3"/>
  <c r="AZ567" i="3"/>
  <c r="AZ571" i="3"/>
  <c r="AZ575" i="3"/>
  <c r="AZ579" i="3"/>
  <c r="AZ568" i="3"/>
  <c r="AZ576" i="3"/>
  <c r="AB45" i="33"/>
  <c r="AB46" i="34"/>
  <c r="AA14" i="33"/>
  <c r="AA44" i="33"/>
  <c r="AC11" i="35"/>
  <c r="AB17" i="34"/>
  <c r="J11" i="21"/>
  <c r="W11" i="21" s="1"/>
  <c r="C21" i="39"/>
  <c r="C25" i="39"/>
  <c r="F11" i="21"/>
  <c r="S11" i="21" s="1"/>
  <c r="S27" i="35"/>
  <c r="W39" i="33"/>
  <c r="U33" i="33"/>
  <c r="F26" i="33"/>
  <c r="W9" i="34"/>
  <c r="W36" i="35"/>
  <c r="AC27" i="35"/>
  <c r="W28" i="36"/>
  <c r="U30" i="37"/>
  <c r="BL585" i="3"/>
  <c r="AZ585" i="3" s="1"/>
  <c r="B73" i="43"/>
  <c r="B79" i="43"/>
  <c r="B76" i="43"/>
  <c r="B75" i="43"/>
  <c r="F12" i="34"/>
  <c r="F12" i="35"/>
  <c r="G574" i="3"/>
  <c r="G558" i="3"/>
  <c r="G542" i="3"/>
  <c r="BL15" i="3"/>
  <c r="AZ15" i="3" s="1"/>
  <c r="A15" i="62"/>
  <c r="B61" i="72" s="1"/>
  <c r="AZ403" i="3"/>
  <c r="AZ409" i="3"/>
  <c r="AZ416" i="3"/>
  <c r="AZ418" i="3"/>
  <c r="AZ422" i="3"/>
  <c r="AZ425" i="3"/>
  <c r="AZ432" i="3"/>
  <c r="AZ434" i="3"/>
  <c r="AZ445" i="3"/>
  <c r="AZ447" i="3"/>
  <c r="AZ450" i="3"/>
  <c r="AZ454" i="3"/>
  <c r="AZ459" i="3"/>
  <c r="AZ464" i="3"/>
  <c r="BL476" i="3"/>
  <c r="G478" i="3"/>
  <c r="BL478" i="3"/>
  <c r="BA479" i="3"/>
  <c r="AZ479" i="3" s="1"/>
  <c r="G484" i="3"/>
  <c r="BL484" i="3"/>
  <c r="AZ484" i="3" s="1"/>
  <c r="BA485" i="3"/>
  <c r="AZ485" i="3" s="1"/>
  <c r="G490" i="3"/>
  <c r="G491" i="3"/>
  <c r="G492" i="3"/>
  <c r="BL492" i="3"/>
  <c r="AZ492" i="3" s="1"/>
  <c r="G307" i="3"/>
  <c r="BL308" i="3"/>
  <c r="AZ308" i="3" s="1"/>
  <c r="BL314" i="3"/>
  <c r="AZ314" i="3" s="1"/>
  <c r="BL287" i="3"/>
  <c r="AZ287" i="3" s="1"/>
  <c r="G290" i="3"/>
  <c r="BL290" i="3"/>
  <c r="G293" i="3"/>
  <c r="BL293" i="3"/>
  <c r="BA294" i="3"/>
  <c r="AZ294" i="3" s="1"/>
  <c r="BA295" i="3"/>
  <c r="AZ295" i="3" s="1"/>
  <c r="BA296" i="3"/>
  <c r="AZ296" i="3" s="1"/>
  <c r="BA297" i="3"/>
  <c r="AZ297" i="3" s="1"/>
  <c r="BL299" i="3"/>
  <c r="AZ299" i="3" s="1"/>
  <c r="BA300" i="3"/>
  <c r="AZ300" i="3" s="1"/>
  <c r="BL114" i="3"/>
  <c r="AZ114" i="3" s="1"/>
  <c r="BA116" i="3"/>
  <c r="AZ116" i="3" s="1"/>
  <c r="G118" i="3"/>
  <c r="BL118" i="3"/>
  <c r="AZ118" i="3" s="1"/>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316" i="3"/>
  <c r="AZ316" i="3" s="1"/>
  <c r="BA319" i="3"/>
  <c r="AZ319" i="3" s="1"/>
  <c r="BA323" i="3"/>
  <c r="AZ323" i="3" s="1"/>
  <c r="BL328" i="3"/>
  <c r="AZ328" i="3" s="1"/>
  <c r="BL333" i="3"/>
  <c r="AZ333" i="3" s="1"/>
  <c r="G339" i="3"/>
  <c r="BL340" i="3"/>
  <c r="AZ340" i="3" s="1"/>
  <c r="G347" i="3"/>
  <c r="BL350" i="3"/>
  <c r="AZ350"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AZ121" i="3"/>
  <c r="BL157" i="3"/>
  <c r="AZ157" i="3" s="1"/>
  <c r="BL162" i="3"/>
  <c r="AZ162" i="3" s="1"/>
  <c r="G164" i="3"/>
  <c r="BA165" i="3"/>
  <c r="AZ165" i="3" s="1"/>
  <c r="BA166" i="3"/>
  <c r="AZ166" i="3" s="1"/>
  <c r="BL167" i="3"/>
  <c r="AZ167" i="3" s="1"/>
  <c r="BA169" i="3"/>
  <c r="AZ169" i="3" s="1"/>
  <c r="BA170" i="3"/>
  <c r="AZ170" i="3" s="1"/>
  <c r="BL171" i="3"/>
  <c r="AZ171" i="3" s="1"/>
  <c r="BL174" i="3"/>
  <c r="AZ174" i="3" s="1"/>
  <c r="BA176" i="3"/>
  <c r="AZ176" i="3" s="1"/>
  <c r="BL177" i="3"/>
  <c r="G180" i="3"/>
  <c r="BL75" i="3"/>
  <c r="AZ75" i="3" s="1"/>
  <c r="BA76" i="3"/>
  <c r="AZ76" i="3" s="1"/>
  <c r="BA77" i="3"/>
  <c r="AZ77" i="3" s="1"/>
  <c r="BL79" i="3"/>
  <c r="AZ79"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27" i="71"/>
  <c r="B26" i="71" s="1"/>
  <c r="S28" i="71"/>
  <c r="D30" i="71"/>
  <c r="C31" i="71"/>
  <c r="G182" i="3"/>
  <c r="G183" i="3"/>
  <c r="G186" i="3"/>
  <c r="G187" i="3"/>
  <c r="G188" i="3"/>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G19" i="3"/>
  <c r="G20" i="3"/>
  <c r="G21" i="3"/>
  <c r="BL21" i="3"/>
  <c r="AZ21" i="3" s="1"/>
  <c r="BA22" i="3"/>
  <c r="AZ22" i="3" s="1"/>
  <c r="BL24" i="3"/>
  <c r="AZ24" i="3" s="1"/>
  <c r="BA25" i="3"/>
  <c r="AZ25" i="3" s="1"/>
  <c r="BA26" i="3"/>
  <c r="AZ26" i="3" s="1"/>
  <c r="BL28" i="3"/>
  <c r="AZ28" i="3" s="1"/>
  <c r="G29" i="3"/>
  <c r="BL29" i="3"/>
  <c r="AZ29" i="3" s="1"/>
  <c r="BA30" i="3"/>
  <c r="AZ30" i="3" s="1"/>
  <c r="BA31" i="3"/>
  <c r="AZ31" i="3" s="1"/>
  <c r="BA32" i="3"/>
  <c r="AZ32" i="3" s="1"/>
  <c r="BA33" i="3"/>
  <c r="AZ33" i="3" s="1"/>
  <c r="BL35" i="3"/>
  <c r="AZ35" i="3" s="1"/>
  <c r="BA36" i="3"/>
  <c r="AZ36" i="3" s="1"/>
  <c r="BA37" i="3"/>
  <c r="AZ37" i="3" s="1"/>
  <c r="BA38" i="3"/>
  <c r="AZ38" i="3" s="1"/>
  <c r="BA39" i="3"/>
  <c r="AZ39"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G63" i="3"/>
  <c r="G64" i="3"/>
  <c r="BL64" i="3"/>
  <c r="AZ64" i="3" s="1"/>
  <c r="BA65" i="3"/>
  <c r="AZ65" i="3" s="1"/>
  <c r="BA66" i="3"/>
  <c r="AZ66" i="3" s="1"/>
  <c r="BA67" i="3"/>
  <c r="AZ67" i="3" s="1"/>
  <c r="BL69" i="3"/>
  <c r="AZ69" i="3" s="1"/>
  <c r="BA70" i="3"/>
  <c r="AZ70" i="3" s="1"/>
  <c r="BA71" i="3"/>
  <c r="AZ71" i="3" s="1"/>
  <c r="BA72" i="3"/>
  <c r="AZ72" i="3" s="1"/>
  <c r="D66" i="71"/>
  <c r="O66" i="71"/>
  <c r="O65" i="71"/>
  <c r="T56" i="71"/>
  <c r="D56" i="71"/>
  <c r="C40" i="71"/>
  <c r="D39" i="71"/>
  <c r="C35" i="71"/>
  <c r="D34" i="71"/>
  <c r="D58" i="71"/>
  <c r="C59" i="71"/>
  <c r="BL110" i="3"/>
  <c r="AZ110" i="3" s="1"/>
  <c r="BA112" i="3"/>
  <c r="AZ112" i="3" s="1"/>
  <c r="AC21" i="34"/>
  <c r="U21" i="34"/>
  <c r="S21" i="34"/>
  <c r="P66" i="71"/>
  <c r="D67" i="71"/>
  <c r="X28" i="71"/>
  <c r="X26" i="71"/>
  <c r="AB33" i="71"/>
  <c r="X31" i="71"/>
  <c r="X30" i="71"/>
  <c r="B43" i="71"/>
  <c r="B44" i="71" s="1"/>
  <c r="S44" i="71" s="1"/>
  <c r="B63" i="71"/>
  <c r="B64" i="71" s="1"/>
  <c r="S64" i="71" s="1"/>
  <c r="J57" i="9"/>
  <c r="J59" i="9" s="1"/>
  <c r="J61" i="9" s="1"/>
  <c r="J41" i="39"/>
  <c r="F41" i="39"/>
  <c r="S41" i="39" s="1"/>
  <c r="U19" i="39"/>
  <c r="D3" i="36"/>
  <c r="C7" i="12"/>
  <c r="BA13" i="3"/>
  <c r="BA5" i="3" s="1"/>
  <c r="AB30" i="36"/>
  <c r="W18" i="36"/>
  <c r="AC16" i="36"/>
  <c r="S16" i="36"/>
  <c r="AB14" i="36"/>
  <c r="AA9" i="36"/>
  <c r="S9" i="36"/>
  <c r="U9" i="36"/>
  <c r="J9" i="36"/>
  <c r="U31" i="35"/>
  <c r="U29" i="35"/>
  <c r="AC29" i="35"/>
  <c r="S20" i="35"/>
  <c r="U18" i="35"/>
  <c r="S18" i="35"/>
  <c r="AA16" i="35"/>
  <c r="AB16" i="35"/>
  <c r="W16" i="35"/>
  <c r="U14" i="35"/>
  <c r="S14" i="35"/>
  <c r="S42" i="21"/>
  <c r="AB38" i="21"/>
  <c r="AA38" i="21"/>
  <c r="AB36" i="21"/>
  <c r="S35" i="21"/>
  <c r="U34" i="21"/>
  <c r="S34" i="21"/>
  <c r="S37" i="21"/>
  <c r="U32" i="21"/>
  <c r="S32" i="21"/>
  <c r="AC23" i="21"/>
  <c r="AA23" i="21"/>
  <c r="AC21" i="21"/>
  <c r="AB21" i="21"/>
  <c r="AB15" i="21"/>
  <c r="F6" i="1"/>
  <c r="G6" i="1" s="1"/>
  <c r="C10" i="39"/>
  <c r="F7" i="1"/>
  <c r="G7" i="1" s="1"/>
  <c r="F8" i="1"/>
  <c r="G8" i="1" s="1"/>
  <c r="S11" i="39"/>
  <c r="AC38" i="39"/>
  <c r="S38" i="39"/>
  <c r="U41" i="39"/>
  <c r="U29" i="39"/>
  <c r="W29" i="39"/>
  <c r="AB27" i="39"/>
  <c r="U25" i="39"/>
  <c r="AC11" i="39"/>
  <c r="C21" i="68"/>
  <c r="C40" i="69"/>
  <c r="G1" i="67"/>
  <c r="G1" i="15"/>
  <c r="G1" i="68"/>
  <c r="F3" i="35"/>
  <c r="C28" i="67"/>
  <c r="D16" i="53"/>
  <c r="B34" i="72" s="1"/>
  <c r="AZ557" i="3"/>
  <c r="E15" i="71"/>
  <c r="E14" i="71" s="1"/>
  <c r="E13" i="71" s="1"/>
  <c r="E12" i="71" s="1"/>
  <c r="V16" i="71"/>
  <c r="V20" i="71"/>
  <c r="D17" i="71"/>
  <c r="C16" i="71"/>
  <c r="W17" i="21"/>
  <c r="AC15" i="21"/>
  <c r="U12" i="39"/>
  <c r="AA27" i="40"/>
  <c r="AB27" i="40"/>
  <c r="G28" i="6"/>
  <c r="E28" i="6" s="1"/>
  <c r="K14" i="1" s="1"/>
  <c r="F29" i="6"/>
  <c r="U43" i="33"/>
  <c r="AA41" i="34"/>
  <c r="S44" i="34"/>
  <c r="W29" i="33"/>
  <c r="S45" i="33"/>
  <c r="AC30" i="34"/>
  <c r="U46" i="33"/>
  <c r="AA13" i="35"/>
  <c r="AA29" i="35"/>
  <c r="AB23" i="34"/>
  <c r="U33" i="35"/>
  <c r="AC11" i="40"/>
  <c r="F9" i="33"/>
  <c r="AA9" i="33" s="1"/>
  <c r="J12" i="33"/>
  <c r="H12" i="33"/>
  <c r="H12" i="36"/>
  <c r="H24" i="36"/>
  <c r="J26" i="37"/>
  <c r="H26" i="37"/>
  <c r="F26" i="37"/>
  <c r="H44" i="39"/>
  <c r="F44" i="39"/>
  <c r="H23" i="35"/>
  <c r="J23" i="35"/>
  <c r="H25" i="37"/>
  <c r="J25" i="37"/>
  <c r="F25" i="37"/>
  <c r="AZ399" i="3"/>
  <c r="AZ404" i="3"/>
  <c r="AZ411" i="3"/>
  <c r="AZ414" i="3"/>
  <c r="AZ421" i="3"/>
  <c r="AZ423" i="3"/>
  <c r="AZ427" i="3"/>
  <c r="AZ430" i="3"/>
  <c r="AZ440" i="3"/>
  <c r="AZ449" i="3"/>
  <c r="AZ453" i="3"/>
  <c r="AZ455" i="3"/>
  <c r="AZ460" i="3"/>
  <c r="AZ471" i="3"/>
  <c r="AZ476" i="3"/>
  <c r="AZ478" i="3"/>
  <c r="AZ385" i="3"/>
  <c r="AZ210" i="3"/>
  <c r="AZ225" i="3"/>
  <c r="AZ239" i="3"/>
  <c r="AZ301" i="3"/>
  <c r="G551" i="3"/>
  <c r="G5" i="3" s="1"/>
  <c r="B3" i="3" s="1"/>
  <c r="BL548" i="3"/>
  <c r="AZ548" i="3" s="1"/>
  <c r="AZ474" i="3"/>
  <c r="AZ480" i="3"/>
  <c r="AZ482" i="3"/>
  <c r="AZ486" i="3"/>
  <c r="AZ488" i="3"/>
  <c r="AZ220" i="3"/>
  <c r="AZ247" i="3"/>
  <c r="AZ264" i="3"/>
  <c r="AZ285" i="3"/>
  <c r="AZ290" i="3"/>
  <c r="AZ293" i="3"/>
  <c r="AZ113" i="3"/>
  <c r="AZ134" i="3"/>
  <c r="AZ137" i="3"/>
  <c r="AZ145" i="3"/>
  <c r="AZ161" i="3"/>
  <c r="AZ177" i="3"/>
  <c r="AZ205" i="3"/>
  <c r="AZ23" i="3"/>
  <c r="AZ27" i="3"/>
  <c r="AZ34" i="3"/>
  <c r="AZ44" i="3"/>
  <c r="AZ56" i="3"/>
  <c r="AZ60" i="3"/>
  <c r="AZ78" i="3"/>
  <c r="AZ87" i="3"/>
  <c r="AZ91" i="3"/>
  <c r="AZ95" i="3"/>
  <c r="AZ98" i="3"/>
  <c r="AZ100" i="3"/>
  <c r="AZ104" i="3"/>
  <c r="C36" i="71"/>
  <c r="D35" i="71"/>
  <c r="D42" i="71"/>
  <c r="C43" i="71"/>
  <c r="C47" i="71"/>
  <c r="D47" i="71" s="1"/>
  <c r="D46" i="71"/>
  <c r="X9" i="71"/>
  <c r="X10" i="71"/>
  <c r="AB10" i="71"/>
  <c r="AB9" i="71"/>
  <c r="S68" i="71"/>
  <c r="B67"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X24" i="71"/>
  <c r="Y24" i="71"/>
  <c r="Z24" i="71" s="1"/>
  <c r="AB15" i="71"/>
  <c r="AB12" i="71"/>
  <c r="AB14" i="71"/>
  <c r="Y13" i="71"/>
  <c r="Z13" i="71" s="1"/>
  <c r="AA13" i="71"/>
  <c r="Y23" i="71"/>
  <c r="Z23" i="71" s="1"/>
  <c r="Y22" i="71"/>
  <c r="Z22" i="71" s="1"/>
  <c r="AA23" i="71"/>
  <c r="X15" i="71"/>
  <c r="AA15" i="71"/>
  <c r="AB11" i="71"/>
  <c r="AB13" i="71"/>
  <c r="Y11" i="71"/>
  <c r="Z11" i="71" s="1"/>
  <c r="Y12" i="71"/>
  <c r="Z12" i="71" s="1"/>
  <c r="AA11"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C36" i="69"/>
  <c r="D9" i="68"/>
  <c r="F40" i="67"/>
  <c r="F7" i="15"/>
  <c r="F36" i="67"/>
  <c r="M22" i="15"/>
  <c r="M24" i="67"/>
  <c r="M9" i="15"/>
  <c r="F26" i="67"/>
  <c r="F7" i="67"/>
  <c r="F42" i="15"/>
  <c r="L48" i="15"/>
  <c r="M23" i="15"/>
  <c r="M23" i="67"/>
  <c r="C76" i="15"/>
  <c r="F8" i="67"/>
  <c r="F6" i="15"/>
  <c r="F43" i="67"/>
  <c r="M29" i="15"/>
  <c r="L48" i="67"/>
  <c r="F37" i="67"/>
  <c r="F13" i="15"/>
  <c r="M29" i="67"/>
  <c r="F40" i="15"/>
  <c r="F16" i="67"/>
  <c r="F8" i="15"/>
  <c r="L47" i="67"/>
  <c r="J15" i="67"/>
  <c r="G1" i="73"/>
  <c r="J15" i="15"/>
  <c r="F16" i="15"/>
  <c r="F9" i="15"/>
  <c r="C76" i="67"/>
  <c r="M6" i="67"/>
  <c r="F37" i="15"/>
  <c r="F9" i="67"/>
  <c r="M24" i="15"/>
  <c r="M6" i="15"/>
  <c r="F36" i="15"/>
  <c r="F13" i="67"/>
  <c r="M28" i="67"/>
  <c r="F38" i="67"/>
  <c r="M28" i="15"/>
  <c r="M26" i="67"/>
  <c r="F38" i="15"/>
  <c r="M8" i="15"/>
  <c r="F6" i="67"/>
  <c r="M9" i="67"/>
  <c r="M8" i="67"/>
  <c r="F42" i="67"/>
  <c r="M26" i="15"/>
  <c r="M22" i="67"/>
  <c r="F43" i="15"/>
  <c r="L47" i="15"/>
  <c r="F26" i="15"/>
  <c r="AZ451" i="3" l="1"/>
  <c r="AZ438" i="3"/>
  <c r="AZ435" i="3"/>
  <c r="AZ419" i="3"/>
  <c r="AZ111" i="3"/>
  <c r="AZ109" i="3"/>
  <c r="AZ105" i="3"/>
  <c r="AZ88" i="3"/>
  <c r="AZ80" i="3"/>
  <c r="C52" i="71"/>
  <c r="D51" i="71"/>
  <c r="AZ129" i="3"/>
  <c r="AZ302" i="3"/>
  <c r="AZ282" i="3"/>
  <c r="AZ228" i="3"/>
  <c r="AZ317" i="3"/>
  <c r="AZ462" i="3"/>
  <c r="AZ433" i="3"/>
  <c r="AZ417" i="3"/>
  <c r="AZ406" i="3"/>
  <c r="AB38" i="40"/>
  <c r="U38" i="40"/>
  <c r="AC12" i="21"/>
  <c r="W12" i="21"/>
  <c r="AA17" i="21"/>
  <c r="S17" i="21"/>
  <c r="AA34" i="35"/>
  <c r="S34" i="35"/>
  <c r="AC9" i="33"/>
  <c r="W9" i="33"/>
  <c r="AB17" i="21"/>
  <c r="U17" i="21"/>
  <c r="AA41" i="39"/>
  <c r="C60" i="71"/>
  <c r="D59" i="71"/>
  <c r="C32" i="71"/>
  <c r="D31" i="71"/>
  <c r="S12" i="35"/>
  <c r="AA12" i="35"/>
  <c r="AA26" i="33"/>
  <c r="S26" i="33"/>
  <c r="AZ469" i="3"/>
  <c r="AZ550" i="3"/>
  <c r="BL5" i="3"/>
  <c r="T40" i="71"/>
  <c r="D40" i="71"/>
  <c r="S12" i="34"/>
  <c r="AA12" i="34"/>
  <c r="W41" i="39"/>
  <c r="AC41" i="39"/>
  <c r="N94" i="46"/>
  <c r="J26" i="43"/>
  <c r="E26" i="43"/>
  <c r="H26" i="43"/>
  <c r="G26" i="43"/>
  <c r="N370" i="46"/>
  <c r="AC9" i="36"/>
  <c r="W9" i="36"/>
  <c r="F71" i="15"/>
  <c r="N59" i="15"/>
  <c r="L59" i="15"/>
  <c r="Q61" i="15" s="1"/>
  <c r="L58" i="15"/>
  <c r="Q60" i="15" s="1"/>
  <c r="F50" i="15"/>
  <c r="M7" i="15"/>
  <c r="J6" i="15" s="1"/>
  <c r="J18" i="15" s="1"/>
  <c r="Q71" i="15"/>
  <c r="F65" i="15"/>
  <c r="F51" i="15"/>
  <c r="F68" i="15"/>
  <c r="F64" i="15"/>
  <c r="C6" i="15"/>
  <c r="C32" i="15" s="1"/>
  <c r="C27" i="15"/>
  <c r="F66" i="15"/>
  <c r="J57" i="15"/>
  <c r="J55" i="15" s="1"/>
  <c r="J58" i="15" s="1"/>
  <c r="Q50" i="15" s="1"/>
  <c r="J53" i="15"/>
  <c r="L56" i="15" s="1"/>
  <c r="I54" i="15"/>
  <c r="F65" i="67"/>
  <c r="M7" i="67"/>
  <c r="J6" i="67" s="1"/>
  <c r="J18" i="67" s="1"/>
  <c r="F50" i="67"/>
  <c r="J57" i="67"/>
  <c r="J55" i="67" s="1"/>
  <c r="J58" i="67" s="1"/>
  <c r="Q50" i="67" s="1"/>
  <c r="I54" i="67"/>
  <c r="J53" i="67"/>
  <c r="Q52" i="67" s="1"/>
  <c r="L56" i="67"/>
  <c r="F66" i="67"/>
  <c r="F71" i="67"/>
  <c r="Q71" i="67"/>
  <c r="L59" i="67"/>
  <c r="Q61" i="67" s="1"/>
  <c r="N59" i="67"/>
  <c r="L58" i="67"/>
  <c r="Q73" i="67" s="1"/>
  <c r="F51" i="67"/>
  <c r="C6" i="67"/>
  <c r="C32" i="67" s="1"/>
  <c r="C27" i="67"/>
  <c r="F68" i="67"/>
  <c r="F64" i="67"/>
  <c r="P6" i="1"/>
  <c r="C13" i="12" s="1"/>
  <c r="K16" i="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C44" i="71"/>
  <c r="D43" i="71"/>
  <c r="AA25" i="37"/>
  <c r="S25" i="37"/>
  <c r="U25" i="37"/>
  <c r="AB25" i="37"/>
  <c r="AB23" i="35"/>
  <c r="U23" i="35"/>
  <c r="AB44" i="39"/>
  <c r="U44" i="39"/>
  <c r="AB26" i="37"/>
  <c r="U26" i="37"/>
  <c r="AB24" i="36"/>
  <c r="U24" i="36"/>
  <c r="U12" i="33"/>
  <c r="AB12" i="33"/>
  <c r="E11" i="71"/>
  <c r="E10" i="71" s="1"/>
  <c r="E9" i="71" s="1"/>
  <c r="E8" i="71" s="1"/>
  <c r="E7" i="71" s="1"/>
  <c r="E6" i="71" s="1"/>
  <c r="E5" i="71" s="1"/>
  <c r="V12" i="71"/>
  <c r="AZ5" i="3"/>
  <c r="AY6" i="3" s="1"/>
  <c r="D36" i="71"/>
  <c r="T36" i="71"/>
  <c r="AC25" i="37"/>
  <c r="W25" i="37"/>
  <c r="AC23" i="35"/>
  <c r="W23" i="35"/>
  <c r="AA44" i="39"/>
  <c r="S44" i="39"/>
  <c r="AA26" i="37"/>
  <c r="S26" i="37"/>
  <c r="AC26" i="37"/>
  <c r="W26" i="37"/>
  <c r="U12" i="36"/>
  <c r="AB12" i="36"/>
  <c r="W12" i="33"/>
  <c r="AC12" i="33"/>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6" i="1"/>
  <c r="AE9" i="1"/>
  <c r="F27" i="68"/>
  <c r="AE7" i="1"/>
  <c r="AE8" i="1"/>
  <c r="AE12" i="1"/>
  <c r="AE10" i="1"/>
  <c r="F41" i="67"/>
  <c r="C16" i="15"/>
  <c r="C16" i="67"/>
  <c r="T52" i="71" l="1"/>
  <c r="D52" i="71"/>
  <c r="F67" i="39"/>
  <c r="T32" i="71"/>
  <c r="D32" i="71"/>
  <c r="T60" i="71"/>
  <c r="D60" i="71"/>
  <c r="D26" i="43"/>
  <c r="C25" i="43" s="1"/>
  <c r="E3" i="6"/>
  <c r="AC6" i="3"/>
  <c r="H6" i="3"/>
  <c r="E6" i="3" s="1"/>
  <c r="C49" i="67"/>
  <c r="F1" i="15"/>
  <c r="C49" i="15"/>
  <c r="J5" i="15"/>
  <c r="J24" i="15" s="1"/>
  <c r="Q74" i="15"/>
  <c r="Q60" i="67"/>
  <c r="Q73" i="15"/>
  <c r="Q74" i="67"/>
  <c r="Q52" i="15"/>
  <c r="F1" i="67"/>
  <c r="J5" i="67"/>
  <c r="J24" i="67" s="1"/>
  <c r="D15" i="71"/>
  <c r="C14" i="71"/>
  <c r="N66" i="71"/>
  <c r="N65" i="71"/>
  <c r="E65" i="39"/>
  <c r="D44" i="71"/>
  <c r="T44"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67"/>
  <c r="M27" i="15"/>
  <c r="F41" i="15"/>
  <c r="B14" i="74" l="1"/>
  <c r="B1" i="74" s="1"/>
  <c r="C48" i="67"/>
  <c r="C60" i="67" s="1"/>
  <c r="D116" i="43"/>
  <c r="C48" i="15"/>
  <c r="C66" i="15"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D10" i="69"/>
  <c r="C34" i="69"/>
  <c r="D10" i="68"/>
  <c r="C14" i="67"/>
  <c r="C17" i="67"/>
  <c r="C17" i="15"/>
  <c r="B21" i="1" l="1"/>
  <c r="C44" i="68" s="1"/>
  <c r="D41" i="68" s="1"/>
  <c r="D30" i="6"/>
  <c r="C14" i="74"/>
  <c r="B2" i="74" s="1"/>
  <c r="D7" i="74" s="1"/>
  <c r="C66" i="67"/>
  <c r="H24" i="6"/>
  <c r="H22" i="6"/>
  <c r="R22" i="6" s="1"/>
  <c r="R9" i="1" s="1"/>
  <c r="H25" i="6"/>
  <c r="C60" i="15"/>
  <c r="C12" i="71"/>
  <c r="D13"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44" i="11" l="1"/>
  <c r="D41" i="11" s="1"/>
  <c r="B24" i="1"/>
  <c r="F11" i="12" s="1"/>
  <c r="C14" i="12" s="1"/>
  <c r="C16" i="12" s="1"/>
  <c r="C21" i="12" s="1"/>
  <c r="C22" i="12" s="1"/>
  <c r="B23" i="1"/>
  <c r="C25" i="11" s="1"/>
  <c r="C28" i="11"/>
  <c r="C27" i="11" s="1"/>
  <c r="C29" i="68"/>
  <c r="D27" i="68" s="1"/>
  <c r="C24" i="11"/>
  <c r="C29" i="11"/>
  <c r="D27" i="11" s="1"/>
  <c r="E2" i="70"/>
  <c r="M59" i="67"/>
  <c r="C11" i="71"/>
  <c r="T12" i="71"/>
  <c r="D12" i="71"/>
  <c r="U12"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23" i="11" l="1"/>
  <c r="C22" i="11" s="1"/>
  <c r="C26" i="11"/>
  <c r="D22" i="11" s="1"/>
  <c r="C26" i="68"/>
  <c r="D22" i="68" s="1"/>
  <c r="F50" i="69"/>
  <c r="C26" i="12"/>
  <c r="D25" i="12" s="1"/>
  <c r="F34" i="68"/>
  <c r="C36" i="68" s="1"/>
  <c r="F50" i="11"/>
  <c r="C29" i="12"/>
  <c r="D28" i="12" s="1"/>
  <c r="F50" i="68"/>
  <c r="M59" i="15"/>
  <c r="F34" i="11"/>
  <c r="C34" i="11" s="1"/>
  <c r="C38" i="11" s="1"/>
  <c r="C10" i="71"/>
  <c r="D11"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1" i="11" l="1"/>
  <c r="C37" i="11"/>
  <c r="C34" i="68"/>
  <c r="C35" i="68" s="1"/>
  <c r="C37" i="68"/>
  <c r="C35" i="11"/>
  <c r="C36" i="11"/>
  <c r="C33" i="11" s="1"/>
  <c r="C39" i="11" s="1"/>
  <c r="C9" i="71"/>
  <c r="D10" i="71"/>
  <c r="Q49" i="67"/>
  <c r="J14" i="67"/>
  <c r="J13" i="67" s="1"/>
  <c r="J23" i="67" s="1"/>
  <c r="C36" i="67"/>
  <c r="C57" i="67"/>
  <c r="C64" i="67" s="1"/>
  <c r="C13" i="67"/>
  <c r="Q70" i="67"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38" i="68" l="1"/>
  <c r="C33" i="68" s="1"/>
  <c r="C91" i="9"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4" i="9" l="1"/>
  <c r="C92" i="9"/>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1" i="68" l="1"/>
  <c r="C46" i="68"/>
  <c r="C45" i="68" s="1"/>
  <c r="D7" i="71"/>
  <c r="C6"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21" l="1"/>
  <c r="C6" i="12" s="1"/>
  <c r="C8" i="12"/>
  <c r="C49" i="68"/>
  <c r="C51" i="68" s="1"/>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6"/>
  <c r="D2" i="35"/>
  <c r="D2" i="34"/>
  <c r="M24" i="43" l="1"/>
  <c r="Q75" i="67"/>
  <c r="Q62" i="67"/>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7" i="1"/>
  <c r="AO8" i="1"/>
  <c r="AO6" i="1"/>
  <c r="AO9" i="1"/>
  <c r="AO12" i="1"/>
  <c r="AO10" i="1"/>
  <c r="AO11" i="1"/>
  <c r="B3" i="36" l="1"/>
  <c r="E6" i="12" s="1"/>
  <c r="E8" i="12"/>
  <c r="B3" i="35"/>
  <c r="D6" i="12" s="1"/>
  <c r="D8" i="12"/>
  <c r="C4" i="12"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1" i="12"/>
  <c r="C23" i="12"/>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F65" i="39"/>
  <c r="B2" i="39" s="1"/>
  <c r="C6" i="68" s="1"/>
  <c r="C7" i="68" s="1"/>
  <c r="C5" i="68" s="1"/>
  <c r="C42" i="40"/>
  <c r="C43" i="40"/>
  <c r="E47" i="40"/>
  <c r="F47" i="40" s="1"/>
  <c r="E46" i="40"/>
  <c r="F46" i="40" s="1"/>
  <c r="I47" i="40"/>
  <c r="J47" i="40" s="1"/>
  <c r="C32" i="12" l="1"/>
  <c r="B2" i="12" s="1"/>
  <c r="B3" i="39"/>
  <c r="C23" i="68"/>
  <c r="C20" i="68"/>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28" i="68"/>
  <c r="C27" i="68" s="1"/>
  <c r="C25" i="68"/>
  <c r="C22" i="68" s="1"/>
  <c r="D20" i="9"/>
  <c r="D103" i="9" l="1"/>
  <c r="C31" i="68"/>
  <c r="C52" i="68" s="1"/>
  <c r="B2" i="68" l="1"/>
  <c r="C57" i="68"/>
  <c r="C56" i="68" s="1"/>
  <c r="C19" i="9"/>
  <c r="G19" i="9" l="1"/>
  <c r="G21" i="9" s="1"/>
  <c r="C102" i="9"/>
  <c r="D22" i="9"/>
  <c r="C21" i="9"/>
  <c r="B3" i="68"/>
  <c r="D34" i="9"/>
  <c r="C20" i="9"/>
  <c r="D35" i="9"/>
  <c r="G20" i="9" l="1"/>
  <c r="C32" i="9" s="1"/>
  <c r="C103" i="9"/>
  <c r="C35" i="9" l="1"/>
  <c r="C34" i="9" s="1"/>
  <c r="D118" i="9" s="1"/>
  <c r="H118" i="9"/>
  <c r="H101" i="9" l="1"/>
  <c r="D14" i="74" s="1"/>
  <c r="E14" i="74" s="1"/>
  <c r="D119" i="9"/>
  <c r="D5" i="52" s="1"/>
  <c r="B49" i="72" s="1"/>
  <c r="F14" i="74"/>
  <c r="F118" i="9"/>
  <c r="M48" i="9"/>
  <c r="D5" i="53"/>
  <c r="D45" i="9"/>
  <c r="H107" i="9"/>
  <c r="G14" i="74" s="1"/>
  <c r="C104" i="9"/>
  <c r="I118" i="9"/>
  <c r="D4" i="52"/>
  <c r="B47" i="72" s="1"/>
  <c r="H119" i="9"/>
  <c r="H5" i="52" s="1"/>
  <c r="H4" i="52"/>
  <c r="F4" i="52" l="1"/>
  <c r="B51" i="72" s="1"/>
  <c r="F119" i="9"/>
  <c r="F5" i="52" s="1"/>
  <c r="B53" i="72" s="1"/>
  <c r="G118" i="9"/>
  <c r="D55" i="9"/>
  <c r="M53" i="9" s="1"/>
  <c r="C93" i="9"/>
  <c r="C86" i="9" s="1"/>
  <c r="C85" i="9"/>
  <c r="D53" i="9"/>
  <c r="C72" i="9"/>
  <c r="C78" i="9"/>
  <c r="C73" i="9" s="1"/>
  <c r="C64" i="9"/>
  <c r="C63" i="9" s="1"/>
  <c r="C67" i="9" s="1"/>
  <c r="D52" i="9"/>
  <c r="C105" i="9"/>
  <c r="H102" i="9"/>
  <c r="I4" i="52"/>
  <c r="B20" i="72"/>
  <c r="D6" i="53"/>
  <c r="B22" i="72" s="1"/>
  <c r="D13" i="53"/>
  <c r="M49" i="9"/>
  <c r="D122" i="9"/>
  <c r="G4" i="52" l="1"/>
  <c r="B52" i="72" s="1"/>
  <c r="E118" i="9"/>
  <c r="K112" i="9" s="1"/>
  <c r="L112" i="9" s="1"/>
  <c r="D7" i="53"/>
  <c r="B21" i="72" s="1"/>
  <c r="B30" i="72"/>
  <c r="D14" i="53"/>
  <c r="B32" i="72" s="1"/>
  <c r="H108" i="9"/>
  <c r="C68" i="9"/>
  <c r="D54" i="9" s="1"/>
  <c r="D48" i="9" s="1"/>
  <c r="M52" i="9" s="1"/>
  <c r="D59" i="9"/>
  <c r="M55" i="9" s="1"/>
  <c r="C95" i="9"/>
  <c r="D123" i="9"/>
  <c r="D9" i="52" s="1"/>
  <c r="D8" i="52"/>
  <c r="L66" i="9"/>
  <c r="M66" i="9" s="1"/>
  <c r="L65" i="9"/>
  <c r="M65" i="9" s="1"/>
  <c r="L67" i="9"/>
  <c r="M67" i="9" s="1"/>
  <c r="L64" i="9"/>
  <c r="M64" i="9" s="1"/>
  <c r="L68" i="9"/>
  <c r="M68" i="9" s="1"/>
  <c r="L63" i="9"/>
  <c r="M63" i="9" s="1"/>
  <c r="C79" i="9"/>
  <c r="E4" i="52" l="1"/>
  <c r="B48" i="72" s="1"/>
  <c r="C80" i="9"/>
  <c r="E80" i="9" s="1"/>
  <c r="E81" i="9" s="1"/>
  <c r="C96" i="9"/>
  <c r="E96" i="9" s="1"/>
  <c r="E97" i="9" s="1"/>
  <c r="M69" i="9"/>
  <c r="N69" i="9" s="1"/>
  <c r="D15" i="53"/>
  <c r="B31" i="72" s="1"/>
  <c r="C97" i="9" l="1"/>
  <c r="D58" i="9" s="1"/>
  <c r="D56" i="9" s="1"/>
  <c r="M54" i="9" s="1"/>
  <c r="N57" i="9" s="1"/>
  <c r="C81" i="9"/>
  <c r="P57" i="9" l="1"/>
  <c r="N58" i="9"/>
  <c r="N59" i="9"/>
  <c r="H111" i="9" s="1"/>
  <c r="I14" i="74" s="1"/>
  <c r="J14" i="74" s="1"/>
  <c r="D19" i="53" l="1"/>
  <c r="D126" i="9"/>
  <c r="N60" i="9"/>
  <c r="N61" i="9"/>
  <c r="H112" i="9" s="1"/>
  <c r="D21" i="53" l="1"/>
  <c r="B39" i="72" s="1"/>
  <c r="D127" i="9"/>
  <c r="D13" i="52" s="1"/>
  <c r="D12" i="52"/>
  <c r="B38" i="72"/>
  <c r="D20" i="53"/>
  <c r="B40" i="72" s="1"/>
  <c r="B6" i="74" l="1"/>
  <c r="F15" i="74"/>
  <c r="E15" i="74"/>
  <c r="B5" i="74"/>
  <c r="D6" i="74" l="1"/>
  <c r="C6" i="74"/>
  <c r="D5" i="74"/>
  <c r="C5" i="74"/>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<sst xmlns="http://schemas.openxmlformats.org/spreadsheetml/2006/main" count="11110" uniqueCount="5049">
  <si>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</si>
  <si>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</si>
  <si>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</si>
  <si>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</si>
  <si>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</si>
  <si>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</si>
  <si>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</si>
  <si>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</si>
  <si>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</si>
  <si>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</si>
  <si>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</si>
  <si>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</si>
  <si>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</si>
  <si>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</si>
  <si>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</si>
  <si>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</si>
  <si>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</si>
  <si>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</si>
  <si>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</si>
  <si>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</si>
  <si>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</si>
  <si>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</si>
  <si>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</si>
  <si>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</si>
  <si>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</si>
  <si>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</si>
  <si>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</si>
  <si>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</si>
  <si>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</si>
  <si>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</si>
  <si>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</si>
  <si>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</si>
  <si>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</si>
  <si>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</si>
  <si>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</si>
  <si>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</si>
  <si>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</si>
  <si>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</si>
  <si>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</si>
  <si>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</si>
  <si>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</si>
  <si>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</si>
  <si>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</si>
  <si>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</si>
  <si>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</si>
  <si>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</si>
  <si>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</si>
  <si>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</si>
  <si>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</si>
  <si>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</si>
  <si>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</si>
  <si>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</si>
  <si>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</si>
  <si>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</si>
  <si>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</si>
  <si>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</si>
  <si>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</si>
  <si>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</si>
  <si>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</si>
  <si>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</si>
  <si>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</si>
  <si>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</si>
  <si>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</si>
  <si>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</si>
  <si>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</si>
  <si>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</si>
  <si>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</si>
  <si>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</si>
  <si>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</si>
  <si>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</si>
  <si>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</si>
  <si>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</si>
  <si>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</si>
  <si>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</si>
  <si>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</si>
  <si>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</si>
  <si>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</si>
  <si>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</si>
  <si>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</si>
  <si>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</si>
  <si>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</si>
  <si>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</si>
  <si>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</si>
  <si>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</si>
  <si>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</si>
  <si>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</si>
  <si>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</si>
  <si>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</si>
  <si>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</si>
  <si>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</si>
  <si>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</si>
  <si>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</si>
  <si>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</si>
  <si>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</si>
  <si>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</si>
  <si>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</si>
  <si>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</si>
  <si>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</si>
  <si>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</si>
  <si>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</si>
  <si>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</si>
  <si>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</si>
  <si>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</si>
  <si>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</si>
  <si>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</si>
  <si>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</si>
  <si>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</si>
  <si>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</si>
  <si>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</si>
  <si>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</si>
  <si>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</si>
  <si>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</si>
  <si>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</si>
  <si>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</si>
  <si>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</si>
  <si>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</si>
  <si>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</si>
  <si>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</si>
  <si>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</si>
  <si>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</si>
  <si>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</si>
  <si>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</si>
  <si>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</si>
  <si>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</si>
  <si>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</si>
  <si>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</si>
  <si>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</si>
  <si>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</si>
  <si>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</si>
  <si>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</si>
  <si>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</si>
  <si>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</si>
  <si>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</si>
  <si>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</si>
  <si>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</si>
  <si>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</si>
  <si>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</si>
  <si>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</si>
  <si>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</si>
  <si>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</si>
  <si>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</si>
  <si>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</si>
  <si>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</si>
  <si>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</si>
  <si>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</si>
  <si>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</si>
  <si>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</si>
  <si>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</si>
  <si>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</si>
  <si>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</si>
  <si>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</si>
  <si>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</si>
  <si>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</si>
  <si>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</si>
  <si>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</si>
  <si>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</si>
  <si>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</si>
  <si>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</si>
  <si>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</si>
  <si>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</si>
  <si>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</si>
  <si>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</si>
  <si>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</si>
  <si>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</si>
  <si>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</si>
  <si>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</si>
  <si>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</si>
  <si>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</si>
  <si>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</si>
  <si>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</si>
  <si>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</si>
  <si>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</si>
  <si>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</si>
  <si>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</si>
  <si>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</si>
  <si>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</si>
  <si>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</si>
  <si>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</si>
  <si>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</si>
  <si>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</si>
  <si>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</si>
  <si>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</si>
  <si>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</si>
  <si>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</si>
  <si>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</si>
  <si>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</si>
  <si>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</si>
  <si>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</si>
  <si>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</si>
  <si>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</si>
  <si>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</si>
  <si>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</si>
  <si>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</si>
  <si>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</si>
  <si>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</si>
  <si>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</si>
  <si>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</si>
  <si>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</si>
  <si>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</si>
  <si>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</si>
  <si>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</si>
  <si>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</si>
  <si>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</si>
  <si>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</si>
  <si>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</si>
  <si>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</si>
  <si>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</si>
  <si>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</si>
  <si>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</si>
  <si>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</si>
  <si>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</si>
  <si>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</si>
  <si>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</si>
  <si>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</si>
  <si>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</si>
  <si>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</si>
  <si>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</si>
  <si>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</si>
  <si>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</si>
  <si>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</si>
  <si>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</si>
  <si>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</si>
  <si>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</si>
  <si>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</si>
  <si>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</si>
  <si>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</si>
  <si>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</si>
  <si>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</si>
  <si>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</si>
  <si>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</si>
  <si>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</si>
  <si>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</si>
  <si>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</si>
  <si>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</si>
  <si>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</si>
  <si>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</si>
  <si>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</si>
  <si>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</si>
  <si>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</si>
  <si>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</si>
  <si>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</si>
  <si>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</si>
  <si>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</si>
  <si>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</si>
  <si>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</si>
  <si>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</si>
  <si>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</si>
  <si>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</si>
  <si>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</si>
  <si>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</si>
  <si>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</si>
  <si>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</si>
  <si>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</si>
  <si>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</si>
  <si>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</si>
  <si>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</si>
  <si>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</si>
  <si>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</si>
  <si>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</si>
  <si>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</si>
  <si>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</si>
  <si>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</si>
  <si>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</si>
  <si>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</si>
  <si>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</si>
  <si>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</si>
  <si>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</si>
  <si>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</si>
  <si>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</si>
  <si>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</si>
  <si>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</si>
  <si>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</si>
  <si>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</si>
  <si>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</si>
  <si>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</si>
  <si>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</si>
  <si>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</si>
  <si>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</si>
  <si>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</si>
  <si>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</si>
  <si>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</si>
  <si>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</si>
  <si>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</si>
  <si>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</si>
  <si>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</si>
  <si>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</si>
  <si>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</si>
  <si>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</si>
  <si>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</si>
  <si>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</si>
  <si>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</si>
  <si>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</si>
  <si>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</si>
  <si>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</si>
  <si>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</si>
  <si>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</si>
  <si>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</si>
  <si>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</si>
  <si>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</si>
  <si>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</si>
  <si>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</si>
  <si>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</si>
  <si>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</si>
  <si>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</si>
  <si>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</si>
  <si>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</si>
  <si>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</si>
  <si>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</si>
  <si>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</si>
  <si>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</si>
  <si>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</si>
  <si>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</si>
  <si>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</si>
  <si>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</si>
  <si>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</si>
  <si>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</si>
  <si>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</si>
  <si>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</si>
  <si>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</si>
  <si>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</si>
  <si>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</si>
  <si>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</si>
  <si>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</si>
  <si>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</si>
  <si>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</si>
  <si>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</si>
  <si>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</si>
  <si>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</si>
  <si>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</si>
  <si>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</si>
  <si>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</si>
  <si>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</si>
  <si>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</si>
  <si>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</si>
  <si>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</si>
  <si>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</si>
  <si>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</si>
  <si>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</si>
  <si>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</si>
  <si>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</si>
  <si>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</si>
  <si>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</si>
  <si>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</si>
  <si>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</si>
  <si>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</si>
  <si>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</si>
  <si>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</si>
  <si>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</si>
  <si>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</si>
  <si>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</si>
  <si>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</si>
  <si>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</si>
  <si>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</si>
  <si>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</si>
  <si>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</si>
  <si>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</si>
  <si>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</si>
  <si>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</si>
  <si>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</si>
  <si>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</si>
  <si>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</si>
  <si>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</si>
  <si>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</si>
  <si>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</si>
  <si>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</si>
  <si>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</si>
  <si>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</si>
  <si>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</si>
  <si>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</si>
  <si>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</si>
  <si>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</si>
  <si>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</si>
  <si>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</si>
  <si>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</si>
  <si>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</si>
  <si>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</si>
  <si>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</si>
  <si>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</si>
  <si>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</si>
  <si>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</si>
  <si>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</si>
  <si>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</si>
  <si>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</si>
  <si>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</si>
  <si>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</si>
  <si>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</si>
  <si>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</si>
  <si>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</si>
  <si>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</si>
  <si>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</si>
  <si>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</si>
  <si>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</si>
  <si>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</si>
  <si>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</si>
  <si>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</si>
  <si>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</si>
  <si>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</si>
  <si>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</si>
  <si>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</si>
  <si>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</si>
  <si>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</si>
  <si>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</si>
  <si>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</si>
  <si>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</si>
  <si>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</si>
  <si>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</si>
  <si>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</si>
  <si>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</si>
  <si>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</si>
  <si>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</si>
  <si>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</si>
  <si>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</si>
  <si>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</si>
  <si>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</si>
  <si>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</si>
  <si>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</si>
  <si>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</si>
  <si>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</si>
  <si>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</si>
  <si>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</si>
  <si>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</si>
  <si>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</si>
  <si>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</si>
  <si>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</si>
  <si>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</si>
  <si>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</si>
  <si>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</si>
  <si>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</si>
  <si>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</si>
  <si>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</si>
  <si>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</si>
  <si>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</si>
  <si>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</si>
  <si>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</si>
  <si>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</si>
  <si>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</si>
  <si>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</si>
  <si>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</si>
  <si>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</si>
  <si>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</si>
  <si>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</si>
  <si>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</si>
  <si>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</si>
  <si>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</si>
  <si>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</si>
  <si>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</si>
  <si>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</si>
  <si>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</si>
  <si>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</si>
  <si>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</si>
  <si>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</si>
  <si>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</si>
  <si>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</si>
  <si>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</si>
  <si>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</si>
  <si>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</si>
  <si>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</si>
  <si>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</si>
  <si>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</si>
  <si>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</si>
  <si>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</si>
  <si>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</si>
  <si>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</si>
  <si>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</si>
  <si>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</si>
  <si>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</si>
  <si>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</si>
  <si>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</si>
  <si>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</si>
  <si>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</si>
  <si>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</si>
  <si>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</si>
  <si>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</si>
  <si>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</si>
  <si>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</si>
  <si>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</si>
  <si>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</si>
  <si>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</si>
  <si>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</si>
  <si>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</si>
  <si>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</si>
  <si>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</si>
  <si>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</si>
  <si>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</si>
  <si>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</si>
  <si>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</si>
  <si>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</si>
  <si>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</si>
  <si>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</si>
  <si>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</si>
  <si>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</si>
  <si>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</si>
  <si>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</si>
  <si>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</si>
  <si>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</si>
  <si>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</si>
  <si>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</si>
  <si>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</si>
  <si>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</si>
  <si>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</si>
  <si>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</si>
  <si>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</si>
  <si>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</si>
  <si>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</si>
  <si>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</si>
  <si>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</si>
  <si>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</si>
  <si>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</si>
  <si>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</si>
  <si>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</si>
  <si>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</si>
  <si>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</si>
  <si>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</si>
  <si>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</si>
  <si>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</si>
  <si>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</si>
  <si>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</si>
  <si>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</si>
  <si>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</si>
  <si>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</si>
  <si>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</si>
  <si>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</si>
  <si>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</si>
  <si>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</si>
  <si>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</si>
  <si>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</si>
  <si>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</si>
  <si>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</si>
  <si>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</si>
  <si>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</si>
  <si>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</si>
  <si>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</si>
  <si>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</si>
  <si>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</si>
  <si>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</si>
  <si>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</si>
  <si>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</si>
  <si>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</si>
  <si>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</si>
  <si>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</si>
  <si>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</si>
  <si>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</si>
  <si>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</si>
  <si>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</si>
  <si>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</si>
  <si>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</si>
  <si>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</si>
  <si>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</si>
  <si>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</si>
  <si>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</si>
  <si>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</si>
  <si>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</si>
  <si>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</si>
  <si>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</si>
  <si>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</si>
  <si>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</si>
  <si>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</si>
  <si>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</si>
  <si>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</si>
  <si>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</si>
  <si>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</si>
  <si>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</si>
  <si>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</si>
  <si>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</si>
  <si>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</si>
  <si>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</si>
  <si>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</si>
  <si>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</si>
  <si>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</si>
  <si>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</si>
  <si>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</si>
  <si>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</si>
  <si>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</si>
  <si>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</si>
  <si>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</si>
  <si>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</si>
  <si>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</si>
  <si>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</si>
  <si>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</si>
  <si>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</si>
  <si>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</si>
  <si>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</si>
  <si>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</si>
  <si>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</si>
  <si>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</si>
  <si>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</si>
  <si>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</si>
  <si>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</si>
  <si>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</si>
  <si>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</si>
  <si>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</si>
  <si>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</si>
  <si>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</si>
  <si>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</si>
  <si>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</si>
  <si>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</si>
  <si>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</si>
  <si>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</si>
  <si>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</si>
  <si>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</si>
  <si>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</si>
  <si>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</si>
  <si>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</si>
  <si>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</si>
  <si>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</si>
  <si>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</si>
  <si>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</si>
  <si>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</si>
  <si>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</si>
  <si>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</si>
  <si>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</si>
  <si>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</si>
  <si>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</si>
  <si>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</si>
  <si>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</si>
  <si>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</si>
  <si>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</si>
  <si>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</si>
  <si>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</si>
  <si>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</si>
  <si>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</si>
  <si>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</si>
  <si>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</si>
  <si>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</si>
  <si>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</si>
  <si>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</si>
  <si>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</si>
  <si>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</si>
  <si>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</si>
  <si>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</si>
  <si>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</si>
  <si>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</si>
  <si>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</si>
  <si>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</si>
  <si>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</si>
  <si>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</si>
  <si>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</si>
  <si>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</si>
  <si>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</si>
  <si>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</si>
  <si>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</si>
  <si>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</si>
  <si>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</si>
  <si>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</si>
  <si>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</si>
  <si>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</si>
  <si>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</si>
  <si>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</si>
  <si>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</si>
  <si>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</si>
  <si>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</si>
  <si>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</si>
  <si>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</si>
  <si>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</si>
  <si>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</si>
  <si>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</si>
  <si>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</si>
  <si>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</si>
  <si>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</si>
  <si>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</si>
  <si>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</si>
  <si>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</si>
  <si>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</si>
  <si>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</si>
  <si>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</si>
  <si>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</si>
  <si>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</si>
  <si>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</si>
  <si>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</si>
  <si>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</si>
  <si>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</si>
  <si>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</si>
  <si>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</si>
  <si>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</si>
  <si>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</si>
  <si>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</si>
  <si>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</si>
  <si>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</si>
  <si>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</si>
  <si>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</si>
  <si>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</si>
  <si>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</si>
  <si>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</si>
  <si>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</si>
  <si>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</si>
  <si>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</si>
  <si>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</si>
  <si>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</si>
  <si>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</si>
  <si>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</si>
  <si>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</si>
  <si>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</si>
  <si>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</si>
  <si>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</si>
  <si>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</si>
  <si>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</si>
  <si>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</si>
  <si>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</si>
  <si>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</si>
  <si>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</si>
  <si>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</si>
  <si>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</si>
  <si>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</si>
  <si>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</si>
  <si>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</si>
  <si>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</si>
  <si>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</si>
  <si>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</si>
  <si>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</si>
  <si>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</si>
  <si>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</si>
  <si>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</si>
  <si>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</si>
  <si>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</si>
  <si>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</si>
  <si>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</si>
  <si>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</si>
  <si>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</si>
  <si>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</si>
  <si>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</si>
  <si>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</si>
  <si>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</si>
  <si>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</si>
  <si>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</si>
  <si>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</si>
  <si>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</si>
  <si>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</si>
  <si>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</si>
  <si>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</si>
  <si>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</si>
  <si>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</si>
  <si>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</si>
  <si>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</si>
  <si>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</si>
  <si>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</si>
  <si>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</si>
  <si>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</si>
  <si>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</si>
  <si>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</si>
  <si>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</si>
  <si>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</si>
  <si>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</si>
  <si>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</si>
  <si>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</si>
  <si>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</si>
  <si>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</si>
  <si>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</si>
  <si>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</si>
  <si>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</si>
  <si>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</si>
  <si>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</si>
  <si>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</si>
  <si>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</si>
  <si>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</si>
  <si>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</si>
  <si>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</si>
  <si>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</si>
  <si>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</si>
  <si>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</si>
  <si>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</si>
  <si>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</si>
  <si>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</si>
  <si>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</si>
  <si>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</si>
  <si>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</si>
  <si>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</si>
  <si>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</si>
  <si>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</si>
  <si>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</si>
  <si>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</si>
  <si>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</si>
  <si>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</si>
  <si>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</si>
  <si>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</si>
  <si>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</si>
  <si>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</si>
  <si>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</si>
  <si>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</si>
  <si>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</si>
  <si>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</si>
  <si>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</si>
  <si>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</si>
  <si>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</si>
  <si>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</si>
  <si>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</si>
  <si>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</si>
  <si>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</si>
  <si>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</si>
  <si>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</si>
  <si>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</si>
  <si>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</si>
  <si>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</si>
  <si>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</si>
  <si>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</si>
  <si>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</si>
  <si>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</si>
  <si>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</si>
  <si>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</si>
  <si>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</si>
  <si>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</si>
  <si>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</si>
  <si>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</si>
  <si>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</si>
  <si>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</si>
  <si>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</si>
  <si>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</si>
  <si>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</si>
  <si>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</si>
  <si>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</si>
  <si>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</si>
  <si>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</si>
  <si>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</si>
  <si>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</si>
  <si>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</si>
  <si>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</si>
  <si>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</si>
  <si>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</si>
  <si>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</si>
  <si>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</si>
  <si>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</si>
  <si>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</si>
  <si>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</si>
  <si>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</si>
  <si>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</si>
  <si>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</si>
  <si>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</si>
  <si>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</si>
  <si>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</si>
  <si>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</si>
  <si>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</si>
  <si>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</si>
  <si>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</si>
  <si>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</si>
  <si>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</si>
  <si>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</si>
  <si>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</si>
  <si>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</si>
  <si>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</si>
  <si>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</si>
  <si>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</si>
  <si>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</si>
  <si>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</si>
  <si>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</si>
  <si>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</si>
  <si>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</si>
  <si>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</si>
  <si>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</si>
  <si>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</si>
  <si>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</si>
  <si>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</si>
  <si>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</si>
  <si>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</si>
  <si>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</si>
  <si>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</si>
  <si>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</si>
  <si>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</si>
  <si>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</si>
  <si>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</si>
  <si>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</si>
  <si>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</si>
  <si>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</si>
  <si>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</si>
  <si>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</si>
  <si>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</si>
  <si>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</si>
  <si>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</si>
  <si>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</si>
  <si>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</si>
  <si>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</si>
  <si>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</si>
  <si>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</si>
  <si>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</si>
  <si>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</si>
  <si>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</si>
  <si>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</si>
  <si>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</si>
  <si>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</si>
  <si>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</si>
  <si>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</si>
  <si>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</si>
  <si>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</si>
  <si>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</si>
  <si>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</si>
  <si>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</si>
  <si>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</si>
  <si>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</si>
  <si>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</si>
  <si>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</si>
  <si>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</si>
  <si>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</si>
  <si>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</si>
  <si>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</si>
  <si>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</si>
  <si>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</si>
  <si>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</si>
  <si>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</si>
  <si>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</si>
  <si>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</si>
  <si>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</si>
  <si>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</si>
  <si>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</si>
  <si>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</si>
  <si>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</si>
  <si>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</si>
  <si>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</si>
  <si>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</si>
  <si>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</si>
  <si>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</si>
  <si>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</si>
  <si>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</si>
  <si>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</si>
  <si>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</si>
  <si>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</si>
  <si>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</si>
  <si>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</si>
  <si>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</si>
  <si>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</si>
  <si>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</si>
  <si>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</si>
  <si>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</si>
  <si>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</si>
  <si>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</si>
  <si>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</si>
  <si>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</si>
  <si>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</si>
  <si>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</si>
  <si>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</si>
  <si>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</si>
  <si>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</si>
  <si>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</si>
  <si>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</si>
  <si>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</si>
  <si>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</si>
  <si>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</si>
  <si>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</si>
  <si>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</si>
  <si>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</si>
  <si>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</si>
  <si>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</si>
  <si>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</si>
  <si>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</si>
  <si>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</si>
  <si>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</si>
  <si>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</si>
  <si>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</si>
  <si>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</si>
  <si>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</si>
  <si>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</si>
  <si>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</si>
  <si>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</si>
  <si>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</si>
  <si>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</si>
  <si>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</si>
  <si>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</si>
  <si>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</si>
  <si>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</si>
  <si>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</si>
  <si>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</si>
  <si>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</si>
  <si>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</si>
  <si>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</si>
  <si>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</si>
  <si>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</si>
  <si>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</si>
  <si>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</si>
  <si>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</si>
  <si>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</si>
  <si>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</si>
  <si>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</si>
  <si>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</si>
  <si>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</si>
  <si>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</si>
  <si>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</si>
  <si>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</si>
  <si>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</si>
  <si>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</si>
  <si>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</si>
  <si>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</si>
  <si>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</si>
  <si>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</si>
  <si>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</si>
  <si>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</si>
  <si>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</si>
  <si>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</si>
  <si>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</si>
  <si>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</si>
  <si>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</si>
  <si>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</si>
  <si>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</si>
  <si>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</si>
  <si>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</si>
  <si>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</si>
  <si>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</si>
  <si>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</si>
  <si>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</si>
  <si>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</si>
  <si>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</si>
  <si>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</si>
  <si>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</si>
  <si>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</si>
  <si>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</si>
  <si>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</si>
  <si>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</si>
  <si>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</si>
  <si>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</si>
  <si>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</si>
  <si>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</si>
  <si>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</si>
  <si>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</si>
  <si>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</si>
  <si>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</si>
  <si>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</si>
  <si>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</si>
  <si>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</si>
  <si>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</si>
  <si>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</si>
  <si>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</si>
  <si>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</si>
  <si>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</si>
  <si>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</si>
  <si>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</si>
  <si>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</si>
  <si>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</si>
  <si>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</si>
  <si>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</si>
  <si>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</si>
  <si>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</si>
  <si>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</si>
  <si>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</si>
  <si>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</si>
  <si>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</si>
  <si>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</si>
  <si>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</si>
  <si>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</si>
  <si>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</si>
  <si>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</si>
  <si>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</si>
  <si>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</si>
  <si>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</si>
  <si>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</si>
  <si>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</si>
  <si>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</si>
  <si>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</si>
  <si>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</si>
  <si>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</si>
  <si>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</si>
  <si>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</si>
  <si>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</si>
  <si>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</si>
  <si>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</si>
  <si>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</si>
  <si>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</si>
  <si>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</si>
  <si>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</si>
  <si>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</si>
  <si>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</si>
  <si>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</si>
  <si>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</si>
  <si>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</si>
  <si>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</si>
  <si>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</si>
  <si>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</si>
  <si>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</si>
  <si>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</si>
  <si>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</si>
  <si>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</si>
  <si>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</si>
  <si>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</si>
  <si>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</si>
  <si>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</si>
  <si>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</si>
  <si>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</si>
  <si>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</si>
  <si>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</si>
  <si>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</si>
  <si>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</si>
  <si>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</si>
  <si>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</si>
  <si>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</si>
  <si>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</si>
  <si>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</si>
  <si>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</si>
  <si>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</si>
  <si>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</si>
  <si>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</si>
  <si>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</si>
  <si>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</si>
  <si>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</si>
  <si>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</si>
  <si>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</si>
  <si>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</si>
  <si>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</si>
  <si>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</si>
  <si>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</si>
  <si>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</si>
  <si>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</si>
  <si>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</si>
  <si>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</si>
  <si>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</si>
  <si>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</si>
  <si>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</si>
  <si>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</si>
  <si>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</si>
  <si>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</si>
  <si>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</si>
  <si>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</si>
  <si>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</si>
  <si>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</si>
  <si>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</si>
  <si>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</si>
  <si>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</si>
  <si>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</si>
  <si>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</si>
  <si>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</si>
  <si>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</si>
  <si>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</si>
  <si>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</si>
  <si>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</si>
  <si>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</si>
  <si>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</si>
  <si>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</si>
  <si>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</si>
  <si>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</si>
  <si>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</si>
  <si>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</si>
  <si>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</si>
  <si>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</si>
  <si>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</si>
  <si>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</si>
  <si>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</si>
  <si>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</si>
  <si>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</si>
  <si>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</si>
  <si>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</si>
  <si>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</si>
  <si>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</si>
  <si>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</si>
  <si>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</si>
  <si>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</si>
  <si>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</si>
  <si>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</si>
  <si>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</si>
  <si>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</si>
  <si>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</si>
  <si>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</si>
  <si>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</si>
  <si>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</si>
  <si>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</si>
  <si>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</si>
  <si>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</si>
  <si>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</si>
  <si>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</si>
  <si>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</si>
  <si>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</si>
  <si>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</si>
  <si>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</si>
  <si>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</si>
  <si>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</si>
  <si>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</si>
  <si>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</si>
  <si>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</si>
  <si>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</si>
  <si>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</si>
  <si>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</si>
  <si>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</si>
  <si>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</si>
  <si>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</si>
  <si>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</si>
  <si>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</si>
  <si>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</si>
  <si>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</si>
  <si>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</si>
  <si>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</si>
  <si>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</si>
  <si>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</si>
  <si>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</si>
  <si>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</si>
  <si>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</si>
  <si>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</si>
  <si>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</si>
  <si>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</si>
  <si>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</si>
  <si>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</si>
  <si>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</si>
  <si>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</si>
  <si>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</si>
  <si>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</si>
  <si>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</si>
  <si>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</si>
  <si>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</si>
  <si>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</si>
  <si>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</si>
  <si>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</si>
  <si>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</si>
  <si>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</si>
  <si>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</si>
  <si>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</si>
  <si>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</si>
  <si>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</si>
  <si>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</si>
  <si>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</si>
  <si>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</si>
  <si>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</si>
  <si>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</si>
  <si>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</si>
  <si>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</si>
  <si>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</si>
  <si>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</si>
  <si>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</si>
  <si>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</si>
  <si>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</si>
  <si>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</si>
  <si>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</si>
  <si>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</si>
  <si>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</si>
  <si>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</si>
  <si>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</si>
  <si>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</si>
  <si>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</si>
  <si>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</si>
  <si>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</si>
  <si>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</si>
  <si>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</si>
  <si>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</si>
  <si>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</si>
  <si>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</si>
  <si>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</si>
  <si>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</si>
  <si>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</si>
  <si>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</si>
  <si>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</si>
  <si>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</si>
  <si>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</si>
  <si>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</si>
  <si>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</si>
  <si>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</si>
  <si>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</si>
  <si>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</si>
  <si>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</si>
  <si>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</si>
  <si>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</si>
  <si>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</si>
  <si>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</si>
  <si>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</si>
  <si>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</si>
  <si>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</si>
  <si>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</si>
  <si>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</si>
  <si>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</si>
  <si>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</si>
  <si>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</si>
  <si>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</si>
  <si>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</si>
  <si>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</si>
  <si>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</si>
  <si>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</si>
  <si>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</si>
  <si>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</si>
  <si>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</si>
  <si>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</si>
  <si>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</si>
  <si>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</si>
  <si>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</si>
  <si>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</si>
  <si>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</si>
  <si>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</si>
  <si>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</si>
  <si>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</si>
  <si>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</si>
  <si>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</si>
  <si>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</si>
  <si>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</si>
  <si>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</si>
  <si>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</si>
  <si>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</si>
  <si>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</si>
  <si>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</si>
  <si>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</si>
  <si>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</si>
  <si>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</si>
  <si>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</si>
  <si>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</si>
  <si>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</si>
  <si>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</si>
  <si>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</si>
  <si>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</si>
  <si>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</si>
  <si>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</si>
  <si>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</si>
  <si>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</si>
  <si>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</si>
  <si>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</si>
  <si>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</si>
  <si>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</si>
  <si>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</si>
  <si>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</si>
  <si>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</si>
  <si>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</si>
  <si>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</si>
  <si>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</si>
  <si>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</si>
  <si>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</si>
  <si>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</si>
  <si>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</si>
  <si>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</si>
  <si>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</si>
  <si>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</si>
  <si>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</si>
  <si>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</si>
  <si>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</si>
  <si>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</si>
  <si>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</si>
  <si>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</si>
  <si>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</si>
  <si>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</si>
  <si>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</si>
  <si>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</si>
  <si>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</si>
  <si>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</si>
  <si>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</si>
  <si>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</si>
  <si>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</si>
  <si>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</si>
  <si>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</si>
  <si>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</si>
  <si>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</si>
  <si>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</si>
  <si>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</si>
  <si>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</si>
  <si>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</si>
  <si>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</si>
  <si>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</si>
  <si>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</si>
  <si>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</si>
  <si>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</si>
  <si>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</si>
  <si>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</si>
  <si>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</si>
  <si>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</si>
  <si>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</si>
  <si>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</si>
  <si>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</si>
  <si>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</si>
  <si>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</si>
  <si>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</si>
  <si>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</si>
  <si>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</si>
  <si>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</si>
  <si>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</si>
  <si>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</si>
  <si>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</si>
  <si>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</si>
  <si>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</si>
  <si>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</si>
  <si>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</si>
  <si>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</si>
  <si>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</si>
  <si>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</si>
  <si>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</si>
  <si>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</si>
  <si>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</si>
  <si>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</si>
  <si>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</si>
  <si>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</si>
  <si>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</si>
  <si>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</si>
  <si>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</si>
  <si>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</si>
  <si>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</si>
  <si>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</si>
  <si>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</si>
  <si>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</si>
  <si>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</si>
  <si>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</si>
  <si>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</si>
  <si>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</si>
  <si>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</si>
  <si>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</si>
  <si>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</si>
  <si>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</si>
  <si>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</si>
  <si>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</si>
  <si>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</si>
  <si>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</si>
  <si>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</si>
  <si>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</si>
  <si>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</si>
  <si>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</si>
  <si>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</si>
  <si>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</si>
  <si>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</si>
  <si>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</si>
  <si>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</si>
  <si>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</si>
  <si>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</si>
  <si>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</si>
  <si>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</si>
  <si>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</si>
  <si>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</si>
  <si>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</si>
  <si>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</si>
  <si>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</si>
  <si>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</si>
  <si>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</si>
  <si>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</si>
  <si>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</si>
  <si>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</si>
  <si>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</si>
  <si>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</si>
  <si>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</si>
  <si>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</si>
  <si>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</si>
  <si>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</si>
  <si>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</si>
  <si>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</si>
  <si>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</si>
  <si>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</si>
  <si>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</si>
  <si>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</si>
  <si>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</si>
  <si>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</si>
  <si>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</si>
  <si>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</si>
  <si>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</si>
  <si>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</si>
  <si>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</si>
  <si>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</si>
  <si>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</si>
  <si>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</si>
  <si>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</si>
  <si>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</si>
  <si>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</si>
  <si>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</si>
  <si>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</si>
  <si>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</si>
  <si>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</si>
  <si>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</si>
  <si>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</si>
  <si>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</si>
  <si>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</si>
  <si>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</si>
  <si>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</si>
  <si>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</si>
  <si>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</si>
  <si>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</si>
  <si>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</si>
  <si>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</si>
  <si>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</si>
  <si>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</si>
  <si>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</si>
  <si>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</si>
  <si>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</si>
  <si>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</si>
  <si>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</si>
  <si>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</si>
  <si>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</si>
  <si>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</si>
  <si>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</si>
  <si>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</si>
  <si>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</si>
  <si>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</si>
  <si>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</si>
  <si>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</si>
  <si>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</si>
  <si>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</si>
  <si>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</si>
  <si>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</si>
  <si>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</si>
  <si>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</si>
  <si>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</si>
  <si>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</si>
  <si>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</si>
  <si>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</si>
  <si>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</si>
  <si>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</si>
  <si>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</si>
  <si>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</si>
  <si>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</si>
  <si>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</si>
  <si>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</si>
  <si>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</si>
  <si>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</si>
  <si>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</si>
  <si>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</si>
  <si>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</si>
  <si>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</si>
  <si>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</si>
  <si>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</si>
  <si>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</si>
  <si>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</si>
  <si>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</si>
  <si>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</si>
  <si>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</si>
  <si>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</si>
  <si>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</si>
  <si>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</si>
  <si>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</si>
  <si>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</si>
  <si>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</si>
  <si>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</si>
  <si>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</si>
  <si>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</si>
  <si>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</si>
  <si>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</si>
  <si>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</si>
  <si>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</si>
  <si>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</si>
  <si>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</si>
  <si>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</si>
  <si>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</si>
  <si>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</si>
  <si>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</si>
  <si>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</si>
  <si>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</si>
  <si>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</si>
  <si>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</si>
  <si>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</si>
  <si>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</si>
  <si>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</si>
  <si>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</si>
  <si>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</si>
  <si>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</si>
  <si>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</si>
  <si>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</si>
  <si>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</si>
  <si>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</si>
  <si>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</si>
  <si>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</si>
  <si>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</si>
  <si>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</si>
  <si>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</si>
  <si>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</si>
  <si>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</si>
  <si>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</si>
  <si>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</si>
  <si>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</si>
  <si>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</si>
  <si>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</si>
  <si>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</si>
  <si>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</si>
  <si>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</si>
  <si>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</si>
  <si>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</si>
  <si>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</si>
  <si>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</si>
  <si>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</si>
  <si>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</si>
  <si>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</si>
  <si>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</si>
  <si>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</si>
  <si>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</si>
  <si>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</si>
  <si>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</si>
  <si>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</si>
  <si>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</si>
  <si>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</si>
  <si>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</si>
  <si>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</si>
  <si>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</si>
  <si>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</si>
  <si>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</si>
  <si>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</si>
  <si>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</si>
  <si>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</si>
  <si>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</si>
  <si>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</si>
  <si>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</si>
  <si>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</si>
  <si>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</si>
  <si>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</si>
  <si>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</si>
  <si>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</si>
  <si>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</si>
  <si>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</si>
  <si>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</si>
  <si>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</si>
  <si>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</si>
  <si>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</si>
  <si>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</si>
  <si>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</si>
  <si>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</si>
  <si>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</si>
  <si>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</si>
  <si>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</si>
  <si>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</si>
  <si>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</si>
  <si>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</si>
  <si>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</si>
  <si>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</si>
  <si>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</si>
  <si>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</si>
  <si>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</si>
  <si>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</si>
  <si>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</si>
  <si>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</si>
  <si>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</si>
  <si>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</si>
  <si>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</si>
  <si>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</si>
  <si>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</si>
  <si>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</si>
  <si>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</si>
  <si>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</si>
  <si>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</si>
  <si>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</si>
  <si>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</si>
  <si>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</si>
  <si>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</si>
  <si>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</si>
  <si>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</si>
  <si>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</si>
  <si>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</si>
  <si>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</si>
  <si>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</si>
  <si>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</si>
  <si>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</si>
  <si>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</si>
  <si>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</si>
  <si>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</si>
  <si>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</si>
  <si>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</si>
  <si>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</si>
  <si>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</si>
  <si>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</si>
  <si>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</si>
  <si>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</si>
  <si>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</si>
  <si>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</si>
  <si>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</si>
  <si>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</si>
  <si>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</si>
  <si>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</si>
  <si>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</si>
  <si>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</si>
  <si>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</si>
  <si>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</si>
  <si>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</si>
  <si>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</si>
  <si>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</si>
  <si>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</si>
  <si>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</si>
  <si>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</si>
  <si>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</si>
  <si>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</si>
  <si>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</si>
  <si>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</si>
  <si>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</si>
  <si>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</si>
  <si>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</si>
  <si>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</si>
  <si>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</si>
  <si>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</si>
  <si>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</si>
  <si>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</si>
  <si>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</si>
  <si>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</si>
  <si>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</si>
  <si>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</si>
  <si>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</si>
  <si>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</si>
  <si>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</si>
  <si>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</si>
  <si>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</si>
  <si>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</si>
  <si>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</si>
  <si>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</si>
  <si>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</si>
  <si>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</si>
  <si>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</si>
  <si>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</si>
  <si>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</si>
  <si>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</si>
  <si>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</si>
  <si>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</si>
  <si>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</si>
  <si>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</si>
  <si>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</si>
  <si>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</si>
  <si>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</si>
  <si>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</si>
  <si>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</si>
  <si>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</si>
  <si>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</si>
  <si>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</si>
  <si>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</si>
  <si>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</si>
  <si>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</si>
  <si>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</si>
  <si>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</si>
  <si>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</si>
  <si>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</si>
  <si>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</si>
  <si>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</si>
  <si>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</si>
  <si>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</si>
  <si>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</si>
  <si>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</si>
  <si>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</si>
  <si>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</si>
  <si>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</si>
  <si>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</si>
  <si>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</si>
  <si>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</si>
  <si>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</si>
  <si>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</si>
  <si>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</si>
  <si>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</si>
  <si>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</si>
  <si>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</si>
  <si>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</si>
  <si>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</si>
  <si>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</si>
  <si>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</si>
  <si>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</si>
  <si>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</si>
  <si>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</si>
  <si>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</si>
  <si>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</si>
  <si>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</si>
  <si>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</si>
  <si>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</si>
  <si>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</si>
  <si>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</si>
  <si>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</si>
  <si>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</si>
  <si>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</si>
  <si>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</si>
  <si>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</si>
  <si>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</si>
  <si>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</si>
  <si>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</si>
  <si>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</si>
  <si>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</si>
  <si>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</si>
  <si>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</si>
  <si>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</si>
  <si>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</si>
  <si>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</si>
  <si>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</si>
  <si>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</si>
  <si>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</si>
  <si>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</si>
  <si>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</si>
  <si>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</si>
  <si>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</si>
  <si>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</si>
  <si>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</si>
  <si>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</si>
  <si>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</si>
  <si>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</si>
  <si>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</si>
  <si>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</si>
  <si>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</si>
  <si>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</si>
  <si>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</si>
  <si>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</si>
  <si>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</si>
  <si>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</si>
  <si>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</si>
  <si>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</si>
  <si>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</si>
  <si>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</si>
  <si>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</si>
  <si>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</si>
  <si>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</si>
  <si>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</si>
  <si>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</si>
  <si>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</si>
  <si>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</si>
  <si>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</si>
  <si>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</si>
  <si>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</si>
  <si>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</si>
  <si>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</si>
  <si>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</si>
  <si>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</si>
  <si>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</si>
  <si>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</si>
  <si>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</si>
  <si>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</si>
  <si>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</si>
  <si>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</si>
  <si>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</si>
  <si>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</si>
  <si>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</si>
  <si>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</si>
  <si>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</si>
  <si>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</si>
  <si>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</si>
  <si>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</si>
  <si>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</si>
  <si>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</si>
  <si>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</si>
  <si>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</si>
  <si>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</si>
  <si>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</si>
  <si>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</si>
  <si>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</si>
  <si>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</si>
  <si>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</si>
  <si>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</si>
  <si>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</si>
  <si>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</si>
  <si>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</si>
  <si>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</si>
  <si>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</si>
  <si>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</si>
  <si>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</si>
  <si>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</si>
  <si>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</si>
  <si>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</si>
  <si>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</si>
  <si>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</si>
  <si>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</si>
  <si>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</si>
  <si>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</si>
  <si>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</si>
  <si>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</si>
  <si>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</si>
  <si>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</si>
  <si>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</si>
  <si>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</si>
  <si>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</si>
  <si>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</si>
  <si>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</si>
  <si>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</si>
  <si>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</si>
  <si>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</si>
  <si>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</si>
  <si>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</si>
  <si>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</si>
  <si>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</si>
  <si>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</si>
  <si>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</si>
  <si>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</si>
  <si>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</si>
  <si>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</si>
  <si>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</si>
  <si>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</si>
  <si>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</si>
  <si>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</si>
  <si>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</si>
  <si>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</si>
  <si>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</si>
  <si>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</si>
  <si>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</si>
  <si>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</si>
  <si>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</si>
  <si>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</si>
  <si>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</si>
  <si>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</si>
  <si>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</si>
  <si>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</si>
  <si>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</si>
  <si>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</si>
  <si>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</si>
  <si>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</si>
  <si>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</si>
  <si>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</si>
  <si>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</si>
  <si>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</si>
  <si>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</si>
  <si>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</si>
  <si>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</si>
  <si>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</si>
  <si>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</si>
  <si>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</si>
  <si>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</si>
  <si>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</si>
  <si>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</si>
  <si>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</si>
  <si>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</si>
  <si>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</si>
  <si>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</si>
  <si>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</si>
  <si>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</si>
  <si>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</si>
  <si>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</si>
  <si>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</si>
  <si>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</si>
  <si>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</si>
  <si>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</si>
  <si>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</si>
  <si>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</si>
  <si>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</si>
  <si>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</si>
  <si>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</si>
  <si>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</si>
  <si>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</si>
  <si>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</si>
  <si>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</si>
  <si>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</si>
  <si>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</si>
  <si>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</si>
  <si>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</si>
  <si>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</si>
  <si>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</si>
  <si>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</si>
  <si>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</si>
  <si>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</si>
  <si>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</si>
  <si>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</si>
  <si>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</si>
  <si>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</si>
  <si>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</si>
  <si>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</si>
  <si>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</si>
  <si>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</si>
  <si>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</si>
  <si>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</si>
  <si>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</si>
  <si>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</si>
  <si>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</si>
  <si>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</si>
  <si>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</si>
  <si>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</si>
  <si>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</si>
  <si>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</si>
  <si>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</si>
  <si>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</si>
  <si>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</si>
  <si>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</si>
  <si>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</si>
  <si>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</si>
  <si>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</si>
  <si>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</si>
  <si>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</si>
  <si>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</si>
  <si>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</si>
  <si>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</si>
  <si>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</si>
  <si>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</si>
  <si>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</si>
  <si>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</si>
  <si>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</si>
  <si>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</si>
  <si>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</si>
  <si>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</si>
  <si>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</si>
  <si>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</si>
  <si>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</si>
  <si>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</si>
  <si>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</si>
  <si>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</si>
  <si>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</si>
  <si>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</si>
  <si>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</si>
  <si>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</si>
  <si>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</si>
  <si>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</si>
  <si>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</si>
  <si>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</si>
  <si>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</si>
  <si>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</si>
  <si>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</si>
  <si>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</si>
  <si>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</si>
  <si>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</si>
  <si>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</si>
  <si>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</si>
  <si>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</si>
  <si>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</si>
  <si>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</si>
  <si>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</si>
  <si>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</si>
  <si>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</si>
  <si>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</si>
  <si>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</si>
  <si>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</si>
  <si>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</si>
  <si>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</si>
  <si>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</si>
  <si>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</si>
  <si>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</si>
  <si>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</si>
  <si>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</si>
  <si>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</si>
  <si>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</si>
  <si>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</si>
  <si>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</si>
  <si>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</si>
  <si>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</si>
  <si>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</si>
  <si>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</si>
  <si>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</si>
  <si>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</si>
  <si>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</si>
  <si>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</si>
  <si>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</si>
  <si>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</si>
  <si>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</si>
  <si>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</si>
  <si>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</si>
  <si>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</si>
  <si>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</si>
  <si>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</si>
  <si>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</si>
  <si>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</si>
  <si>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</si>
  <si>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</si>
  <si>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</si>
  <si>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</si>
  <si>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</si>
  <si>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</si>
  <si>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</si>
  <si>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</si>
  <si>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</si>
  <si>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</si>
  <si>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</si>
  <si>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</si>
  <si>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</si>
  <si>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</si>
  <si>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</si>
  <si>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</si>
  <si>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</si>
  <si>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</si>
  <si>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</si>
  <si>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</si>
  <si>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</si>
  <si>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</si>
  <si>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</si>
  <si>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</si>
  <si>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</si>
  <si>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</si>
  <si>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</si>
  <si>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</si>
  <si>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</si>
  <si>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</si>
  <si>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</si>
  <si>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</si>
  <si>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</si>
  <si>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</si>
  <si>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</si>
  <si>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</si>
  <si>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</si>
  <si>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</si>
  <si>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</si>
  <si>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</si>
  <si>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</si>
  <si>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</si>
  <si>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</si>
  <si>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</si>
  <si>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</si>
  <si>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</si>
  <si>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</si>
  <si>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</si>
  <si>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</si>
  <si>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</si>
  <si>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</si>
  <si>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</si>
  <si>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</si>
  <si>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</si>
  <si>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</si>
  <si>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</si>
  <si>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</si>
  <si>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</si>
  <si>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</si>
  <si>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</si>
  <si>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</si>
  <si>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</si>
  <si>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</si>
  <si>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</si>
  <si>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</si>
  <si>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</si>
  <si>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</si>
  <si>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</si>
  <si>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</si>
  <si>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</si>
  <si>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</si>
  <si>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</si>
  <si>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</si>
  <si>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</si>
  <si>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</si>
  <si>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</si>
  <si>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</si>
  <si>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</si>
  <si>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</si>
  <si>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</si>
  <si>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</si>
  <si>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</si>
  <si>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</si>
  <si>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</si>
  <si>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</si>
  <si>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</si>
  <si>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</si>
  <si>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</si>
  <si>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</si>
  <si>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</si>
  <si>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</si>
  <si>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</si>
  <si>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</si>
  <si>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</si>
  <si>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</si>
  <si>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</si>
  <si>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</si>
  <si>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</si>
  <si>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</si>
  <si>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</si>
  <si>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</si>
  <si>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</si>
  <si>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</si>
  <si>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</si>
  <si>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</si>
  <si>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</si>
  <si>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</si>
  <si>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</si>
  <si>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</si>
  <si>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</si>
  <si>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</si>
  <si>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</si>
  <si>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</si>
  <si>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</si>
  <si>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</si>
  <si>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</si>
  <si>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</si>
  <si>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</si>
  <si>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</si>
  <si>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</si>
  <si>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</si>
  <si>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</si>
  <si>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</si>
  <si>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</si>
  <si>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</si>
  <si>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</si>
  <si>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</si>
  <si>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</si>
  <si>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</si>
  <si>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</si>
  <si>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</si>
  <si>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</si>
  <si>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</si>
  <si>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</si>
  <si>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</si>
  <si>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</si>
  <si>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</si>
  <si>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</si>
  <si>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</si>
  <si>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</si>
  <si>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</si>
  <si>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</si>
  <si>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</si>
  <si>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</si>
  <si>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</si>
  <si>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</si>
  <si>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</si>
  <si>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</si>
  <si>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</si>
  <si>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</si>
  <si>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</si>
  <si>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</si>
  <si>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</si>
  <si>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</si>
  <si>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</si>
  <si>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</si>
  <si>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</si>
  <si>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</si>
  <si>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</si>
  <si>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</si>
  <si>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</si>
  <si>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</si>
  <si>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</si>
  <si>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</si>
  <si>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</si>
  <si>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</si>
  <si>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</si>
  <si>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</si>
  <si>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</si>
  <si>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</si>
  <si>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</si>
  <si>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</si>
  <si>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</si>
  <si>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</si>
  <si>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</si>
  <si>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</si>
  <si>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</si>
  <si>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</si>
  <si>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</si>
  <si>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</si>
  <si>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</si>
  <si>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</si>
  <si>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</si>
  <si>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</si>
  <si>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</si>
  <si>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</si>
  <si>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</si>
  <si>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</si>
  <si>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</si>
  <si>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</si>
  <si>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</si>
  <si>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</si>
  <si>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</si>
  <si>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</si>
  <si>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</si>
  <si>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</si>
  <si>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</si>
  <si>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</si>
  <si>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</si>
  <si>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</si>
  <si>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</si>
  <si>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</si>
  <si>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</si>
  <si>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</si>
  <si>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</si>
  <si>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</si>
  <si>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</si>
  <si>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</si>
  <si>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</si>
  <si>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</si>
  <si>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</si>
  <si>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</si>
  <si>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</si>
  <si>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</si>
  <si>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</si>
  <si>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</si>
  <si>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</si>
  <si>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</si>
  <si>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</si>
  <si>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</si>
  <si>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</si>
  <si>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</si>
  <si>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</si>
  <si>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</si>
  <si>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</si>
  <si>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</si>
  <si>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</si>
  <si>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</si>
  <si>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</si>
  <si>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</si>
  <si>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</si>
  <si>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</si>
  <si>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</si>
  <si>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</si>
  <si>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</si>
  <si>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</si>
  <si>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</si>
  <si>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</si>
  <si>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</si>
  <si>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</si>
  <si>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</si>
  <si>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</si>
  <si>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</si>
  <si>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</si>
  <si>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</si>
  <si>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</si>
  <si>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</si>
  <si>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</si>
  <si>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</si>
  <si>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</si>
  <si>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</si>
  <si>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</si>
  <si>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</si>
  <si>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</si>
  <si>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</si>
  <si>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</si>
  <si>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</si>
  <si>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</si>
  <si>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</si>
  <si>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</si>
  <si>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</si>
  <si>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</si>
  <si>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</si>
  <si>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</si>
  <si>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</si>
  <si>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</si>
  <si>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</si>
  <si>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</si>
  <si>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</si>
  <si>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</si>
  <si>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</si>
  <si>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</si>
  <si>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</si>
  <si>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</si>
  <si>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</si>
  <si>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</si>
  <si>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</si>
  <si>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</si>
  <si>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</si>
  <si>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</si>
  <si>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</si>
  <si>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</si>
  <si>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</si>
  <si>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</si>
  <si>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</si>
  <si>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</si>
  <si>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</si>
  <si>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</si>
  <si>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</si>
  <si>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</si>
  <si>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</si>
  <si>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</si>
  <si>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</si>
  <si>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</si>
  <si>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</si>
  <si>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</si>
  <si>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</si>
  <si>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</si>
  <si>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</si>
  <si>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</si>
  <si>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</si>
  <si>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</si>
  <si>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</si>
  <si>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</si>
  <si>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</si>
  <si>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</si>
  <si>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</si>
  <si>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</si>
  <si>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</si>
  <si>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</si>
  <si>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</si>
  <si>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</si>
  <si>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</si>
  <si>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</si>
  <si>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</si>
  <si>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</si>
  <si>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</si>
  <si>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</si>
  <si>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</si>
  <si>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</si>
  <si>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</si>
  <si>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</si>
  <si>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</si>
  <si>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</si>
  <si>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</si>
  <si>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</si>
  <si>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</si>
  <si>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</si>
  <si>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</si>
  <si>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</si>
  <si>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</si>
  <si>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</si>
  <si>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</si>
  <si>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</si>
  <si>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</si>
  <si>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</si>
  <si>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</si>
  <si>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</si>
  <si>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</si>
  <si>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</si>
  <si>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</si>
  <si>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</si>
  <si>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</si>
  <si>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</si>
  <si>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</si>
  <si>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</si>
  <si>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</si>
  <si>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</si>
  <si>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</si>
  <si>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</si>
  <si>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</si>
  <si>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</si>
  <si>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</si>
  <si>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</si>
  <si>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</si>
  <si>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</si>
  <si>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</si>
  <si>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</si>
  <si>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</si>
  <si>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</si>
  <si>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</si>
  <si>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</si>
  <si>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</si>
  <si>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</si>
  <si>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</si>
  <si>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</si>
  <si>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</si>
  <si>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</si>
  <si>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</si>
  <si>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</si>
  <si>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</si>
  <si>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</si>
  <si>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</si>
  <si>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</si>
  <si>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</si>
  <si>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</si>
  <si>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</si>
  <si>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</si>
  <si>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</si>
  <si>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</si>
  <si>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</si>
  <si>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</si>
  <si>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</si>
  <si>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</si>
  <si>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</si>
  <si>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</si>
  <si>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</si>
  <si>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</si>
  <si>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</si>
  <si>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</si>
  <si>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</si>
  <si>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</si>
  <si>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</si>
  <si>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</si>
  <si>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</si>
  <si>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</si>
  <si>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</si>
  <si>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</si>
  <si>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</si>
  <si>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</si>
  <si>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</si>
  <si>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</si>
  <si>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</si>
  <si>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</si>
  <si>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</si>
  <si>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</si>
  <si>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</si>
  <si>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</si>
  <si>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</si>
  <si>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</si>
  <si>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</si>
  <si>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</si>
  <si>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</si>
  <si>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</si>
  <si>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</si>
  <si>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</si>
  <si>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</si>
  <si>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</si>
  <si>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</si>
  <si>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</si>
  <si>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</si>
  <si>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</si>
  <si>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</si>
  <si>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</si>
  <si>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</si>
  <si>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</si>
  <si>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</si>
  <si>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</si>
  <si>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</si>
  <si>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</si>
  <si>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</si>
  <si>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</si>
  <si>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</si>
  <si>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</si>
  <si>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</si>
  <si>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</si>
  <si>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</si>
  <si>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</si>
  <si>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</si>
  <si>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</si>
  <si>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</si>
  <si>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</si>
  <si>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</si>
  <si>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</si>
  <si>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</si>
  <si>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</si>
  <si>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</si>
  <si>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</si>
  <si>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</si>
  <si>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</si>
  <si>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</si>
  <si>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</si>
  <si>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</si>
  <si>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</si>
  <si>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</si>
  <si>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</si>
  <si>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</si>
  <si>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</si>
  <si>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</si>
  <si>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</si>
  <si>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</si>
  <si>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</si>
  <si>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</si>
  <si>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</si>
  <si>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</si>
  <si>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</si>
  <si>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</si>
  <si>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</si>
  <si>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</si>
  <si>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</si>
  <si>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</si>
  <si>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</si>
  <si>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</si>
  <si>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</si>
  <si>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</si>
  <si>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</si>
  <si>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</si>
  <si>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</si>
  <si>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</si>
  <si>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</si>
  <si>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</si>
  <si>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</si>
  <si>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</si>
  <si>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</si>
  <si>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</si>
  <si>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</si>
  <si>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</si>
  <si>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</si>
  <si>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</si>
  <si>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</si>
  <si>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</si>
  <si>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</si>
  <si>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</si>
  <si>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</si>
  <si>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</si>
  <si>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</si>
  <si>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</si>
  <si>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</si>
  <si>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</si>
  <si>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</si>
  <si>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</si>
  <si>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</si>
  <si>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</si>
  <si>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</si>
  <si>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</si>
  <si>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</si>
  <si>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</si>
  <si>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</si>
  <si>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</si>
  <si>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</si>
  <si>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</si>
  <si>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</si>
  <si>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</si>
  <si>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</si>
  <si>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</si>
  <si>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</si>
  <si>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</si>
  <si>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</si>
  <si>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</si>
  <si>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</si>
  <si>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</si>
  <si>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</si>
  <si>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</si>
  <si>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</si>
  <si>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</si>
  <si>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</si>
  <si>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</si>
  <si>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</si>
  <si>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</si>
  <si>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</si>
  <si>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</si>
  <si>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</si>
  <si>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</si>
  <si>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</si>
  <si>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</si>
  <si>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</si>
  <si>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</si>
  <si>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</si>
  <si>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</si>
  <si>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</si>
  <si>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</si>
  <si>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</si>
  <si>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</si>
  <si>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</si>
  <si>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</si>
  <si>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</si>
  <si>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</si>
  <si>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</si>
  <si>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</si>
  <si>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</si>
  <si>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</si>
  <si>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</si>
  <si>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</si>
  <si>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</si>
  <si>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</si>
  <si>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</si>
  <si>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</si>
  <si>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</si>
  <si>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</si>
  <si>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</si>
  <si>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</si>
  <si>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</si>
  <si>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</si>
  <si>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</si>
  <si>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</si>
  <si>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</si>
  <si>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</si>
  <si>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</si>
  <si>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</si>
  <si>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</si>
  <si>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</si>
  <si>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</si>
  <si>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</si>
  <si>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</si>
  <si>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</si>
  <si>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</si>
  <si>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</si>
  <si>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</si>
  <si>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</si>
  <si>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</si>
  <si>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</si>
  <si>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</si>
  <si>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</si>
  <si>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</si>
  <si>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</si>
  <si>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</si>
  <si>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</si>
  <si>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</si>
  <si>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</si>
  <si>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</si>
  <si>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</si>
  <si>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</si>
  <si>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</si>
  <si>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</si>
  <si>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</si>
  <si>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</si>
  <si>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</si>
  <si>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</si>
  <si>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</si>
  <si>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</si>
  <si>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</si>
  <si>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</si>
  <si>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</si>
  <si>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</si>
  <si>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</si>
  <si>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</si>
  <si>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</si>
  <si>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</si>
  <si>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</si>
  <si>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</si>
  <si>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</si>
  <si>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</si>
  <si>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</si>
  <si>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</si>
  <si>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</si>
  <si>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</si>
  <si>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</si>
  <si>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</si>
  <si>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</si>
  <si>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</si>
  <si>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</si>
  <si>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</si>
  <si>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</si>
  <si>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</si>
  <si>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</si>
  <si>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</si>
  <si>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</si>
  <si>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</si>
  <si>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</si>
  <si>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</si>
  <si>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</si>
  <si>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</si>
  <si>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</si>
  <si>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</si>
  <si>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</si>
  <si>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</si>
  <si>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</si>
  <si>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</si>
  <si>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</si>
  <si>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</si>
  <si>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</si>
  <si>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</si>
  <si>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</si>
  <si>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</si>
  <si>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</si>
  <si>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</si>
  <si>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</si>
  <si>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</si>
  <si>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</si>
  <si>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</si>
  <si>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</si>
  <si>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</si>
  <si>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</si>
  <si>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</si>
  <si>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</si>
  <si>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</si>
  <si>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</si>
  <si>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</si>
  <si>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</si>
  <si>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</si>
  <si>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</si>
  <si>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</si>
  <si>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</si>
  <si>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</si>
  <si>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</si>
  <si>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</si>
  <si>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</si>
  <si>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</si>
  <si>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</si>
  <si>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</si>
  <si>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</si>
  <si>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</si>
  <si>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</si>
  <si>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</si>
  <si>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</si>
  <si>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</si>
  <si>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</si>
  <si>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</si>
  <si>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</si>
  <si>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</si>
  <si>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</si>
  <si>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</si>
  <si>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</si>
  <si>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</si>
  <si>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</si>
  <si>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</si>
  <si>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</si>
  <si>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</si>
  <si>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</si>
  <si>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</si>
  <si>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</si>
  <si>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</si>
  <si>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</si>
  <si>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</si>
  <si>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</si>
  <si>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</si>
  <si>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</si>
  <si>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</si>
  <si>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</si>
  <si>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</si>
  <si>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</si>
  <si>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</si>
  <si>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</si>
  <si>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</si>
  <si>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</si>
  <si>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</si>
  <si>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</si>
  <si>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</si>
  <si>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</si>
  <si>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</si>
  <si>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</si>
  <si>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</si>
  <si>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</si>
  <si>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</si>
  <si>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</si>
  <si>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</si>
  <si>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</si>
  <si>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</si>
  <si>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</si>
  <si>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</si>
  <si>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</si>
  <si>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</si>
  <si>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</si>
  <si>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</si>
  <si>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</si>
  <si>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</si>
  <si>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</si>
  <si>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</si>
  <si>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</si>
  <si>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</si>
  <si>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</si>
  <si>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</si>
  <si>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</si>
  <si>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</si>
  <si>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</si>
  <si>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</si>
  <si>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</si>
  <si>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</si>
  <si>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</si>
  <si>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</si>
  <si>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</si>
  <si>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</si>
  <si>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</si>
  <si>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</si>
  <si>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</si>
  <si>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</si>
  <si>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</si>
  <si>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</si>
  <si>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</si>
  <si>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</si>
  <si>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</si>
  <si>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</si>
  <si>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</si>
  <si>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</si>
  <si>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</si>
  <si>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</si>
  <si>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</si>
  <si>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</si>
  <si>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</si>
  <si>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</si>
  <si>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</si>
  <si>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</si>
  <si>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</si>
  <si>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</si>
  <si>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</si>
  <si>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</si>
  <si>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</si>
  <si>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</si>
  <si>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</si>
  <si>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</si>
  <si>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</si>
  <si>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</si>
  <si>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</si>
  <si>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</si>
  <si>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</si>
  <si>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</si>
  <si>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</si>
  <si>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</si>
  <si>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</si>
  <si>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</si>
  <si>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</si>
  <si>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</si>
  <si>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</si>
  <si>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</si>
  <si>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</si>
  <si>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</si>
  <si>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</si>
  <si>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</si>
  <si>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</si>
  <si>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</si>
  <si>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</si>
  <si>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</si>
  <si>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</si>
  <si>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</si>
  <si>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</si>
  <si>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</si>
  <si>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</si>
  <si>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</si>
  <si>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</si>
  <si>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</si>
  <si>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</si>
  <si>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</si>
  <si>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</si>
  <si>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</si>
  <si>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</si>
  <si>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</si>
  <si>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</si>
  <si>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</si>
  <si>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</si>
  <si>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</si>
  <si>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</si>
  <si>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</si>
  <si>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</si>
  <si>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</si>
  <si>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</si>
  <si>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</si>
  <si>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</si>
  <si>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</si>
  <si>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</si>
  <si>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</si>
  <si>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</si>
  <si>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</si>
  <si>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</si>
  <si>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</si>
  <si>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</si>
  <si>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</si>
  <si>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</si>
  <si>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</si>
  <si>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</si>
  <si>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</si>
  <si>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</si>
  <si>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</si>
  <si>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</si>
  <si>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</si>
  <si>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</si>
  <si>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</si>
  <si>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</si>
  <si>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</si>
  <si>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</si>
  <si>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</si>
  <si>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</si>
  <si>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</si>
  <si>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</si>
  <si>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</si>
  <si>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</si>
  <si>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</si>
  <si>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</si>
  <si>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</si>
  <si>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</si>
  <si>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</si>
  <si>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</si>
  <si>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</si>
  <si>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</si>
  <si>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</si>
  <si>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</si>
  <si>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</si>
  <si>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</si>
  <si>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</si>
  <si>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</si>
  <si>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</si>
  <si>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</si>
  <si>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</si>
  <si>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</si>
  <si>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</si>
  <si>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</si>
  <si>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</si>
  <si>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</si>
  <si>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</si>
  <si>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</si>
  <si>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</si>
  <si>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</si>
  <si>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</si>
  <si>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</si>
  <si>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</si>
  <si>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</si>
  <si>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</si>
  <si>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</si>
  <si>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</si>
  <si>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</si>
  <si>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</si>
  <si>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</si>
  <si>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</si>
  <si>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</si>
  <si>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</si>
  <si>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</si>
  <si>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</si>
  <si>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</si>
  <si>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</si>
  <si>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</si>
  <si>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</si>
  <si>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</si>
  <si>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</si>
  <si>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</si>
  <si>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</si>
  <si>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</si>
  <si>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</si>
  <si>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</si>
  <si>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</si>
  <si>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</si>
  <si>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</si>
  <si>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</si>
  <si>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</si>
  <si>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</si>
  <si>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</si>
  <si>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</si>
  <si>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</si>
  <si>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</si>
  <si>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</si>
  <si>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</si>
  <si>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</si>
  <si>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</si>
  <si>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</si>
  <si>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</si>
  <si>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</si>
  <si>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</si>
  <si>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</si>
  <si>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</si>
  <si>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</si>
  <si>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</si>
  <si>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</si>
  <si>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</si>
  <si>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</si>
  <si>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</si>
  <si>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</si>
  <si>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</si>
  <si>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</si>
  <si>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</si>
  <si>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</si>
  <si>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</si>
  <si>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</si>
  <si>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</si>
  <si>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</si>
  <si>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</si>
  <si>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</si>
  <si>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</si>
  <si>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</si>
  <si>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</si>
  <si>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</si>
  <si>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</si>
  <si>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</si>
  <si>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</si>
  <si>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</si>
  <si>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</si>
  <si>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</si>
  <si>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</si>
  <si>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</si>
  <si>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</si>
  <si>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</si>
  <si>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</si>
  <si>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</si>
  <si>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</si>
  <si>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</si>
  <si>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</si>
  <si>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</si>
  <si>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</si>
  <si>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</si>
  <si>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</si>
  <si>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</si>
  <si>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</si>
  <si>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</si>
  <si>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</si>
  <si>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</si>
  <si>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</si>
  <si>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</si>
  <si>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</si>
  <si>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</si>
  <si>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</si>
  <si>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</si>
  <si>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</si>
  <si>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</si>
  <si>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</si>
  <si>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</si>
  <si>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</si>
  <si>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</si>
  <si>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</si>
  <si>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</si>
  <si>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</si>
  <si>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</si>
  <si>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</si>
  <si>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</si>
  <si>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</si>
  <si>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</si>
  <si>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</si>
  <si>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</si>
  <si>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</si>
  <si>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</si>
  <si>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</si>
  <si>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</si>
  <si>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</si>
  <si>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</si>
  <si>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</si>
  <si>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</si>
  <si>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</si>
  <si>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</si>
  <si>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</si>
  <si>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</si>
  <si>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</si>
  <si>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</si>
  <si>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</si>
  <si>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</si>
  <si>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</si>
  <si>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</si>
  <si>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</si>
  <si>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</si>
  <si>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</si>
  <si>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</si>
  <si>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</si>
  <si>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</si>
  <si>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</si>
  <si>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</si>
  <si>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</si>
  <si>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</si>
  <si>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</si>
  <si>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</si>
  <si>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</si>
  <si>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</si>
  <si>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</si>
  <si>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</si>
  <si>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</si>
  <si>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</si>
  <si>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</si>
  <si>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</si>
  <si>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</si>
  <si>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</si>
  <si>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</si>
  <si>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</si>
  <si>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</si>
  <si>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</si>
  <si>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</si>
  <si>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</si>
  <si>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</si>
  <si>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</si>
  <si>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</si>
  <si>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</si>
  <si>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</si>
  <si>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</si>
  <si>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</si>
  <si>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</si>
  <si>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</si>
  <si>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</si>
  <si>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</si>
  <si>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</si>
  <si>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</si>
  <si>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</si>
  <si>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</si>
  <si>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</si>
  <si>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</si>
  <si>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</si>
  <si>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</si>
  <si>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</si>
  <si>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</si>
  <si>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</si>
  <si>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</si>
  <si>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</si>
  <si>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</si>
  <si>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</si>
  <si>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</si>
  <si>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</si>
  <si>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</si>
  <si>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</si>
  <si>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</si>
  <si>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</si>
  <si>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</si>
  <si>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</si>
  <si>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</si>
  <si>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</si>
  <si>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</si>
  <si>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</si>
  <si>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</si>
  <si>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</si>
  <si>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</si>
  <si>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</si>
  <si>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</si>
  <si>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</si>
  <si>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</si>
  <si>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</si>
  <si>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</si>
  <si>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</si>
  <si>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</si>
  <si>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</si>
  <si>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</si>
  <si>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</si>
  <si>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</si>
  <si>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</si>
  <si>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</si>
  <si>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</si>
  <si>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</si>
  <si>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</si>
  <si>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</si>
  <si>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</si>
  <si>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</si>
  <si>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</si>
  <si>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</si>
  <si>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</si>
  <si>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</si>
  <si>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</si>
  <si>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</si>
  <si>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</si>
  <si>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</si>
  <si>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</si>
  <si>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</si>
  <si>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</si>
  <si>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</si>
  <si>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</si>
  <si>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</si>
  <si>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</si>
  <si>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</si>
  <si>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</si>
  <si>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</si>
  <si>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</si>
  <si>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</si>
  <si>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</si>
  <si>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</si>
  <si>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</si>
  <si>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</si>
  <si>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</si>
  <si>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</si>
  <si>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</si>
  <si>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</si>
  <si>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</si>
  <si>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</si>
  <si>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</si>
  <si>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</si>
  <si>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</si>
  <si>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</si>
  <si>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</si>
  <si>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</si>
  <si>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</si>
  <si>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</si>
  <si>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</si>
  <si>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</si>
  <si>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</si>
  <si>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</si>
  <si>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</si>
  <si>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</si>
  <si>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</si>
  <si>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</si>
  <si>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</si>
  <si>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</si>
  <si>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</si>
  <si>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</si>
  <si>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</si>
  <si>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</si>
  <si>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</si>
  <si>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</si>
  <si>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</si>
  <si>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</si>
  <si>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</si>
  <si>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</si>
  <si>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</si>
  <si>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</si>
  <si>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</si>
  <si>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</si>
  <si>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</si>
  <si>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</si>
  <si>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</si>
  <si>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</si>
  <si>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</si>
  <si>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</si>
  <si>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</si>
  <si>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</si>
  <si>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</si>
  <si>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</si>
  <si>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</si>
  <si>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</si>
  <si>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</si>
  <si>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</si>
  <si>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</si>
  <si>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</si>
  <si>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</si>
  <si>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</si>
  <si>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</si>
  <si>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</si>
  <si>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</si>
  <si>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</si>
  <si>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</si>
  <si>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</si>
  <si>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</si>
  <si>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</si>
  <si>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</si>
  <si>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</si>
  <si>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</si>
  <si>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</si>
  <si>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</si>
  <si>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</si>
  <si>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</si>
  <si>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</si>
  <si>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</si>
  <si>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</si>
  <si>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</si>
  <si>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</si>
  <si>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</si>
  <si>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</si>
  <si>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</si>
  <si>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</si>
  <si>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</si>
  <si>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</si>
  <si>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</si>
  <si>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</si>
  <si>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</si>
  <si>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</si>
  <si>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</si>
  <si>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</si>
  <si>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</si>
  <si>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</si>
  <si>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</si>
  <si>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</si>
  <si>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</si>
  <si>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</si>
  <si>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</si>
  <si>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</si>
  <si>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</si>
  <si>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</si>
  <si>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</si>
  <si>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</si>
  <si>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</si>
  <si>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</si>
  <si>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</si>
  <si>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</si>
  <si>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</si>
  <si>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</si>
  <si>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</si>
  <si>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</si>
  <si>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</si>
  <si>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</si>
  <si>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</si>
  <si>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</si>
  <si>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</si>
  <si>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</si>
  <si>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</si>
  <si>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</si>
  <si>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</si>
  <si>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</si>
  <si>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</si>
  <si>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</si>
  <si>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</si>
  <si>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</si>
  <si>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</si>
  <si>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</si>
  <si>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</si>
  <si>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</si>
  <si>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</si>
  <si>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</si>
  <si>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</si>
  <si>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</si>
  <si>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</si>
  <si>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</si>
  <si>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</si>
  <si>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</si>
  <si>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</si>
  <si>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</si>
  <si>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</si>
  <si>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</si>
  <si>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</si>
  <si>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</si>
  <si>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</si>
  <si>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</si>
  <si>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</si>
  <si>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</si>
  <si>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</si>
  <si>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</si>
  <si>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</si>
  <si>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</si>
  <si>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</si>
  <si>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</si>
  <si>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</si>
  <si>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</si>
  <si>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</si>
  <si>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</si>
  <si>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</si>
  <si>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</si>
  <si>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</si>
  <si>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</si>
  <si>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</si>
  <si>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</si>
  <si>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</si>
  <si>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</si>
  <si>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</si>
  <si>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</si>
  <si>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</si>
  <si>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</si>
  <si>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</si>
  <si>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</si>
  <si>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</si>
  <si>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</si>
  <si>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</si>
  <si>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</si>
  <si>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</si>
  <si>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</si>
  <si>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</si>
  <si>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</si>
  <si>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</si>
  <si>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</si>
  <si>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</si>
  <si>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</si>
  <si>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</si>
  <si>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</si>
  <si>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</si>
  <si>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</si>
  <si>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</si>
  <si>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</si>
  <si>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</si>
  <si>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</si>
  <si>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</si>
  <si>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</si>
  <si>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</si>
  <si>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</si>
  <si>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</si>
  <si>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</si>
  <si>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</si>
  <si>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</si>
  <si>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</si>
  <si>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</si>
  <si>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</si>
  <si>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</si>
  <si>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</si>
  <si>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</si>
  <si>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</si>
  <si>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</si>
  <si>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</si>
  <si>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</si>
  <si>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</si>
  <si>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</si>
  <si>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</si>
  <si>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</si>
  <si>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</si>
  <si>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</si>
  <si>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</si>
  <si>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</si>
  <si>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</si>
  <si>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</si>
  <si>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</si>
  <si>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</si>
  <si>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</si>
  <si>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</si>
  <si>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</si>
  <si>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</si>
  <si>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</si>
  <si>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</si>
  <si>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</si>
  <si>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</si>
  <si>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</si>
  <si>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</si>
  <si>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</si>
  <si>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</si>
  <si>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</si>
  <si>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</si>
  <si>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</si>
  <si>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</si>
  <si>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</si>
  <si>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</si>
  <si>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</si>
  <si>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</si>
  <si>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</si>
  <si>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</si>
  <si>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</si>
  <si>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</si>
  <si>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</si>
  <si>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</si>
  <si>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</si>
  <si>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</si>
  <si>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</si>
  <si>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</si>
  <si>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</si>
  <si>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</si>
  <si>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</si>
  <si>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</si>
  <si>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</si>
  <si>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</si>
  <si>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</si>
  <si>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</si>
  <si>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</si>
  <si>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</si>
  <si>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</si>
  <si>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</si>
  <si>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</si>
  <si>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</si>
  <si>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</si>
  <si>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</si>
  <si>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</si>
  <si>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</si>
  <si>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</si>
  <si>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</si>
  <si>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</si>
  <si>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</si>
  <si>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</si>
  <si>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</si>
  <si>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</si>
  <si>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</si>
  <si>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</si>
  <si>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</si>
  <si>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</si>
  <si>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</si>
  <si>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</si>
  <si>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</si>
  <si>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</si>
  <si>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北京市顺义区顺义新城第5街区SY00-0005-6021、6024、6033、6035地块二类居住用地、6034地块托幼用地</t>
  </si>
  <si>
    <t>北京市</t>
  </si>
  <si>
    <t>综合用地(含住宅)</t>
  </si>
  <si>
    <t>sy00-0005-6021、6024、6035容积率1.6,6033容积率1.8</t>
  </si>
  <si>
    <t>挂牌</t>
  </si>
  <si>
    <t>二类居住用地、托幼用地</t>
  </si>
  <si>
    <t>第三批</t>
  </si>
  <si>
    <t>2022-09-22</t>
  </si>
  <si>
    <t>北京城建兴顺房地产开发有限公司</t>
  </si>
  <si>
    <t>4星</t>
  </si>
  <si>
    <t>北京市顺义区顺义新城第1街区SY00-0001-0320地块R2二类居住用地</t>
  </si>
  <si>
    <t>住宅用地</t>
  </si>
  <si>
    <t>R2二类居住用地</t>
  </si>
  <si>
    <t>北京盟科置业有限公司、北京天竺房地产开发有限公司</t>
  </si>
  <si>
    <t>北京市顺义区顺义新城第19街区19-85地块二类居住用地、19-86地块托幼用地</t>
  </si>
  <si>
    <t>19-85地块容积率1.2,19-86地块容积率0.8</t>
  </si>
  <si>
    <t>第二批</t>
  </si>
  <si>
    <t>2022-05-31</t>
  </si>
  <si>
    <t>2022-06-01</t>
  </si>
  <si>
    <t>北京中海地产有限公司</t>
  </si>
  <si>
    <t>北京市顺义区薛大人庄村剩余2号地块SY00-0025-6001地块R2二类居住用地、SY00-0025-6003地块A334托幼用地</t>
  </si>
  <si>
    <t>sy00-0025-6001地块:容积率1.6;sy00-0025-6003地块:容积率0.8</t>
  </si>
  <si>
    <t>北京懋源宏展房地产开发有限公司、北京懋源置业有限公司</t>
  </si>
  <si>
    <t>3星</t>
  </si>
  <si>
    <t>北京市顺义区顺义新城第13街区SY00-0013-6050、6053地块二类居住用地</t>
  </si>
  <si>
    <t>第一批</t>
  </si>
  <si>
    <t>2022-02-16</t>
  </si>
  <si>
    <t>保利(北京)房地产开发有限公司、北京金地兴业房地产有限公司</t>
  </si>
  <si>
    <t>北京市顺义区顺义新城第5街区平各庄旧村改造项目SY00-0005-6046地块R2二类居住用地、SY00-0005-6045地块A334托幼用地</t>
  </si>
  <si>
    <t>sy00-0005-6046地块容积率2.0,sy00-0005-6045地块容积率0.8</t>
  </si>
  <si>
    <t>R2二类居住用地、A334托幼用地</t>
  </si>
  <si>
    <t>北京旭科置业有限公司</t>
  </si>
  <si>
    <t>北京市顺义新城第23街区新国展三期项目(原22街区南部)22-02-007-1、22-02-007-2地块R2二类居住用地</t>
  </si>
  <si>
    <t>≤2.5</t>
  </si>
  <si>
    <t>2021-02-02</t>
  </si>
  <si>
    <t>北京润置商业运营管理有限公司、保利(北京)房地产开发有限公司</t>
  </si>
  <si>
    <t>北京市顺义区顺义新城第13街区SY00-0013-6055、6056地块二类居住用地</t>
  </si>
  <si>
    <t>≤1.6</t>
  </si>
  <si>
    <t>二类居住用地</t>
  </si>
  <si>
    <t>2021-01-26</t>
  </si>
  <si>
    <t>北京宏远泰业科技有限公司、保利(北京)房地产开发有限公司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</si>
  <si>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</si>
  <si>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</si>
  <si>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</si>
  <si>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</si>
  <si>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</si>
  <si>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</si>
  <si>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</si>
  <si>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</si>
  <si>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</si>
  <si>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</si>
  <si>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</si>
  <si>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</si>
  <si>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</si>
  <si>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</si>
  <si>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</si>
  <si>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北京路劲隽御房地产开发有限公司</t>
  </si>
  <si>
    <t>备注</t>
    <phoneticPr fontId="134" type="noConversion"/>
  </si>
  <si>
    <t>80%保障安置房</t>
    <phoneticPr fontId="134" type="noConversion"/>
  </si>
  <si>
    <t>无</t>
    <phoneticPr fontId="134" type="noConversion"/>
  </si>
  <si>
    <t>限价42000</t>
    <phoneticPr fontId="134" type="noConversion"/>
  </si>
  <si>
    <t>限价44000</t>
    <phoneticPr fontId="134" type="noConversion"/>
  </si>
  <si>
    <t>限价46000</t>
    <phoneticPr fontId="134" type="noConversion"/>
  </si>
  <si>
    <t>限价59700</t>
    <phoneticPr fontId="134" type="noConversion"/>
  </si>
  <si>
    <t>限价73000</t>
    <phoneticPr fontId="134" type="noConversion"/>
  </si>
  <si>
    <t>——</t>
    <phoneticPr fontId="134" type="noConversion"/>
  </si>
  <si>
    <t>通平</t>
    <phoneticPr fontId="134" type="noConversion"/>
  </si>
  <si>
    <t>六通</t>
    <phoneticPr fontId="134" type="noConversion"/>
  </si>
  <si>
    <t>六通</t>
    <phoneticPr fontId="134" type="noConversion"/>
  </si>
  <si>
    <t>四通</t>
    <phoneticPr fontId="134" type="noConversion"/>
  </si>
  <si>
    <t>路劲御和府</t>
  </si>
  <si>
    <t>公园都会</t>
  </si>
  <si>
    <t>和锦华宸</t>
  </si>
  <si>
    <t>招商中建·顺义臻珑府</t>
    <phoneticPr fontId="134" type="noConversion"/>
  </si>
  <si>
    <t>龙湖·御湖境</t>
    <phoneticPr fontId="134" type="noConversion"/>
  </si>
  <si>
    <t>楼号</t>
    <phoneticPr fontId="134" type="noConversion"/>
  </si>
  <si>
    <t>总建筑面积</t>
    <phoneticPr fontId="134" type="noConversion"/>
  </si>
  <si>
    <t>地上建筑面积</t>
    <phoneticPr fontId="134" type="noConversion"/>
  </si>
  <si>
    <t>住宅</t>
    <phoneticPr fontId="134" type="noConversion"/>
  </si>
  <si>
    <t>公服</t>
    <phoneticPr fontId="134" type="noConversion"/>
  </si>
  <si>
    <t>水箱间</t>
    <phoneticPr fontId="134" type="noConversion"/>
  </si>
  <si>
    <t>人防出入口</t>
    <phoneticPr fontId="134" type="noConversion"/>
  </si>
  <si>
    <t>人防警报室</t>
    <phoneticPr fontId="134" type="noConversion"/>
  </si>
  <si>
    <t>地下建筑面积</t>
    <phoneticPr fontId="134" type="noConversion"/>
  </si>
  <si>
    <t>配套商业</t>
    <phoneticPr fontId="134" type="noConversion"/>
  </si>
  <si>
    <t>设备用房</t>
    <phoneticPr fontId="134" type="noConversion"/>
  </si>
  <si>
    <t>储藏室</t>
    <phoneticPr fontId="134" type="noConversion"/>
  </si>
  <si>
    <t>车库</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</si>
  <si>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</si>
  <si>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</si>
  <si>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</si>
  <si>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</si>
  <si>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</si>
  <si>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</si>
  <si>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</si>
  <si>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</si>
  <si>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</si>
  <si>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</si>
  <si>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</si>
  <si>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</si>
  <si>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</si>
  <si>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t>P1#公服配套楼</t>
    <phoneticPr fontId="134" type="noConversion"/>
  </si>
  <si>
    <t>P2#公服配套楼</t>
  </si>
  <si>
    <t>1#地下车库</t>
    <phoneticPr fontId="134" type="noConversion"/>
  </si>
  <si>
    <t>1#住宅楼</t>
    <phoneticPr fontId="134" type="noConversion"/>
  </si>
  <si>
    <t>1单元</t>
  </si>
  <si>
    <t>2单元</t>
  </si>
  <si>
    <t>3单元</t>
  </si>
  <si>
    <t>1号楼</t>
    <phoneticPr fontId="134" type="noConversion"/>
  </si>
  <si>
    <t>2号楼</t>
    <phoneticPr fontId="134" type="noConversion"/>
  </si>
  <si>
    <t>-1层(-1)</t>
  </si>
  <si>
    <t>3号楼</t>
    <phoneticPr fontId="134" type="noConversion"/>
  </si>
  <si>
    <t>4号楼</t>
    <phoneticPr fontId="134" type="noConversion"/>
  </si>
  <si>
    <t>-2层(-2)</t>
  </si>
  <si>
    <t>5号楼</t>
    <phoneticPr fontId="134" type="noConversion"/>
  </si>
  <si>
    <t>6号楼</t>
    <phoneticPr fontId="134" type="noConversion"/>
  </si>
  <si>
    <t>7号楼</t>
    <phoneticPr fontId="134" type="noConversion"/>
  </si>
  <si>
    <t>8号楼</t>
    <phoneticPr fontId="134" type="noConversion"/>
  </si>
  <si>
    <t>9号楼</t>
    <phoneticPr fontId="134" type="noConversion"/>
  </si>
  <si>
    <t>4单元</t>
  </si>
  <si>
    <t>地下车库</t>
    <phoneticPr fontId="134" type="noConversion"/>
  </si>
  <si>
    <t>10号楼</t>
    <phoneticPr fontId="134" type="noConversion"/>
  </si>
  <si>
    <t>11号楼</t>
    <phoneticPr fontId="134" type="noConversion"/>
  </si>
  <si>
    <t>12号楼</t>
    <phoneticPr fontId="134" type="noConversion"/>
  </si>
  <si>
    <t>13号楼</t>
    <phoneticPr fontId="134" type="noConversion"/>
  </si>
  <si>
    <t>14号楼</t>
    <phoneticPr fontId="134" type="noConversion"/>
  </si>
  <si>
    <t>合计</t>
    <phoneticPr fontId="134" type="noConversion"/>
  </si>
  <si>
    <t>储藏</t>
    <phoneticPr fontId="134" type="noConversion"/>
  </si>
  <si>
    <t>车库</t>
    <phoneticPr fontId="134" type="noConversion"/>
  </si>
  <si>
    <t>抵押</t>
  </si>
  <si>
    <t>房地产抵押价值</t>
  </si>
  <si>
    <t>企业</t>
  </si>
  <si>
    <t>是</t>
  </si>
  <si>
    <t>地上</t>
  </si>
  <si>
    <t>住宅</t>
  </si>
  <si>
    <t>地下</t>
  </si>
  <si>
    <t>住宅</t>
    <phoneticPr fontId="7" type="noConversion"/>
  </si>
  <si>
    <t>地下车库</t>
    <phoneticPr fontId="7" type="noConversion"/>
  </si>
  <si>
    <t>地下仓储</t>
    <phoneticPr fontId="7" type="noConversion"/>
  </si>
  <si>
    <t>工程进度</t>
  </si>
  <si>
    <t>面积</t>
    <phoneticPr fontId="134" type="noConversion"/>
  </si>
  <si>
    <t>套数</t>
    <phoneticPr fontId="134" type="noConversion"/>
  </si>
  <si>
    <t>售价</t>
  </si>
  <si>
    <t>地下车库</t>
  </si>
  <si>
    <t>地下仓储</t>
  </si>
  <si>
    <t>利息：取LPR加浮动点数</t>
  </si>
  <si>
    <t>正常</t>
    <phoneticPr fontId="30" type="noConversion"/>
  </si>
  <si>
    <t>住宅</t>
    <phoneticPr fontId="30" type="noConversion"/>
  </si>
  <si>
    <t>住宅</t>
    <phoneticPr fontId="30" type="noConversion"/>
  </si>
  <si>
    <t>70</t>
    <phoneticPr fontId="30" type="noConversion"/>
  </si>
  <si>
    <t>较好</t>
  </si>
  <si>
    <t>较好</t>
    <phoneticPr fontId="30" type="noConversion"/>
  </si>
  <si>
    <t>一般</t>
    <phoneticPr fontId="30" type="noConversion"/>
  </si>
  <si>
    <t>七通</t>
    <phoneticPr fontId="30" type="noConversion"/>
  </si>
  <si>
    <t>七通</t>
    <phoneticPr fontId="30" type="noConversion"/>
  </si>
  <si>
    <t>四通</t>
    <phoneticPr fontId="30" type="noConversion"/>
  </si>
  <si>
    <t>六通</t>
    <phoneticPr fontId="30" type="noConversion"/>
  </si>
  <si>
    <t>五通</t>
    <phoneticPr fontId="30" type="noConversion"/>
  </si>
  <si>
    <t>三通</t>
    <phoneticPr fontId="30" type="noConversion"/>
  </si>
  <si>
    <t>Ⅶ-顺1</t>
  </si>
  <si>
    <t>正常</t>
    <phoneticPr fontId="24" type="noConversion"/>
  </si>
  <si>
    <t>较好</t>
    <phoneticPr fontId="24" type="noConversion"/>
  </si>
  <si>
    <t>一般</t>
    <phoneticPr fontId="24" type="noConversion"/>
  </si>
  <si>
    <t>七通</t>
    <phoneticPr fontId="24" type="noConversion"/>
  </si>
  <si>
    <t>七通</t>
    <phoneticPr fontId="24" type="noConversion"/>
  </si>
  <si>
    <t>小高层</t>
    <phoneticPr fontId="24" type="noConversion"/>
  </si>
  <si>
    <t>钢混</t>
    <phoneticPr fontId="24" type="noConversion"/>
  </si>
  <si>
    <t>较好</t>
    <phoneticPr fontId="24" type="noConversion"/>
  </si>
  <si>
    <t>精装</t>
    <phoneticPr fontId="24" type="noConversion"/>
  </si>
  <si>
    <t>专业</t>
    <phoneticPr fontId="24" type="noConversion"/>
  </si>
  <si>
    <t>精装</t>
    <phoneticPr fontId="24" type="noConversion"/>
  </si>
  <si>
    <t>项目模式</t>
  </si>
  <si>
    <t>正常</t>
    <phoneticPr fontId="31" type="noConversion"/>
  </si>
  <si>
    <t>车库</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</si>
  <si>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</si>
  <si>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</si>
  <si>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</si>
  <si>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</si>
  <si>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</si>
  <si>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序号</t>
  </si>
  <si>
    <t>楼号及房间号</t>
  </si>
  <si>
    <t>预测建筑面积</t>
  </si>
  <si>
    <t>土地分摊面积</t>
  </si>
  <si>
    <t xml:space="preserve"> 1#住宅楼6层1单元-601</t>
  </si>
  <si>
    <t xml:space="preserve"> 1#住宅楼1层2单元-102</t>
  </si>
  <si>
    <t xml:space="preserve"> 1#住宅楼1层2单元-103</t>
  </si>
  <si>
    <t xml:space="preserve"> 1#住宅楼2层2单元-203</t>
  </si>
  <si>
    <t xml:space="preserve"> 1#住宅楼3层2单元-302</t>
  </si>
  <si>
    <t xml:space="preserve"> 1#住宅楼3层2单元-303</t>
  </si>
  <si>
    <t xml:space="preserve"> 1#住宅楼4层2单元-401</t>
  </si>
  <si>
    <t xml:space="preserve"> 1#住宅楼4层2单元-403</t>
  </si>
  <si>
    <t xml:space="preserve"> 1#住宅楼1层3单元-101</t>
  </si>
  <si>
    <t xml:space="preserve"> 1#住宅楼1层3单元-102</t>
  </si>
  <si>
    <t xml:space="preserve"> 1#住宅楼2层3单元-201</t>
  </si>
  <si>
    <t xml:space="preserve"> 1#住宅楼6层3单元-602</t>
  </si>
  <si>
    <t xml:space="preserve"> 2#住宅楼1层1单元-101</t>
  </si>
  <si>
    <t xml:space="preserve"> 2#住宅楼1层1单元-102</t>
  </si>
  <si>
    <t xml:space="preserve"> 2#住宅楼2层1单元-202</t>
  </si>
  <si>
    <t xml:space="preserve"> 2#住宅楼3层1单元-301</t>
  </si>
  <si>
    <t xml:space="preserve"> 2#住宅楼5层1单元-502</t>
  </si>
  <si>
    <t xml:space="preserve"> 2#住宅楼8层1单元-801</t>
  </si>
  <si>
    <t xml:space="preserve"> 2#住宅楼1层2单元-101</t>
  </si>
  <si>
    <t xml:space="preserve"> 2#住宅楼1层2单元-102</t>
  </si>
  <si>
    <t xml:space="preserve"> 2#住宅楼2层2单元-202</t>
  </si>
  <si>
    <t xml:space="preserve"> 2#住宅楼3层2单元-301</t>
  </si>
  <si>
    <t xml:space="preserve"> 2#住宅楼4层2单元-401</t>
  </si>
  <si>
    <t xml:space="preserve"> 2#住宅楼4层2单元-402</t>
  </si>
  <si>
    <t xml:space="preserve"> 2#住宅楼8层2单元-802</t>
  </si>
  <si>
    <t xml:space="preserve"> 2#住宅楼1层3单元-101</t>
  </si>
  <si>
    <t xml:space="preserve"> 2#住宅楼1层3单元-102</t>
  </si>
  <si>
    <t xml:space="preserve"> 2#住宅楼2层3单元-201</t>
  </si>
  <si>
    <t xml:space="preserve"> 2#住宅楼2层3单元-202</t>
  </si>
  <si>
    <t xml:space="preserve"> 2#住宅楼4层3单元-401</t>
  </si>
  <si>
    <t xml:space="preserve"> 2#住宅楼4层3单元-402</t>
  </si>
  <si>
    <t xml:space="preserve"> 2#住宅楼5层3单元-501</t>
  </si>
  <si>
    <t xml:space="preserve"> 2#住宅楼7层3单元-702</t>
  </si>
  <si>
    <t xml:space="preserve"> 2#住宅楼8层3单元-801</t>
  </si>
  <si>
    <t xml:space="preserve"> 3#住宅楼1层1单元-101</t>
  </si>
  <si>
    <t xml:space="preserve"> 3#住宅楼1层1单元-102</t>
  </si>
  <si>
    <t xml:space="preserve"> 3#住宅楼2层1单元-201</t>
  </si>
  <si>
    <t xml:space="preserve"> 3#住宅楼2层1单元-202</t>
  </si>
  <si>
    <t xml:space="preserve"> 3#住宅楼3层1单元-301</t>
  </si>
  <si>
    <t xml:space="preserve"> 3#住宅楼3层1单元-302</t>
  </si>
  <si>
    <t xml:space="preserve"> 3#住宅楼4层1单元-401</t>
  </si>
  <si>
    <t xml:space="preserve"> 3#住宅楼4层1单元-402</t>
  </si>
  <si>
    <t xml:space="preserve"> 3#住宅楼5层1单元-501</t>
  </si>
  <si>
    <t xml:space="preserve"> 3#住宅楼5层1单元-502</t>
  </si>
  <si>
    <t xml:space="preserve"> 3#住宅楼6层1单元-602</t>
  </si>
  <si>
    <t xml:space="preserve"> 3#住宅楼7层1单元-701</t>
  </si>
  <si>
    <t xml:space="preserve"> 3#住宅楼7层1单元-702</t>
  </si>
  <si>
    <t xml:space="preserve"> 3#住宅楼8层1单元-801</t>
  </si>
  <si>
    <t xml:space="preserve"> 3#住宅楼8层1单元-802</t>
  </si>
  <si>
    <t xml:space="preserve"> 3#住宅楼1层2单元-101</t>
  </si>
  <si>
    <t xml:space="preserve"> 3#住宅楼1层2单元-102</t>
  </si>
  <si>
    <t xml:space="preserve"> 3#住宅楼2层2单元-201</t>
  </si>
  <si>
    <t xml:space="preserve"> 3#住宅楼2层2单元-202</t>
  </si>
  <si>
    <t xml:space="preserve"> 3#住宅楼3层2单元-301</t>
  </si>
  <si>
    <t xml:space="preserve"> 3#住宅楼3层2单元-302</t>
  </si>
  <si>
    <t xml:space="preserve"> 3#住宅楼4层2单元-401</t>
  </si>
  <si>
    <t xml:space="preserve"> 3#住宅楼4层2单元-402</t>
  </si>
  <si>
    <t xml:space="preserve"> 3#住宅楼5层2单元-501</t>
  </si>
  <si>
    <t xml:space="preserve"> 3#住宅楼5层2单元-502</t>
  </si>
  <si>
    <t xml:space="preserve"> 3#住宅楼6层2单元-601</t>
  </si>
  <si>
    <t xml:space="preserve"> 3#住宅楼6层2单元-602</t>
  </si>
  <si>
    <t xml:space="preserve"> 3#住宅楼7层2单元-701</t>
  </si>
  <si>
    <t xml:space="preserve"> 3#住宅楼7层2单元-702</t>
  </si>
  <si>
    <t xml:space="preserve"> 3#住宅楼8层2单元-801</t>
  </si>
  <si>
    <t xml:space="preserve"> 3#住宅楼8层2单元-802</t>
  </si>
  <si>
    <t xml:space="preserve"> 3#住宅楼1层3单元-101</t>
  </si>
  <si>
    <t xml:space="preserve"> 3#住宅楼1层3单元-102</t>
  </si>
  <si>
    <t xml:space="preserve"> 3#住宅楼2层3单元-201</t>
  </si>
  <si>
    <t xml:space="preserve"> 3#住宅楼2层3单元-202</t>
  </si>
  <si>
    <t xml:space="preserve"> 3#住宅楼3层3单元-301</t>
  </si>
  <si>
    <t xml:space="preserve"> 3#住宅楼3层3单元-302</t>
  </si>
  <si>
    <t xml:space="preserve"> 3#住宅楼4层3单元-401</t>
  </si>
  <si>
    <t xml:space="preserve"> 3#住宅楼4层3单元-402</t>
  </si>
  <si>
    <t xml:space="preserve"> 3#住宅楼5层3单元-501</t>
  </si>
  <si>
    <t xml:space="preserve"> 3#住宅楼5层3单元-502</t>
  </si>
  <si>
    <t xml:space="preserve"> 3#住宅楼6层3单元-601</t>
  </si>
  <si>
    <t xml:space="preserve"> 3#住宅楼6层3单元-602</t>
  </si>
  <si>
    <t xml:space="preserve"> 3#住宅楼7层3单元-701</t>
  </si>
  <si>
    <t xml:space="preserve"> 3#住宅楼7层3单元-702</t>
  </si>
  <si>
    <t xml:space="preserve"> 3#住宅楼8层3单元-801</t>
  </si>
  <si>
    <t xml:space="preserve"> 3#住宅楼8层3单元-802</t>
  </si>
  <si>
    <t xml:space="preserve"> 4#住宅楼1层1单元-101</t>
  </si>
  <si>
    <t xml:space="preserve"> 4#住宅楼1层1单元-102</t>
  </si>
  <si>
    <t xml:space="preserve"> 4#住宅楼2层1单元-201</t>
  </si>
  <si>
    <t xml:space="preserve"> 4#住宅楼2层1单元-202</t>
  </si>
  <si>
    <t xml:space="preserve"> 4#住宅楼3层1单元-301</t>
  </si>
  <si>
    <t xml:space="preserve"> 4#住宅楼3层1单元-302</t>
  </si>
  <si>
    <t xml:space="preserve"> 4#住宅楼4层1单元-401</t>
  </si>
  <si>
    <t xml:space="preserve"> 4#住宅楼4层1单元-402</t>
  </si>
  <si>
    <t xml:space="preserve"> 4#住宅楼5层1单元-501</t>
  </si>
  <si>
    <t xml:space="preserve"> 4#住宅楼5层1单元-502</t>
  </si>
  <si>
    <t xml:space="preserve"> 4#住宅楼1层2单元-101</t>
  </si>
  <si>
    <t xml:space="preserve"> 4#住宅楼1层2单元-102</t>
  </si>
  <si>
    <t xml:space="preserve"> 4#住宅楼1层2单元-103</t>
  </si>
  <si>
    <t xml:space="preserve"> 4#住宅楼2层2单元-201</t>
  </si>
  <si>
    <t xml:space="preserve"> 4#住宅楼2层2单元-202</t>
  </si>
  <si>
    <t xml:space="preserve"> 4#住宅楼2层2单元-203</t>
  </si>
  <si>
    <t xml:space="preserve"> 4#住宅楼3层2单元-301</t>
  </si>
  <si>
    <t xml:space="preserve"> 4#住宅楼3层2单元-302</t>
  </si>
  <si>
    <t xml:space="preserve"> 4#住宅楼3层2单元-303</t>
  </si>
  <si>
    <t xml:space="preserve"> 4#住宅楼4层2单元-401</t>
  </si>
  <si>
    <t xml:space="preserve"> 4#住宅楼4层2单元-402</t>
  </si>
  <si>
    <t xml:space="preserve"> 4#住宅楼4层2单元-403</t>
  </si>
  <si>
    <t xml:space="preserve"> 4#住宅楼5层2单元-502</t>
  </si>
  <si>
    <t xml:space="preserve"> 4#住宅楼5层2单元-503</t>
  </si>
  <si>
    <t xml:space="preserve"> 4#住宅楼1层3单元-101</t>
  </si>
  <si>
    <t xml:space="preserve"> 4#住宅楼1层3单元-102</t>
  </si>
  <si>
    <t xml:space="preserve"> 4#住宅楼2层3单元-202</t>
  </si>
  <si>
    <t xml:space="preserve"> 4#住宅楼3层3单元-301</t>
  </si>
  <si>
    <t xml:space="preserve"> 4#住宅楼3层3单元-302</t>
  </si>
  <si>
    <t xml:space="preserve"> 4#住宅楼4层3单元-401</t>
  </si>
  <si>
    <t xml:space="preserve"> 4#住宅楼4层3单元-402</t>
  </si>
  <si>
    <t xml:space="preserve"> 4#住宅楼5层3单元-501</t>
  </si>
  <si>
    <t xml:space="preserve"> 4#住宅楼5层3单元-502</t>
  </si>
  <si>
    <t xml:space="preserve"> 5#住宅楼1层1单元-101</t>
  </si>
  <si>
    <t xml:space="preserve"> 5#住宅楼1层1单元-102</t>
  </si>
  <si>
    <t xml:space="preserve"> 5#住宅楼2层1单元-201</t>
  </si>
  <si>
    <t xml:space="preserve"> 5#住宅楼2层1单元-202</t>
  </si>
  <si>
    <t xml:space="preserve"> 5#住宅楼3层1单元-301</t>
  </si>
  <si>
    <t xml:space="preserve"> 5#住宅楼3层1单元-302</t>
  </si>
  <si>
    <t xml:space="preserve"> 5#住宅楼1层2单元-101</t>
  </si>
  <si>
    <t xml:space="preserve"> 5#住宅楼1层2单元-102</t>
  </si>
  <si>
    <t xml:space="preserve"> 5#住宅楼2层2单元-201</t>
  </si>
  <si>
    <t xml:space="preserve"> 5#住宅楼2层2单元-202</t>
  </si>
  <si>
    <t xml:space="preserve"> 5#住宅楼3层2单元-301</t>
  </si>
  <si>
    <t xml:space="preserve"> 5#住宅楼1层3单元-101</t>
  </si>
  <si>
    <t xml:space="preserve"> 5#住宅楼1层3单元-102</t>
  </si>
  <si>
    <t xml:space="preserve"> 5#住宅楼2层3单元-201</t>
  </si>
  <si>
    <t xml:space="preserve"> 5#住宅楼2层3单元-202</t>
  </si>
  <si>
    <t xml:space="preserve"> 5#住宅楼3层3单元-302</t>
  </si>
  <si>
    <t xml:space="preserve"> 6#住宅楼1层1单元-101</t>
  </si>
  <si>
    <t xml:space="preserve"> 6#住宅楼1层1单元-102</t>
  </si>
  <si>
    <t xml:space="preserve"> 6#住宅楼2层1单元-201</t>
  </si>
  <si>
    <t xml:space="preserve"> 6#住宅楼2层1单元-202</t>
  </si>
  <si>
    <t xml:space="preserve"> 6#住宅楼3层1单元-301</t>
  </si>
  <si>
    <t xml:space="preserve"> 6#住宅楼3层1单元-302</t>
  </si>
  <si>
    <t xml:space="preserve"> 6#住宅楼1层2单元-101</t>
  </si>
  <si>
    <t xml:space="preserve"> 6#住宅楼1层2单元-102</t>
  </si>
  <si>
    <t xml:space="preserve"> 6#住宅楼2层2单元-201</t>
  </si>
  <si>
    <t xml:space="preserve"> 6#住宅楼2层2单元-202</t>
  </si>
  <si>
    <t xml:space="preserve"> 6#住宅楼1层3单元-101</t>
  </si>
  <si>
    <t xml:space="preserve"> 6#住宅楼1层3单元-102</t>
  </si>
  <si>
    <t xml:space="preserve"> 6#住宅楼2层3单元-201</t>
  </si>
  <si>
    <t xml:space="preserve"> 6#住宅楼2层3单元-202</t>
  </si>
  <si>
    <t xml:space="preserve"> 7#住宅楼1层1单元-102</t>
  </si>
  <si>
    <t xml:space="preserve"> 7#住宅楼1层2单元-102</t>
  </si>
  <si>
    <t xml:space="preserve"> 7#住宅楼2层2单元-202</t>
  </si>
  <si>
    <t xml:space="preserve"> 7#住宅楼3层2单元-301</t>
  </si>
  <si>
    <t xml:space="preserve"> 7#住宅楼4层2单元-402</t>
  </si>
  <si>
    <t xml:space="preserve"> 7#住宅楼6层2单元-602</t>
  </si>
  <si>
    <t xml:space="preserve"> 7#住宅楼7层2单元-701</t>
  </si>
  <si>
    <t xml:space="preserve"> 8#住宅楼1层1单元-101</t>
  </si>
  <si>
    <t xml:space="preserve"> 8#住宅楼1层1单元-102</t>
  </si>
  <si>
    <t xml:space="preserve"> 8#住宅楼2层1单元-201</t>
  </si>
  <si>
    <t xml:space="preserve"> 8#住宅楼1层2单元-101</t>
  </si>
  <si>
    <t xml:space="preserve"> 8#住宅楼1层2单元-102</t>
  </si>
  <si>
    <t xml:space="preserve"> 8#住宅楼2层2单元-202</t>
  </si>
  <si>
    <t xml:space="preserve"> 8#住宅楼3层2单元-301</t>
  </si>
  <si>
    <t xml:space="preserve"> 8#住宅楼3层2单元-302</t>
  </si>
  <si>
    <t xml:space="preserve"> 8#住宅楼1层3单元-101</t>
  </si>
  <si>
    <t xml:space="preserve"> 8#住宅楼1层3单元-102</t>
  </si>
  <si>
    <t xml:space="preserve"> 8#住宅楼2层3单元-201</t>
  </si>
  <si>
    <t xml:space="preserve"> 8#住宅楼2层3单元-202</t>
  </si>
  <si>
    <t xml:space="preserve"> 9#住宅楼1层1单元-101</t>
  </si>
  <si>
    <t xml:space="preserve"> 9#住宅楼1层1单元-102</t>
  </si>
  <si>
    <t xml:space="preserve"> 9#住宅楼2层1单元-201</t>
  </si>
  <si>
    <t xml:space="preserve"> 9#住宅楼2层1单元-202</t>
  </si>
  <si>
    <t xml:space="preserve"> 9#住宅楼3层1单元-301</t>
  </si>
  <si>
    <t xml:space="preserve"> 9#住宅楼3层1单元-302</t>
  </si>
  <si>
    <t xml:space="preserve"> 9#住宅楼1层2单元-101</t>
  </si>
  <si>
    <t xml:space="preserve"> 9#住宅楼1层2单元-102</t>
  </si>
  <si>
    <t xml:space="preserve"> 9#住宅楼2层2单元-201</t>
  </si>
  <si>
    <t xml:space="preserve"> 9#住宅楼2层2单元-202</t>
  </si>
  <si>
    <t xml:space="preserve"> 9#住宅楼3层2单元-301</t>
  </si>
  <si>
    <t xml:space="preserve"> 9#住宅楼3层2单元-302</t>
  </si>
  <si>
    <t xml:space="preserve"> 9#住宅楼1层3单元-101</t>
  </si>
  <si>
    <t xml:space="preserve"> 9#住宅楼1层3单元-102</t>
  </si>
  <si>
    <t xml:space="preserve"> 9#住宅楼2层3单元-201</t>
  </si>
  <si>
    <t xml:space="preserve"> 9#住宅楼2层3单元-202</t>
  </si>
  <si>
    <t xml:space="preserve"> 9#住宅楼3层3单元-301</t>
  </si>
  <si>
    <t xml:space="preserve"> 9#住宅楼3层3单元-302</t>
  </si>
  <si>
    <t xml:space="preserve"> 10#住宅楼1层1单元-101</t>
  </si>
  <si>
    <t xml:space="preserve"> 10#住宅楼1层1单元-102</t>
  </si>
  <si>
    <t xml:space="preserve"> 10#住宅楼2层1单元-201</t>
  </si>
  <si>
    <t xml:space="preserve"> 10#住宅楼2层1单元-202</t>
  </si>
  <si>
    <t xml:space="preserve"> 10#住宅楼3层1单元-301</t>
  </si>
  <si>
    <t xml:space="preserve"> 10#住宅楼3层1单元-302</t>
  </si>
  <si>
    <t xml:space="preserve"> 10#住宅楼4层1单元-401</t>
  </si>
  <si>
    <t xml:space="preserve"> 10#住宅楼4层1单元-402</t>
  </si>
  <si>
    <t xml:space="preserve"> 10#住宅楼5层1单元-501</t>
  </si>
  <si>
    <t xml:space="preserve"> 10#住宅楼5层1单元-502</t>
  </si>
  <si>
    <t xml:space="preserve"> 10#住宅楼6层1单元-601</t>
  </si>
  <si>
    <t xml:space="preserve"> 10#住宅楼6层1单元-602</t>
  </si>
  <si>
    <t xml:space="preserve"> 10#住宅楼1层2单元-101</t>
  </si>
  <si>
    <t xml:space="preserve"> 10#住宅楼1层2单元-102</t>
  </si>
  <si>
    <t xml:space="preserve"> 10#住宅楼2层2单元-201</t>
  </si>
  <si>
    <t xml:space="preserve"> 10#住宅楼2层2单元-202</t>
  </si>
  <si>
    <t xml:space="preserve"> 10#住宅楼3层2单元-301</t>
  </si>
  <si>
    <t xml:space="preserve"> 10#住宅楼3层2单元-302</t>
  </si>
  <si>
    <t xml:space="preserve"> 10#住宅楼4层2单元-401</t>
  </si>
  <si>
    <t xml:space="preserve"> 10#住宅楼4层2单元-402</t>
  </si>
  <si>
    <t xml:space="preserve"> 10#住宅楼5层2单元-501</t>
  </si>
  <si>
    <t xml:space="preserve"> 10#住宅楼5层2单元-502</t>
  </si>
  <si>
    <t xml:space="preserve"> 10#住宅楼6层2单元-601</t>
  </si>
  <si>
    <t xml:space="preserve"> 10#住宅楼6层2单元-602</t>
  </si>
  <si>
    <t xml:space="preserve"> 11#住宅楼1层1单元-101</t>
  </si>
  <si>
    <t xml:space="preserve"> 11#住宅楼1层1单元-102</t>
  </si>
  <si>
    <t xml:space="preserve"> 11#住宅楼2层1单元-201</t>
  </si>
  <si>
    <t xml:space="preserve"> 11#住宅楼2层1单元-202</t>
  </si>
  <si>
    <t xml:space="preserve"> 11#住宅楼3层1单元-301</t>
  </si>
  <si>
    <t xml:space="preserve"> 11#住宅楼4层1单元-401</t>
  </si>
  <si>
    <t xml:space="preserve"> 11#住宅楼4层1单元-402</t>
  </si>
  <si>
    <t xml:space="preserve"> 11#住宅楼1层2单元-101</t>
  </si>
  <si>
    <t xml:space="preserve"> 11#住宅楼1层2单元-102</t>
  </si>
  <si>
    <t xml:space="preserve"> 11#住宅楼2层2单元-201</t>
  </si>
  <si>
    <t xml:space="preserve"> 11#住宅楼2层2单元-202</t>
  </si>
  <si>
    <t xml:space="preserve"> 11#住宅楼3层2单元-302</t>
  </si>
  <si>
    <t xml:space="preserve"> 11#住宅楼4层2单元-402</t>
  </si>
  <si>
    <t xml:space="preserve"> 12#住宅楼1层1单元-101</t>
  </si>
  <si>
    <t xml:space="preserve"> 12#住宅楼1层1单元-102</t>
  </si>
  <si>
    <t xml:space="preserve"> 12#住宅楼2层1单元-201</t>
  </si>
  <si>
    <t xml:space="preserve"> 12#住宅楼2层1单元-202</t>
  </si>
  <si>
    <t xml:space="preserve"> 12#住宅楼3层1单元-301</t>
  </si>
  <si>
    <t xml:space="preserve"> 12#住宅楼5层1单元-501</t>
  </si>
  <si>
    <t xml:space="preserve"> 12#住宅楼5层1单元-502</t>
  </si>
  <si>
    <t xml:space="preserve"> 12#住宅楼6层1单元-601</t>
  </si>
  <si>
    <t xml:space="preserve"> 12#住宅楼7层1单元-702</t>
  </si>
  <si>
    <t xml:space="preserve"> 12#住宅楼11层1单元-1101</t>
  </si>
  <si>
    <t xml:space="preserve"> 12#住宅楼1层2单元-101</t>
  </si>
  <si>
    <t xml:space="preserve"> 12#住宅楼1层2单元-102</t>
  </si>
  <si>
    <t xml:space="preserve"> 12#住宅楼2层2单元-201</t>
  </si>
  <si>
    <t xml:space="preserve"> 12#住宅楼4层2单元-401</t>
  </si>
  <si>
    <t xml:space="preserve"> 12#住宅楼8层2单元-802</t>
  </si>
  <si>
    <t xml:space="preserve"> 12#住宅楼9层2单元-901</t>
  </si>
  <si>
    <t xml:space="preserve"> 12#住宅楼11层2单元-1101</t>
  </si>
  <si>
    <t xml:space="preserve"> 12#住宅楼1层3单元-101</t>
  </si>
  <si>
    <t xml:space="preserve"> 12#住宅楼1层3单元-102</t>
  </si>
  <si>
    <t xml:space="preserve"> 12#住宅楼2层3单元-201</t>
  </si>
  <si>
    <t xml:space="preserve"> 12#住宅楼2层3单元-202</t>
  </si>
  <si>
    <t xml:space="preserve"> 12#住宅楼3层3单元-301</t>
  </si>
  <si>
    <t xml:space="preserve"> 12#住宅楼5层3单元-501</t>
  </si>
  <si>
    <t xml:space="preserve"> 12#住宅楼7层3单元-702</t>
  </si>
  <si>
    <t xml:space="preserve"> 12#住宅楼10层3单元-1001</t>
  </si>
  <si>
    <t xml:space="preserve"> 12#住宅楼11层3单元-1101</t>
  </si>
  <si>
    <t xml:space="preserve"> 12#住宅楼1层4单元-101</t>
  </si>
  <si>
    <t xml:space="preserve"> 12#住宅楼1层4单元-102</t>
  </si>
  <si>
    <t xml:space="preserve"> 12#住宅楼2层4单元-201</t>
  </si>
  <si>
    <t xml:space="preserve"> 12#住宅楼4层4单元-402</t>
  </si>
  <si>
    <t xml:space="preserve"> 12#住宅楼5层4单元-501</t>
  </si>
  <si>
    <t xml:space="preserve"> 12#住宅楼10层4单元-1001</t>
  </si>
  <si>
    <t xml:space="preserve"> 12#住宅楼10层4单元-1002</t>
  </si>
  <si>
    <t xml:space="preserve"> 12#住宅楼11层4单元-1101</t>
  </si>
  <si>
    <t xml:space="preserve"> 12#住宅楼11层4单元-1102</t>
  </si>
  <si>
    <t xml:space="preserve"> 13#住宅楼1层1单元-102</t>
  </si>
  <si>
    <t xml:space="preserve"> 13#住宅楼2层1单元-202</t>
  </si>
  <si>
    <t xml:space="preserve"> 13#住宅楼4层1单元-401</t>
  </si>
  <si>
    <t xml:space="preserve"> 13#住宅楼8层1单元-802</t>
  </si>
  <si>
    <t xml:space="preserve"> 13#住宅楼9层1单元-901</t>
  </si>
  <si>
    <t xml:space="preserve"> 13#住宅楼1层2单元-101</t>
  </si>
  <si>
    <t xml:space="preserve"> 13#住宅楼1层2单元-102</t>
  </si>
  <si>
    <t xml:space="preserve"> 13#住宅楼2层2单元-201</t>
  </si>
  <si>
    <t xml:space="preserve"> 13#住宅楼8层2单元-801</t>
  </si>
  <si>
    <t xml:space="preserve"> 13#住宅楼1层3单元-101</t>
  </si>
  <si>
    <t xml:space="preserve"> 13#住宅楼1层3单元-102</t>
  </si>
  <si>
    <t xml:space="preserve"> 13#住宅楼2层3单元-201</t>
  </si>
  <si>
    <t xml:space="preserve"> 13#住宅楼2层3单元-202</t>
  </si>
  <si>
    <t xml:space="preserve"> 13#住宅楼3层3单元-301</t>
  </si>
  <si>
    <t xml:space="preserve"> 13#住宅楼4层3单元-402</t>
  </si>
  <si>
    <t xml:space="preserve"> 13#住宅楼8层3单元-802</t>
  </si>
  <si>
    <t xml:space="preserve"> 13#住宅楼9层3单元-901</t>
  </si>
  <si>
    <t xml:space="preserve"> 13#住宅楼9层3单元-902</t>
  </si>
  <si>
    <t xml:space="preserve"> 13#住宅楼1层4单元-101</t>
  </si>
  <si>
    <t xml:space="preserve"> 13#住宅楼1层4单元-102</t>
  </si>
  <si>
    <t xml:space="preserve"> 13#住宅楼2层4单元-201</t>
  </si>
  <si>
    <t xml:space="preserve"> 13#住宅楼4层4单元-401</t>
  </si>
  <si>
    <t xml:space="preserve"> 13#住宅楼4层4单元-402</t>
  </si>
  <si>
    <t xml:space="preserve"> 13#住宅楼8层4单元-802</t>
  </si>
  <si>
    <t xml:space="preserve"> 13#住宅楼9层4单元-902</t>
  </si>
  <si>
    <t xml:space="preserve"> 14#住宅楼1层1单元-102</t>
  </si>
  <si>
    <t xml:space="preserve"> 14#住宅楼3层1单元-301</t>
  </si>
  <si>
    <t xml:space="preserve"> 14#住宅楼1层2单元-101</t>
  </si>
  <si>
    <t xml:space="preserve"> 14#住宅楼1层2单元-102</t>
  </si>
  <si>
    <t xml:space="preserve"> 14#住宅楼2层2单元-202</t>
  </si>
  <si>
    <t xml:space="preserve"> 14#住宅楼4层2单元-402</t>
  </si>
  <si>
    <t xml:space="preserve"> 14#住宅楼5层2单元-502</t>
  </si>
  <si>
    <t xml:space="preserve">  1#地下车库-1 层-1002</t>
  </si>
  <si>
    <t xml:space="preserve">  1#地下车库-1 层-1003</t>
  </si>
  <si>
    <t xml:space="preserve">  1#地下车库-1 层-1004</t>
  </si>
  <si>
    <t xml:space="preserve">  1#地下车库-1 层-1005</t>
  </si>
  <si>
    <t xml:space="preserve">  1#地下车库-1 层-1006</t>
  </si>
  <si>
    <t xml:space="preserve">  1#地下车库-1 层-1007</t>
  </si>
  <si>
    <t xml:space="preserve">  1#地下车库-1 层-1008</t>
  </si>
  <si>
    <t xml:space="preserve">  1#地下车库-1 层-1010</t>
  </si>
  <si>
    <t xml:space="preserve">  1#地下车库-1 层-1011</t>
  </si>
  <si>
    <t xml:space="preserve">  1#地下车库-1 层-1012</t>
  </si>
  <si>
    <t xml:space="preserve">  1#地下车库-1 层-1013</t>
  </si>
  <si>
    <t xml:space="preserve">  1#地下车库-1 层-1014</t>
  </si>
  <si>
    <t xml:space="preserve">  1#地下车库-1 层-1015</t>
  </si>
  <si>
    <t xml:space="preserve">  1#地下车库-1 层-1016</t>
  </si>
  <si>
    <t xml:space="preserve">  1#地下车库-1 层-1017</t>
  </si>
  <si>
    <t xml:space="preserve">  1#地下车库-1 层-1018</t>
  </si>
  <si>
    <t xml:space="preserve">  1#地下车库-1 层-1019</t>
  </si>
  <si>
    <t xml:space="preserve">  1#地下车库-1 层-1020</t>
  </si>
  <si>
    <t xml:space="preserve">  1#地下车库-1 层-1021</t>
  </si>
  <si>
    <t xml:space="preserve">  1#地下车库-1 层-1022</t>
  </si>
  <si>
    <t xml:space="preserve">  1#地下车库-1 层-1023</t>
  </si>
  <si>
    <t xml:space="preserve">  1#地下车库-1 层-1027</t>
  </si>
  <si>
    <t xml:space="preserve">  1#地下车库-1 层-1029</t>
  </si>
  <si>
    <t xml:space="preserve">  1#地下车库-1 层-1031</t>
  </si>
  <si>
    <t xml:space="preserve">  1#地下车库-1 层-1032</t>
  </si>
  <si>
    <t xml:space="preserve">  1#地下车库-1 层-1033</t>
  </si>
  <si>
    <t xml:space="preserve">  1#地下车库-1 层-1034</t>
  </si>
  <si>
    <t xml:space="preserve">  1#地下车库-1 层-1035</t>
  </si>
  <si>
    <t xml:space="preserve">  1#地下车库-1 层-1036</t>
  </si>
  <si>
    <t xml:space="preserve">  1#地下车库-1 层-1037</t>
  </si>
  <si>
    <t xml:space="preserve">  1#地下车库-1 层-1038</t>
  </si>
  <si>
    <t xml:space="preserve">  1#地下车库-1 层-1039</t>
  </si>
  <si>
    <t xml:space="preserve">  1#地下车库-1 层-1040</t>
  </si>
  <si>
    <t xml:space="preserve">  1#地下车库-1 层-1041</t>
  </si>
  <si>
    <t xml:space="preserve">  1#地下车库-1 层-1042</t>
  </si>
  <si>
    <t xml:space="preserve">  1#地下车库-1 层-1043</t>
  </si>
  <si>
    <t xml:space="preserve">  1#地下车库-1 层-1044</t>
  </si>
  <si>
    <t xml:space="preserve">  1#地下车库-1 层-1046</t>
  </si>
  <si>
    <t xml:space="preserve">  1#地下车库-1 层-1047</t>
  </si>
  <si>
    <t xml:space="preserve">  1#地下车库-1 层-1050</t>
  </si>
  <si>
    <t xml:space="preserve">  1#地下车库-1 层-1051</t>
  </si>
  <si>
    <t xml:space="preserve">  1#地下车库-1 层-1052</t>
  </si>
  <si>
    <t xml:space="preserve">  1#地下车库-1 层-1054</t>
  </si>
  <si>
    <t xml:space="preserve">  1#地下车库-1 层-1055</t>
  </si>
  <si>
    <t xml:space="preserve">  1#地下车库-1 层-1057</t>
  </si>
  <si>
    <t xml:space="preserve">  1#地下车库-1 层-1058</t>
  </si>
  <si>
    <t xml:space="preserve">  1#地下车库-1 层-1059</t>
  </si>
  <si>
    <t xml:space="preserve">  1#地下车库-1 层-1060</t>
  </si>
  <si>
    <t xml:space="preserve">  1#地下车库-1 层-1063</t>
  </si>
  <si>
    <t xml:space="preserve">  1#地下车库-1 层-1064</t>
  </si>
  <si>
    <t xml:space="preserve">  1#地下车库-1 层-1065</t>
  </si>
  <si>
    <t xml:space="preserve">  1#地下车库-1 层-1066</t>
  </si>
  <si>
    <t xml:space="preserve">  1#地下车库-1 层-1067</t>
  </si>
  <si>
    <t xml:space="preserve">  1#地下车库-1 层-1069</t>
  </si>
  <si>
    <t xml:space="preserve">  1#地下车库-1 层-1070</t>
  </si>
  <si>
    <t xml:space="preserve">  1#地下车库-1 层-1071</t>
  </si>
  <si>
    <t xml:space="preserve">  1#地下车库-1 层-1072</t>
  </si>
  <si>
    <t xml:space="preserve">  1#地下车库-1 层-1073</t>
  </si>
  <si>
    <t xml:space="preserve">  1#地下车库-1 层-1075</t>
  </si>
  <si>
    <t xml:space="preserve">  1#地下车库-1 层-1076</t>
  </si>
  <si>
    <t xml:space="preserve">  1#地下车库-1 层-1077</t>
  </si>
  <si>
    <t xml:space="preserve">  1#地下车库-1 层-1078</t>
  </si>
  <si>
    <t xml:space="preserve">  1#地下车库-1 层-1079</t>
  </si>
  <si>
    <t xml:space="preserve">  1#地下车库-1 层-1081</t>
  </si>
  <si>
    <t xml:space="preserve">  1#地下车库-1 层-1084</t>
  </si>
  <si>
    <t xml:space="preserve">  1#地下车库-1 层-1085</t>
  </si>
  <si>
    <t xml:space="preserve">  1#地下车库-1 层-1087</t>
  </si>
  <si>
    <t xml:space="preserve">  1#地下车库-1 层-1088</t>
  </si>
  <si>
    <t xml:space="preserve">  1#地下车库-1 层-1089</t>
  </si>
  <si>
    <t xml:space="preserve">  1#地下车库-1 层-1090</t>
  </si>
  <si>
    <t xml:space="preserve">  1#地下车库-1 层-1091</t>
  </si>
  <si>
    <t xml:space="preserve">  1#地下车库-1 层-1093</t>
  </si>
  <si>
    <t xml:space="preserve">  1#地下车库-1 层-1094</t>
  </si>
  <si>
    <t xml:space="preserve">  1#地下车库-1 层-1095</t>
  </si>
  <si>
    <t xml:space="preserve">  1#地下车库-1 层-1096</t>
  </si>
  <si>
    <t xml:space="preserve">  1#地下车库-1 层-1097</t>
  </si>
  <si>
    <t xml:space="preserve">  1#地下车库-1 层-1098</t>
  </si>
  <si>
    <t xml:space="preserve">  1#地下车库-1 层-1099</t>
  </si>
  <si>
    <t xml:space="preserve">  1#地下车库-1 层-1100</t>
  </si>
  <si>
    <t xml:space="preserve">  1#地下车库-1 层-1101</t>
  </si>
  <si>
    <t xml:space="preserve">  1#地下车库-1 层-1102</t>
  </si>
  <si>
    <t xml:space="preserve">  1#地下车库-1 层-1103</t>
  </si>
  <si>
    <t xml:space="preserve">  1#地下车库-1 层-1105</t>
  </si>
  <si>
    <t xml:space="preserve">  1#地下车库-1 层-1106</t>
  </si>
  <si>
    <t xml:space="preserve">  1#地下车库-1 层-1107</t>
  </si>
  <si>
    <t xml:space="preserve">  1#地下车库-1 层-1108</t>
  </si>
  <si>
    <t xml:space="preserve">  1#地下车库-1 层-1109</t>
  </si>
  <si>
    <t xml:space="preserve">  1#地下车库-1 层-1111</t>
  </si>
  <si>
    <t xml:space="preserve">  1#地下车库-1 层-1114</t>
  </si>
  <si>
    <t xml:space="preserve">  1#地下车库-1 层-1115</t>
  </si>
  <si>
    <t xml:space="preserve">  1#地下车库-1 层-1116</t>
  </si>
  <si>
    <t xml:space="preserve">  1#地下车库-1 层-1117</t>
  </si>
  <si>
    <t xml:space="preserve">  1#地下车库-1 层-1118</t>
  </si>
  <si>
    <t xml:space="preserve">  1#地下车库-1 层-1119</t>
  </si>
  <si>
    <t xml:space="preserve">  1#地下车库-1 层-1120</t>
  </si>
  <si>
    <t xml:space="preserve">  1#地下车库-1 层-1121</t>
  </si>
  <si>
    <t xml:space="preserve">  1#地下车库-1 层-1122</t>
  </si>
  <si>
    <t xml:space="preserve">  1#地下车库-1 层-1123</t>
  </si>
  <si>
    <t xml:space="preserve">  1#地下车库-1 层-1124</t>
  </si>
  <si>
    <t xml:space="preserve">  1#地下车库-1 层-1127</t>
  </si>
  <si>
    <t xml:space="preserve">  1#地下车库-1 层-1128</t>
  </si>
  <si>
    <t xml:space="preserve">  1#地下车库-1 层-1129</t>
  </si>
  <si>
    <t xml:space="preserve">  1#地下车库-1 层-1130</t>
  </si>
  <si>
    <t xml:space="preserve">  1#地下车库-1 层-1131</t>
  </si>
  <si>
    <t xml:space="preserve">  1#地下车库-1 层-1132</t>
  </si>
  <si>
    <t xml:space="preserve">  1#地下车库-1 层-1135</t>
  </si>
  <si>
    <t xml:space="preserve">  1#地下车库-1 层-1136</t>
  </si>
  <si>
    <t xml:space="preserve">  1#地下车库-1 层-1137</t>
  </si>
  <si>
    <t xml:space="preserve">  1#地下车库-1 层-1138</t>
  </si>
  <si>
    <t xml:space="preserve">  1#地下车库-1 层-1139</t>
  </si>
  <si>
    <t xml:space="preserve">  1#地下车库-1 层-1141</t>
  </si>
  <si>
    <t xml:space="preserve">  1#地下车库-1 层-1142</t>
  </si>
  <si>
    <t xml:space="preserve">  1#地下车库-1 层-1143</t>
  </si>
  <si>
    <t xml:space="preserve">  1#地下车库-1 层-1144</t>
  </si>
  <si>
    <t xml:space="preserve">  1#地下车库-1 层-1145</t>
  </si>
  <si>
    <t xml:space="preserve">  1#地下车库-1 层-1146</t>
  </si>
  <si>
    <t xml:space="preserve">  1#地下车库-1 层-1147</t>
  </si>
  <si>
    <t xml:space="preserve">  1#地下车库-1 层-1148</t>
  </si>
  <si>
    <t xml:space="preserve">  1#地下车库-1 层-1149</t>
  </si>
  <si>
    <t xml:space="preserve">  1#地下车库-1 层-1150</t>
  </si>
  <si>
    <t xml:space="preserve">  1#地下车库-1 层-1151</t>
  </si>
  <si>
    <t xml:space="preserve">  1#地下车库-1 层-1152</t>
  </si>
  <si>
    <t xml:space="preserve">  1#地下车库-1 层-1153</t>
  </si>
  <si>
    <t xml:space="preserve">  1#地下车库-1 层-1155</t>
  </si>
  <si>
    <t xml:space="preserve">  1#地下车库-1 层-1156</t>
  </si>
  <si>
    <t xml:space="preserve">  1#地下车库-1 层-1157</t>
  </si>
  <si>
    <t xml:space="preserve">  1#地下车库-1 层-1158</t>
  </si>
  <si>
    <t xml:space="preserve">  1#地下车库-1 层-1159</t>
  </si>
  <si>
    <t xml:space="preserve">  1#地下车库-1 层-1160</t>
  </si>
  <si>
    <t xml:space="preserve">  1#地下车库-1 层-1162</t>
  </si>
  <si>
    <t xml:space="preserve">  1#地下车库-1 层-1163</t>
  </si>
  <si>
    <t xml:space="preserve">  1#地下车库-1 层-1164</t>
  </si>
  <si>
    <t xml:space="preserve">  1#地下车库-1 层-1165</t>
  </si>
  <si>
    <t xml:space="preserve">  1#地下车库-1 层-1166</t>
  </si>
  <si>
    <t xml:space="preserve">  1#地下车库-1 层-1169</t>
  </si>
  <si>
    <t xml:space="preserve">  1#地下车库-1 层-1171</t>
  </si>
  <si>
    <t xml:space="preserve">  1#地下车库-1 层-1172</t>
  </si>
  <si>
    <t xml:space="preserve">  1#地下车库-1 层-1173</t>
  </si>
  <si>
    <t xml:space="preserve">  1#地下车库-1 层-1174</t>
  </si>
  <si>
    <t xml:space="preserve">  1#地下车库-1 层-1175</t>
  </si>
  <si>
    <t xml:space="preserve">  1#地下车库-1 层-1177</t>
  </si>
  <si>
    <t xml:space="preserve">  1#地下车库-1 层-1178</t>
  </si>
  <si>
    <t xml:space="preserve">  1#地下车库-1 层-1179</t>
  </si>
  <si>
    <t xml:space="preserve">  1#地下车库-1 层-1180</t>
  </si>
  <si>
    <t xml:space="preserve">  1#地下车库-1 层-1181</t>
  </si>
  <si>
    <t xml:space="preserve">  1#地下车库-1 层-1185</t>
  </si>
  <si>
    <t xml:space="preserve">  1#地下车库-1 层-1186</t>
  </si>
  <si>
    <t xml:space="preserve">  1#地下车库-1 层-1187</t>
  </si>
  <si>
    <t xml:space="preserve">  1#地下车库-1 层-1188</t>
  </si>
  <si>
    <t xml:space="preserve">  1#地下车库-1 层-1189</t>
  </si>
  <si>
    <t xml:space="preserve">  1#地下车库-1 层-1191</t>
  </si>
  <si>
    <t xml:space="preserve">  1#地下车库-1 层-1192</t>
  </si>
  <si>
    <t xml:space="preserve">  1#地下车库-1 层-1193</t>
  </si>
  <si>
    <t xml:space="preserve">  1#地下车库-1 层-1194</t>
  </si>
  <si>
    <t xml:space="preserve">  1#地下车库-1 层-1195</t>
  </si>
  <si>
    <t xml:space="preserve">  1#地下车库-1 层-1196</t>
  </si>
  <si>
    <t xml:space="preserve">  1#地下车库-1 层-1197</t>
  </si>
  <si>
    <t xml:space="preserve">  1#地下车库-1 层-1198</t>
  </si>
  <si>
    <t xml:space="preserve">  1#地下车库-1 层-1199</t>
  </si>
  <si>
    <t xml:space="preserve">  1#地下车库-1 层-1200</t>
  </si>
  <si>
    <t xml:space="preserve">  1#地下车库-1 层-1201</t>
  </si>
  <si>
    <t xml:space="preserve">  1#地下车库-1 层-1202</t>
  </si>
  <si>
    <t xml:space="preserve">  1#地下车库-1 层-1203</t>
  </si>
  <si>
    <t xml:space="preserve">  1#地下车库-1 层-1204</t>
  </si>
  <si>
    <t xml:space="preserve">  1#地下车库-1 层-1205</t>
  </si>
  <si>
    <t xml:space="preserve">  1#地下车库-1 层-1206</t>
  </si>
  <si>
    <t xml:space="preserve">  1#地下车库-1 层-1208</t>
  </si>
  <si>
    <t xml:space="preserve">  1#地下车库-1 层-1209</t>
  </si>
  <si>
    <t xml:space="preserve">  1#地下车库-1 层-1210</t>
  </si>
  <si>
    <t xml:space="preserve">  1#地下车库-1 层-1211</t>
  </si>
  <si>
    <t xml:space="preserve">  1#地下车库-1 层-1212</t>
  </si>
  <si>
    <t xml:space="preserve">  1#地下车库-1 层-1213</t>
  </si>
  <si>
    <t xml:space="preserve">  1#地下车库-1 层-1214</t>
  </si>
  <si>
    <t xml:space="preserve">  1#地下车库-1 层-1216</t>
  </si>
  <si>
    <t xml:space="preserve">  1#地下车库-1 层-1217</t>
  </si>
  <si>
    <t xml:space="preserve">  1#地下车库-1 层-1218</t>
  </si>
  <si>
    <t xml:space="preserve">  1#地下车库-1 层-1219</t>
  </si>
  <si>
    <t xml:space="preserve">  1#地下车库-1 层-1220</t>
  </si>
  <si>
    <t xml:space="preserve">  1#地下车库-1 层-1221</t>
  </si>
  <si>
    <t xml:space="preserve">  1#地下车库-1 层-1222</t>
  </si>
  <si>
    <t xml:space="preserve">  1#地下车库-1 层-1223</t>
  </si>
  <si>
    <t xml:space="preserve">  1#地下车库-1 层-1224</t>
  </si>
  <si>
    <t xml:space="preserve">  1#地下车库-1 层-1225</t>
  </si>
  <si>
    <t xml:space="preserve">  1#地下车库-1 层-1226</t>
  </si>
  <si>
    <t xml:space="preserve">  1#地下车库-1 层-1227</t>
  </si>
  <si>
    <t xml:space="preserve">  1#地下车库-1 层-1228</t>
  </si>
  <si>
    <t xml:space="preserve">  1#地下车库-1 层-1229</t>
  </si>
  <si>
    <t xml:space="preserve">  1#地下车库-1 层-1230</t>
  </si>
  <si>
    <t xml:space="preserve">  1#地下车库-1 层-1231</t>
  </si>
  <si>
    <t xml:space="preserve">  1#地下车库-1 层-1232</t>
  </si>
  <si>
    <t xml:space="preserve">  1#地下车库-1 层-1233</t>
  </si>
  <si>
    <t xml:space="preserve">  1#地下车库-1 层-1234</t>
  </si>
  <si>
    <t xml:space="preserve">  1#地下车库-1 层-1235</t>
  </si>
  <si>
    <t xml:space="preserve">  1#地下车库-1 层-1236</t>
  </si>
  <si>
    <t xml:space="preserve">  1#地下车库-1 层-1237</t>
  </si>
  <si>
    <t xml:space="preserve">  1#地下车库-1 层-1238</t>
  </si>
  <si>
    <t xml:space="preserve">  1#地下车库-1 层-1239</t>
  </si>
  <si>
    <t xml:space="preserve">  1#地下车库-1 层-1240</t>
  </si>
  <si>
    <t xml:space="preserve">  1#地下车库-1 层-1241</t>
  </si>
  <si>
    <t xml:space="preserve">  1#地下车库-1 层-1242</t>
  </si>
  <si>
    <t xml:space="preserve">  1#地下车库-1 层-1244</t>
  </si>
  <si>
    <t xml:space="preserve">  1#地下车库-1 层-1246</t>
  </si>
  <si>
    <t xml:space="preserve">  1#地下车库-1 层-1247</t>
  </si>
  <si>
    <t xml:space="preserve">  1#地下车库-1 层-1249</t>
  </si>
  <si>
    <t xml:space="preserve">  1#地下车库-1 层-1250</t>
  </si>
  <si>
    <t xml:space="preserve">  1#地下车库-1 层-1251</t>
  </si>
  <si>
    <t xml:space="preserve">  1#地下车库-1 层-1252</t>
  </si>
  <si>
    <t xml:space="preserve">  1#地下车库-1 层-1253</t>
  </si>
  <si>
    <t xml:space="preserve">  1#地下车库-1 层-1254</t>
  </si>
  <si>
    <t xml:space="preserve">  1#地下车库-1 层-1255</t>
  </si>
  <si>
    <t xml:space="preserve">  1#地下车库-1 层-1256</t>
  </si>
  <si>
    <t xml:space="preserve">  1#地下车库-1 层-1259</t>
  </si>
  <si>
    <t xml:space="preserve">  1#地下车库-1 层-1260</t>
  </si>
  <si>
    <t xml:space="preserve">  1#地下车库-1 层-1261</t>
  </si>
  <si>
    <t xml:space="preserve">  1#地下车库-1 层-1262</t>
  </si>
  <si>
    <t xml:space="preserve">  1#地下车库-1 层-1263</t>
  </si>
  <si>
    <t xml:space="preserve">  1#地下车库-1 层-1264</t>
  </si>
  <si>
    <t xml:space="preserve">  1#地下车库-1 层-1265</t>
  </si>
  <si>
    <t xml:space="preserve">  1#地下车库-1 层-1266</t>
  </si>
  <si>
    <t xml:space="preserve">  1#地下车库-1 层-1267</t>
  </si>
  <si>
    <t xml:space="preserve">  1#地下车库-1 层-1269</t>
  </si>
  <si>
    <t xml:space="preserve">  1#地下车库-1 层-1270</t>
  </si>
  <si>
    <t xml:space="preserve">  1#地下车库-1 层-1271</t>
  </si>
  <si>
    <t xml:space="preserve">  1#地下车库-1 层-1272</t>
  </si>
  <si>
    <t xml:space="preserve">  1#地下车库-1 层-1273</t>
  </si>
  <si>
    <t xml:space="preserve">  1#地下车库-1 层-1274</t>
  </si>
  <si>
    <t xml:space="preserve">  1#地下车库-1 层-1275</t>
  </si>
  <si>
    <t xml:space="preserve">  1#地下车库-1 层-1277</t>
  </si>
  <si>
    <t xml:space="preserve">  1#地下车库-1 层-1278</t>
  </si>
  <si>
    <t xml:space="preserve">  1#地下车库-1 层-1279</t>
  </si>
  <si>
    <t xml:space="preserve">  1#地下车库-1 层-1280</t>
  </si>
  <si>
    <t xml:space="preserve">  1#地下车库-1 层-1282</t>
  </si>
  <si>
    <t xml:space="preserve">  1#地下车库-1 层-1283</t>
  </si>
  <si>
    <t xml:space="preserve">  1#地下车库-1 层-1284</t>
  </si>
  <si>
    <t xml:space="preserve">  1#地下车库-1 层-1285</t>
  </si>
  <si>
    <t xml:space="preserve">  1#地下车库-1 层-1286</t>
  </si>
  <si>
    <t xml:space="preserve">  1#地下车库-1 层-1287</t>
  </si>
  <si>
    <t xml:space="preserve">  1#地下车库-1 层-1288</t>
  </si>
  <si>
    <t xml:space="preserve">  1#地下车库-1 层-1289</t>
  </si>
  <si>
    <t xml:space="preserve">  1#地下车库-1 层-1290</t>
  </si>
  <si>
    <t xml:space="preserve">  1#地下车库-1 层-1291</t>
  </si>
  <si>
    <t xml:space="preserve">  1#地下车库-1 层-1292</t>
  </si>
  <si>
    <t xml:space="preserve">  1#地下车库-1 层-1293</t>
  </si>
  <si>
    <t xml:space="preserve">  1#地下车库-1 层-1294</t>
  </si>
  <si>
    <t xml:space="preserve">  1#地下车库-1 层-1295</t>
  </si>
  <si>
    <t xml:space="preserve">  1#地下车库-1 层-1296</t>
  </si>
  <si>
    <t xml:space="preserve">  1#地下车库-1 层-1297</t>
  </si>
  <si>
    <t xml:space="preserve">  1#地下车库-1 层-1299</t>
  </si>
  <si>
    <t xml:space="preserve">  1#地下车库-1 层-1300</t>
  </si>
  <si>
    <t xml:space="preserve">  1#地下车库-1 层-1306</t>
  </si>
  <si>
    <t xml:space="preserve">  1#地下车库-1 层-1308</t>
  </si>
  <si>
    <t xml:space="preserve">  1#地下车库-1 层-1309</t>
  </si>
  <si>
    <t xml:space="preserve">  1#地下车库-1 层-1310</t>
  </si>
  <si>
    <t xml:space="preserve">  1#地下车库-1 层-1312</t>
  </si>
  <si>
    <t xml:space="preserve">  1#地下车库-1 层-1313</t>
  </si>
  <si>
    <t xml:space="preserve">  1#地下车库-1 层-1314</t>
  </si>
  <si>
    <t xml:space="preserve">  1#地下车库-1 层-1315</t>
  </si>
  <si>
    <t xml:space="preserve">  1#地下车库-1 层-1316</t>
  </si>
  <si>
    <t xml:space="preserve">  1#地下车库-1 层-1317</t>
  </si>
  <si>
    <t xml:space="preserve">  1#地下车库-1 层-1318</t>
  </si>
  <si>
    <t xml:space="preserve">  1#地下车库-1 层-1319</t>
  </si>
  <si>
    <t xml:space="preserve">  1#地下车库-1 层-1320</t>
  </si>
  <si>
    <t xml:space="preserve">  1#地下车库-1 层-1321</t>
  </si>
  <si>
    <t xml:space="preserve">  1#地下车库-1 层-1322</t>
  </si>
  <si>
    <t xml:space="preserve">  1#地下车库-1 层-1323</t>
  </si>
  <si>
    <t xml:space="preserve">  1#地下车库-1 层-1324</t>
  </si>
  <si>
    <t xml:space="preserve">  1#地下车库-1 层-1325</t>
  </si>
  <si>
    <t xml:space="preserve">  1#地下车库-1 层-1326</t>
  </si>
  <si>
    <t xml:space="preserve">  1#地下车库-1 层-1327</t>
  </si>
  <si>
    <t xml:space="preserve">  1#地下车库-1 层-1328</t>
  </si>
  <si>
    <t xml:space="preserve">  1#地下车库-1 层-1329</t>
  </si>
  <si>
    <t xml:space="preserve">  1#地下车库-1 层-1332</t>
  </si>
  <si>
    <t xml:space="preserve">  1#地下车库-1 层-1333</t>
  </si>
  <si>
    <t xml:space="preserve">  1#地下车库-1 层-1334</t>
  </si>
  <si>
    <t xml:space="preserve">  1#地下车库-1 层-1335</t>
  </si>
  <si>
    <t xml:space="preserve">  1#地下车库-1 层-1336</t>
  </si>
  <si>
    <t xml:space="preserve">  1#地下车库-1 层-1337</t>
  </si>
  <si>
    <t xml:space="preserve">  1#地下车库-1 层-1338</t>
  </si>
  <si>
    <t xml:space="preserve">  1#地下车库-1 层-1339</t>
  </si>
  <si>
    <t xml:space="preserve">  1#地下车库-1 层-1340</t>
  </si>
  <si>
    <t xml:space="preserve">  1#地下车库-1 层-1341</t>
  </si>
  <si>
    <t xml:space="preserve">  1#地下车库-1 层-1342</t>
  </si>
  <si>
    <t xml:space="preserve">  1#地下车库-1 层-1343</t>
  </si>
  <si>
    <t xml:space="preserve">  1#地下车库-1 层-1344</t>
  </si>
  <si>
    <t xml:space="preserve">  1#地下车库-1 层-1345</t>
  </si>
  <si>
    <t xml:space="preserve">  1#地下车库-1 层-1346</t>
  </si>
  <si>
    <t xml:space="preserve">  1#地下车库-1 层-1347</t>
  </si>
  <si>
    <t xml:space="preserve">  1#地下车库-1 层-1348</t>
  </si>
  <si>
    <t xml:space="preserve">  1#地下车库-1 层-1349</t>
  </si>
  <si>
    <t xml:space="preserve">  1#地下车库-1 层-1350</t>
  </si>
  <si>
    <t xml:space="preserve">  1#地下车库-1 层-1351</t>
  </si>
  <si>
    <t xml:space="preserve">  1#地下车库-1 层-1352</t>
  </si>
  <si>
    <t xml:space="preserve">  1#地下车库-1 层-1353</t>
  </si>
  <si>
    <t xml:space="preserve">  1#地下车库-1 层-1354</t>
  </si>
  <si>
    <t xml:space="preserve">  1#地下车库-1 层-1355</t>
  </si>
  <si>
    <t xml:space="preserve">  1#地下车库-1 层-1356</t>
  </si>
  <si>
    <t xml:space="preserve">  1#地下车库-1 层-1357</t>
  </si>
  <si>
    <t xml:space="preserve">  1#地下车库-1 层-1358</t>
  </si>
  <si>
    <t xml:space="preserve">  1#地下车库-1 层-1359</t>
  </si>
  <si>
    <t xml:space="preserve">  1#地下车库-1 层-1360</t>
  </si>
  <si>
    <t xml:space="preserve">  1#地下车库-1 层-1361</t>
  </si>
  <si>
    <t xml:space="preserve">  1#地下车库-1 层-1364</t>
  </si>
  <si>
    <t xml:space="preserve">  1#地下车库-1 层-1366</t>
  </si>
  <si>
    <t xml:space="preserve">  1#地下车库-1 层-1367</t>
  </si>
  <si>
    <t xml:space="preserve">  1#地下车库-1 层-1370</t>
  </si>
  <si>
    <t xml:space="preserve">  1#地下车库-1 层-1372</t>
  </si>
  <si>
    <t xml:space="preserve">  1#地下车库-1 层-1373</t>
  </si>
  <si>
    <t xml:space="preserve">  1#地下车库-1 层-1374</t>
  </si>
  <si>
    <t xml:space="preserve">  1#地下车库-1 层-1375</t>
  </si>
  <si>
    <t xml:space="preserve">  1#地下车库-1 层-1376</t>
  </si>
  <si>
    <t xml:space="preserve">  1#地下车库-1 层-1378</t>
  </si>
  <si>
    <t xml:space="preserve">  1#地下车库-1 层-1379</t>
  </si>
  <si>
    <t xml:space="preserve">  1#地下车库-1 层-1381</t>
  </si>
  <si>
    <t xml:space="preserve">  1#地下车库-1 层-1384</t>
  </si>
  <si>
    <t xml:space="preserve">  1#地下车库-1 层-1386</t>
  </si>
  <si>
    <t xml:space="preserve">  1#地下车库-1 层-1387</t>
  </si>
  <si>
    <t xml:space="preserve">  1#地下车库-1 层-1388</t>
  </si>
  <si>
    <t xml:space="preserve">  1#地下车库-1 层-1389</t>
  </si>
  <si>
    <t xml:space="preserve">  1#地下车库-1 层-1390</t>
  </si>
  <si>
    <t xml:space="preserve">  1#地下车库-1 层-1392</t>
  </si>
  <si>
    <t xml:space="preserve">  1#地下车库-1 层-1393</t>
  </si>
  <si>
    <t xml:space="preserve">  1#地下车库-1 层-1394</t>
  </si>
  <si>
    <t xml:space="preserve">  1#地下车库-1 层-1395</t>
  </si>
  <si>
    <t xml:space="preserve">  1#地下车库-1 层-1396</t>
  </si>
  <si>
    <t xml:space="preserve">  1#地下车库-1 层-1398</t>
  </si>
  <si>
    <t xml:space="preserve">  1#地下车库-1 层-1399</t>
  </si>
  <si>
    <t xml:space="preserve">  1#地下车库-1 层-1400</t>
  </si>
  <si>
    <t xml:space="preserve">  1#地下车库-1 层-1401</t>
  </si>
  <si>
    <t xml:space="preserve">  1#地下车库-1 层-1402</t>
  </si>
  <si>
    <t xml:space="preserve">  1#地下车库-1 层-1403</t>
  </si>
  <si>
    <t xml:space="preserve">  1#地下车库-1 层-1404</t>
  </si>
  <si>
    <t xml:space="preserve">  1#地下车库-1 层-1405</t>
  </si>
  <si>
    <t xml:space="preserve">  1#地下车库-1 层-1411</t>
  </si>
  <si>
    <t xml:space="preserve">  1#地下车库-1 层-1412</t>
  </si>
  <si>
    <t xml:space="preserve">  1#地下车库-1 层-1413</t>
  </si>
  <si>
    <t xml:space="preserve">  1#地下车库-1 层-1414</t>
  </si>
  <si>
    <t xml:space="preserve">  1#地下车库-1 层-1415</t>
  </si>
  <si>
    <t xml:space="preserve">  1#地下车库-1 层-1416</t>
  </si>
  <si>
    <t xml:space="preserve">  1#地下车库-1 层-1417</t>
  </si>
  <si>
    <t xml:space="preserve">  1#地下车库-1 层-1418</t>
  </si>
  <si>
    <t xml:space="preserve">  1#地下车库-1 层-1419</t>
  </si>
  <si>
    <t xml:space="preserve">  1#地下车库-1 层-1420</t>
  </si>
  <si>
    <t xml:space="preserve">  1#地下车库-1 层-1421</t>
  </si>
  <si>
    <t xml:space="preserve">  1#地下车库-1 层-1422</t>
  </si>
  <si>
    <t xml:space="preserve">  1#地下车库-1 层-1423</t>
  </si>
  <si>
    <t xml:space="preserve">  1#地下车库-1 层-1424</t>
  </si>
  <si>
    <t xml:space="preserve">  1#地下车库-1 层-1429</t>
  </si>
  <si>
    <t xml:space="preserve">  1#地下车库-1 层-1432</t>
  </si>
  <si>
    <t xml:space="preserve">  1#地下车库-1 层-1433</t>
  </si>
  <si>
    <t xml:space="preserve">  1#地下车库-1 层-1436</t>
  </si>
  <si>
    <t xml:space="preserve">  1#地下车库-1 层-1437</t>
  </si>
  <si>
    <t xml:space="preserve">  1#地下车库-1 层-1438</t>
  </si>
  <si>
    <t xml:space="preserve">  1#地下车库-1 层-1439</t>
  </si>
  <si>
    <t xml:space="preserve">  1#地下车库-1 层-1440</t>
  </si>
  <si>
    <t xml:space="preserve">  1#地下车库-1 层-1441</t>
  </si>
  <si>
    <t xml:space="preserve">  1#地下车库-1 层-1442</t>
  </si>
  <si>
    <t xml:space="preserve">  1#地下车库-1 层-1443</t>
  </si>
  <si>
    <t xml:space="preserve">  1#地下车库-1 层-1444</t>
  </si>
  <si>
    <t xml:space="preserve">  1#地下车库-1 层-1445</t>
  </si>
  <si>
    <t xml:space="preserve">  1#地下车库-1 层-1446</t>
  </si>
  <si>
    <t xml:space="preserve">  1#地下车库-1 层-1447</t>
  </si>
  <si>
    <t xml:space="preserve">  1#地下车库-1 层-1448</t>
  </si>
  <si>
    <t xml:space="preserve">  1#地下车库-1 层-1449</t>
  </si>
  <si>
    <t xml:space="preserve">  1#地下车库-1 层-1450</t>
  </si>
  <si>
    <t xml:space="preserve">  1#地下车库-1 层-1451</t>
  </si>
  <si>
    <t xml:space="preserve">  1#地下车库-1 层-1452</t>
  </si>
  <si>
    <t xml:space="preserve">  1#地下车库-1 层-1453</t>
  </si>
  <si>
    <t xml:space="preserve">  1#地下车库-1 层-1454</t>
  </si>
  <si>
    <t xml:space="preserve">  1#地下车库-1 层-1455</t>
  </si>
  <si>
    <t xml:space="preserve">  1#地下车库-1 层-1456</t>
  </si>
  <si>
    <t xml:space="preserve">  1#地下车库-1 层-1457</t>
  </si>
  <si>
    <t xml:space="preserve">  1#地下车库-1 层-1458</t>
  </si>
  <si>
    <t xml:space="preserve">  1#地下车库-1 层-1459</t>
  </si>
  <si>
    <t xml:space="preserve">  1#地下车库-1 层-1460</t>
  </si>
  <si>
    <t xml:space="preserve">  1#地下车库-1 层-1461</t>
  </si>
  <si>
    <t xml:space="preserve">  1#地下车库-1 层-1462</t>
  </si>
  <si>
    <t xml:space="preserve">  1#地下车库-1 层-1463</t>
  </si>
  <si>
    <t xml:space="preserve">  1#地下车库-1 层-1464</t>
  </si>
  <si>
    <t xml:space="preserve">  1#地下车库-1 层-1465</t>
  </si>
  <si>
    <t xml:space="preserve">  1#地下车库-1 层-1466</t>
  </si>
  <si>
    <t xml:space="preserve">  1#地下车库-1 层-1467</t>
  </si>
  <si>
    <t xml:space="preserve">  1#地下车库-1 层-1469</t>
  </si>
  <si>
    <t xml:space="preserve">  1#地下车库-1 层-1470</t>
  </si>
  <si>
    <t xml:space="preserve">  1#地下车库-1 层-1471</t>
  </si>
  <si>
    <t xml:space="preserve">  1#地下车库-1 层-1472</t>
  </si>
  <si>
    <t xml:space="preserve">  1#地下车库-1 层-1473</t>
  </si>
  <si>
    <t xml:space="preserve">  1#地下车库-1 层-1475</t>
  </si>
  <si>
    <t xml:space="preserve">  1#地下车库-1 层-1476</t>
  </si>
  <si>
    <t xml:space="preserve">  1#地下车库-1 层-1477</t>
  </si>
  <si>
    <t xml:space="preserve">  1#地下车库-1 层-1478</t>
  </si>
  <si>
    <t xml:space="preserve">  1#地下车库-1 层-1479</t>
  </si>
  <si>
    <t xml:space="preserve">  1#地下车库-1 层-1480</t>
  </si>
  <si>
    <t xml:space="preserve">  1#地下车库-1 层-1482</t>
  </si>
  <si>
    <t xml:space="preserve">  1#地下车库-1 层-1485</t>
  </si>
  <si>
    <t xml:space="preserve">  1#地下车库-1 层-1488</t>
  </si>
  <si>
    <t xml:space="preserve">  1#地下车库-1 层-1489</t>
  </si>
  <si>
    <t xml:space="preserve">  1#地下车库-1 层-1491</t>
  </si>
  <si>
    <t xml:space="preserve">  1#地下车库-1 层-1492</t>
  </si>
  <si>
    <t xml:space="preserve">  1#地下车库-1 层-1493</t>
  </si>
  <si>
    <t xml:space="preserve">  1#地下车库-1 层-1494</t>
  </si>
  <si>
    <t xml:space="preserve">  1#地下车库-1 层-1495</t>
  </si>
  <si>
    <t xml:space="preserve">  1#地下车库-1 层-1497</t>
  </si>
  <si>
    <t xml:space="preserve">  1#地下车库-1 层-1498</t>
  </si>
  <si>
    <t xml:space="preserve">  1#地下车库-1 层-1499</t>
  </si>
  <si>
    <t xml:space="preserve">  1#地下车库-1 层-1501</t>
  </si>
  <si>
    <t xml:space="preserve">  1#地下车库-1 层-1502</t>
  </si>
  <si>
    <t xml:space="preserve">  1#地下车库-1 层-1503</t>
  </si>
  <si>
    <t xml:space="preserve">  1#地下车库-1 层-1504</t>
  </si>
  <si>
    <t xml:space="preserve">  1#地下车库-1 层-1505</t>
  </si>
  <si>
    <t xml:space="preserve">  1#地下车库-1 层-1506</t>
  </si>
  <si>
    <t xml:space="preserve">  1#地下车库-1 层-1507</t>
  </si>
  <si>
    <t xml:space="preserve">  1#地下车库-1 层-1509</t>
  </si>
  <si>
    <t xml:space="preserve">  1#地下车库-1 层-1510</t>
  </si>
  <si>
    <t xml:space="preserve">  1#地下车库-1 层-1511</t>
  </si>
  <si>
    <t xml:space="preserve">  1#地下车库-1 层-1512</t>
  </si>
  <si>
    <t xml:space="preserve">  1#地下车库-1 层-1513</t>
  </si>
  <si>
    <t xml:space="preserve">  1#地下车库-1 层-1514</t>
  </si>
  <si>
    <t xml:space="preserve">  1#地下车库-1 层-1515</t>
  </si>
  <si>
    <t xml:space="preserve">  1#地下车库-1 层-1516</t>
  </si>
  <si>
    <t xml:space="preserve">  1#地下车库-1 层-1517</t>
  </si>
  <si>
    <t xml:space="preserve">  1#地下车库-1 层-1518</t>
  </si>
  <si>
    <t xml:space="preserve">  1#地下车库-1 层-1519</t>
  </si>
  <si>
    <t xml:space="preserve">  1#地下车库-1 层-1520</t>
  </si>
  <si>
    <t xml:space="preserve">  1#地下车库-1 层-1521</t>
  </si>
  <si>
    <t xml:space="preserve">  1#地下车库-1 层-1522</t>
  </si>
  <si>
    <t xml:space="preserve">  1#地下车库-1 层-1523</t>
  </si>
  <si>
    <t xml:space="preserve">  1#地下车库-1 层-1524</t>
  </si>
  <si>
    <t xml:space="preserve">  1#地下车库-1 层-1525</t>
  </si>
  <si>
    <t xml:space="preserve">  1#地下车库-1 层-1526</t>
  </si>
  <si>
    <t xml:space="preserve">  1#地下车库-1 层-1527</t>
  </si>
  <si>
    <t xml:space="preserve">  1#地下车库-1 层-1528</t>
  </si>
  <si>
    <t xml:space="preserve">  1#地下车库-1 层-1529</t>
  </si>
  <si>
    <t xml:space="preserve">  1#地下车库-1 层-1530</t>
  </si>
  <si>
    <t xml:space="preserve">  1#地下车库-1 层-1531</t>
  </si>
  <si>
    <t xml:space="preserve">  1#地下车库-1 层-1537</t>
  </si>
  <si>
    <t xml:space="preserve">  1#地下车库-1 层-1538</t>
  </si>
  <si>
    <t xml:space="preserve">  1#地下车库-1 层-1539</t>
  </si>
  <si>
    <t xml:space="preserve">  1#地下车库-1 层-1540</t>
  </si>
  <si>
    <t xml:space="preserve">  1#地下车库-1 层-1541</t>
  </si>
  <si>
    <t xml:space="preserve">  1#地下车库-1 层-1542</t>
  </si>
  <si>
    <t xml:space="preserve">  1#地下车库-1 层-1543</t>
  </si>
  <si>
    <t xml:space="preserve">  1#地下车库-1 层-1544</t>
  </si>
  <si>
    <t xml:space="preserve">  1#地下车库-1 层-1545</t>
  </si>
  <si>
    <t xml:space="preserve">  1#地下车库-1 层-1546</t>
  </si>
  <si>
    <t xml:space="preserve">  1#地下车库-1 层-1547</t>
  </si>
  <si>
    <t xml:space="preserve">  1#地下车库-1 层-1548</t>
  </si>
  <si>
    <t xml:space="preserve">  1#地下车库-1 层-1549</t>
  </si>
  <si>
    <t xml:space="preserve">  1#地下车库-1 层-1550</t>
  </si>
  <si>
    <t xml:space="preserve">  1#地下车库-1 层-1551</t>
  </si>
  <si>
    <t xml:space="preserve">  1#地下车库-1 层-1552</t>
  </si>
  <si>
    <t xml:space="preserve">  1#地下车库-1 层-1553</t>
  </si>
  <si>
    <t xml:space="preserve">  1#地下车库-1 层-1554</t>
  </si>
  <si>
    <t xml:space="preserve">  1#地下车库-1 层-1556</t>
  </si>
  <si>
    <t xml:space="preserve">  1#地下车库-1 层-1557</t>
  </si>
  <si>
    <t xml:space="preserve">  1#地下车库-1 层-1558</t>
  </si>
  <si>
    <t xml:space="preserve">  1#地下车库-1 层-1559</t>
  </si>
  <si>
    <t xml:space="preserve">  1#地下车库-1 层-1560</t>
  </si>
  <si>
    <t xml:space="preserve">  1#地下车库-1 层-1564</t>
  </si>
  <si>
    <t xml:space="preserve">  1#地下车库-1 层-1567</t>
  </si>
  <si>
    <t xml:space="preserve">  1#地下车库-1 层-1568</t>
  </si>
  <si>
    <t xml:space="preserve">  1#地下车库-1 层-1578</t>
  </si>
  <si>
    <t xml:space="preserve">  1#地下车库-1 层-1579</t>
  </si>
  <si>
    <t xml:space="preserve">  1#地下车库-1 层-1580</t>
  </si>
  <si>
    <t xml:space="preserve">  1#地下车库-1 层-1581</t>
  </si>
  <si>
    <t xml:space="preserve">  1#地下车库-1 层-1584</t>
  </si>
  <si>
    <t xml:space="preserve">  1#地下车库-1 层-1586</t>
  </si>
  <si>
    <t xml:space="preserve">  1#地下车库-1 层-1587</t>
  </si>
  <si>
    <t xml:space="preserve">  1#地下车库-1 层-1588</t>
  </si>
  <si>
    <t xml:space="preserve">  1#地下车库-2层-2002</t>
  </si>
  <si>
    <t xml:space="preserve">  1#地下车库-2层-2003</t>
  </si>
  <si>
    <t xml:space="preserve">  1#地下车库-2层-2004</t>
  </si>
  <si>
    <t xml:space="preserve">  1#地下车库-2层-2005</t>
  </si>
  <si>
    <t xml:space="preserve">  1#地下车库-2层-2006</t>
  </si>
  <si>
    <t xml:space="preserve">  1#地下车库-2层-2007</t>
  </si>
  <si>
    <t xml:space="preserve">  1#地下车库-2层-2008</t>
  </si>
  <si>
    <t xml:space="preserve">  1#地下车库-2层-2009</t>
  </si>
  <si>
    <t xml:space="preserve">  1#地下车库-2层-2010</t>
  </si>
  <si>
    <t xml:space="preserve">  1#地下车库-2层-2011</t>
  </si>
  <si>
    <t xml:space="preserve">  1#地下车库-2层-2012</t>
  </si>
  <si>
    <t xml:space="preserve">  1#地下车库-2层-2013</t>
  </si>
  <si>
    <t xml:space="preserve">  1#地下车库-2层-2014</t>
  </si>
  <si>
    <t xml:space="preserve">  1#地下车库-2层-2015</t>
  </si>
  <si>
    <t xml:space="preserve">  1#地下车库-2层-2016</t>
  </si>
  <si>
    <t xml:space="preserve">  1#地下车库-2层-2017</t>
  </si>
  <si>
    <t xml:space="preserve">  1#地下车库-2层-2018</t>
  </si>
  <si>
    <t xml:space="preserve">  1#地下车库-2层-2019</t>
  </si>
  <si>
    <t xml:space="preserve">  1#地下车库-2层-2020</t>
  </si>
  <si>
    <t xml:space="preserve">  1#地下车库-2层-2021</t>
  </si>
  <si>
    <t xml:space="preserve">  1#地下车库-2层-2022</t>
  </si>
  <si>
    <t xml:space="preserve">  1#地下车库-2层-2023</t>
  </si>
  <si>
    <t xml:space="preserve">  1#地下车库-2层-2024</t>
  </si>
  <si>
    <t xml:space="preserve">  1#地下车库-2层-2025</t>
  </si>
  <si>
    <t xml:space="preserve">  1#地下车库-2层-2026</t>
  </si>
  <si>
    <t xml:space="preserve">  1#地下车库-2层-2027</t>
  </si>
  <si>
    <t xml:space="preserve">  1#地下车库-2层-2028</t>
  </si>
  <si>
    <t xml:space="preserve">  1#地下车库-2层-2029</t>
  </si>
  <si>
    <t xml:space="preserve">  1#地下车库-2层-2030</t>
  </si>
  <si>
    <t xml:space="preserve">  1#地下车库-2层-2031</t>
  </si>
  <si>
    <t xml:space="preserve">  1#地下车库-2层-2032</t>
  </si>
  <si>
    <t xml:space="preserve">  1#地下车库-2层-2033</t>
  </si>
  <si>
    <t xml:space="preserve">  1#地下车库-2层-2034</t>
  </si>
  <si>
    <t xml:space="preserve">  1#地下车库-2层-2035</t>
  </si>
  <si>
    <t xml:space="preserve">  1#地下车库-2层-2036</t>
  </si>
  <si>
    <t xml:space="preserve">  1#地下车库-2层-2037</t>
  </si>
  <si>
    <t xml:space="preserve">  1#地下车库-2层-2038</t>
  </si>
  <si>
    <t xml:space="preserve">  1#地下车库-2层-2039</t>
  </si>
  <si>
    <t xml:space="preserve">  1#地下车库-2层-2040</t>
  </si>
  <si>
    <t xml:space="preserve">  1#地下车库-2层-2041</t>
  </si>
  <si>
    <t xml:space="preserve">  1#地下车库-2层-2042</t>
  </si>
  <si>
    <t xml:space="preserve">  1#地下车库-2层-2043</t>
  </si>
  <si>
    <t xml:space="preserve">  1#地下车库-2层-2048</t>
  </si>
  <si>
    <t xml:space="preserve">  1#地下车库-2层-2051</t>
  </si>
  <si>
    <t xml:space="preserve">  1#地下车库-2层-2052</t>
  </si>
  <si>
    <t xml:space="preserve">  1#地下车库-2层-2053</t>
  </si>
  <si>
    <t xml:space="preserve">  1#地下车库-2层-2054</t>
  </si>
  <si>
    <t xml:space="preserve">  1#地下车库-2层-2055</t>
  </si>
  <si>
    <t xml:space="preserve">  1#地下车库-2层-2056</t>
  </si>
  <si>
    <t xml:space="preserve">  1#地下车库-2层-2057</t>
  </si>
  <si>
    <t xml:space="preserve">  1#地下车库-2层-2058</t>
  </si>
  <si>
    <t xml:space="preserve">  1#地下车库-2层-2059</t>
  </si>
  <si>
    <t xml:space="preserve">  1#地下车库-2层-2061</t>
  </si>
  <si>
    <t xml:space="preserve">  1#地下车库-2层-2062</t>
  </si>
  <si>
    <t xml:space="preserve">  1#地下车库-2层-2063</t>
  </si>
  <si>
    <t xml:space="preserve">  1#地下车库-2层-2064</t>
  </si>
  <si>
    <t xml:space="preserve">  1#地下车库-2层-2065</t>
  </si>
  <si>
    <t xml:space="preserve">  1#地下车库-2层-2068</t>
  </si>
  <si>
    <t xml:space="preserve">  1#地下车库-2层-2069</t>
  </si>
  <si>
    <t xml:space="preserve">  1#地下车库-2层-2070</t>
  </si>
  <si>
    <t xml:space="preserve">  1#地下车库-2层-2071</t>
  </si>
  <si>
    <t xml:space="preserve">  1#地下车库-2层-2072</t>
  </si>
  <si>
    <t xml:space="preserve">  1#地下车库-2层-2074</t>
  </si>
  <si>
    <t xml:space="preserve">  1#地下车库-2层-2075</t>
  </si>
  <si>
    <t xml:space="preserve">  1#地下车库-2层-2076</t>
  </si>
  <si>
    <t xml:space="preserve">  1#地下车库-2层-2077</t>
  </si>
  <si>
    <t xml:space="preserve">  1#地下车库-2层-2078</t>
  </si>
  <si>
    <t xml:space="preserve">  1#地下车库-2层-2080</t>
  </si>
  <si>
    <t xml:space="preserve">  1#地下车库-2层-2081</t>
  </si>
  <si>
    <t xml:space="preserve">  1#地下车库-2层-2082</t>
  </si>
  <si>
    <t xml:space="preserve">  1#地下车库-2层-2083</t>
  </si>
  <si>
    <t xml:space="preserve">  1#地下车库-2层-2084</t>
  </si>
  <si>
    <t xml:space="preserve">  1#地下车库-2层-2088</t>
  </si>
  <si>
    <t xml:space="preserve">  1#地下车库-2层-2089</t>
  </si>
  <si>
    <t xml:space="preserve">  1#地下车库-2层-2090</t>
  </si>
  <si>
    <t xml:space="preserve">  1#地下车库-2层-2092</t>
  </si>
  <si>
    <t xml:space="preserve">  1#地下车库-2层-2093</t>
  </si>
  <si>
    <t xml:space="preserve">  1#地下车库-2层-2094</t>
  </si>
  <si>
    <t xml:space="preserve">  1#地下车库-2层-2095</t>
  </si>
  <si>
    <t xml:space="preserve">  1#地下车库-2层-2096</t>
  </si>
  <si>
    <t xml:space="preserve">  1#地下车库-2层-2097</t>
  </si>
  <si>
    <t xml:space="preserve">  1#地下车库-2层-2098</t>
  </si>
  <si>
    <t xml:space="preserve">  1#地下车库-2层-2099</t>
  </si>
  <si>
    <t xml:space="preserve">  1#地下车库-2层-2100</t>
  </si>
  <si>
    <t xml:space="preserve">  1#地下车库-2层-2101</t>
  </si>
  <si>
    <t xml:space="preserve">  1#地下车库-2层-2102</t>
  </si>
  <si>
    <t xml:space="preserve">  1#地下车库-2层-2103</t>
  </si>
  <si>
    <t xml:space="preserve">  1#地下车库-2层-2104</t>
  </si>
  <si>
    <t xml:space="preserve">  1#地下车库-2层-2105</t>
  </si>
  <si>
    <t xml:space="preserve">  1#地下车库-2层-2106</t>
  </si>
  <si>
    <t xml:space="preserve">  1#地下车库-2层-2107</t>
  </si>
  <si>
    <t xml:space="preserve">  1#地下车库-2层-2108</t>
  </si>
  <si>
    <t xml:space="preserve">  1#地下车库-2层-2109</t>
  </si>
  <si>
    <t xml:space="preserve">  1#地下车库-2层-2110</t>
  </si>
  <si>
    <t xml:space="preserve">  1#地下车库-2层-2111</t>
  </si>
  <si>
    <t xml:space="preserve">  1#地下车库-2层-2112</t>
  </si>
  <si>
    <t xml:space="preserve">  1#地下车库-2层-2113</t>
  </si>
  <si>
    <t xml:space="preserve">  1#地下车库-2层-2114</t>
  </si>
  <si>
    <t xml:space="preserve">  1#地下车库-2层-2115</t>
  </si>
  <si>
    <t xml:space="preserve">  1#地下车库-2层-2116</t>
  </si>
  <si>
    <t xml:space="preserve">  1#地下车库-2层-2118</t>
  </si>
  <si>
    <t xml:space="preserve">  1#地下车库-2层-2120</t>
  </si>
  <si>
    <t xml:space="preserve">  1#地下车库-2层-2121</t>
  </si>
  <si>
    <t xml:space="preserve">  1#地下车库-2层-2122</t>
  </si>
  <si>
    <t xml:space="preserve">  1#地下车库-2层-2123</t>
  </si>
  <si>
    <t xml:space="preserve">  1#地下车库-2层-2124</t>
  </si>
  <si>
    <t xml:space="preserve">  1#地下车库-2层-2125</t>
  </si>
  <si>
    <t xml:space="preserve">  1#地下车库-2层-2126</t>
  </si>
  <si>
    <t xml:space="preserve">  1#地下车库-2层-2127</t>
  </si>
  <si>
    <t xml:space="preserve">  1#地下车库-2层-2128</t>
  </si>
  <si>
    <t xml:space="preserve">  1#地下车库-2层-2129</t>
  </si>
  <si>
    <t xml:space="preserve">  1#地下车库-2层-2130</t>
  </si>
  <si>
    <t xml:space="preserve">  1#地下车库-2层-2131</t>
  </si>
  <si>
    <t xml:space="preserve">  1#地下车库-2层-2132</t>
  </si>
  <si>
    <t xml:space="preserve">  1#地下车库-2层-2133</t>
  </si>
  <si>
    <t xml:space="preserve">  1#地下车库-2层-2134</t>
  </si>
  <si>
    <t xml:space="preserve">  1#地下车库-2层-2135</t>
  </si>
  <si>
    <t xml:space="preserve">  1#地下车库-2层-2136</t>
  </si>
  <si>
    <t xml:space="preserve">  1#地下车库-2层-2137</t>
  </si>
  <si>
    <t xml:space="preserve">  1#地下车库-2层-2138</t>
  </si>
  <si>
    <t xml:space="preserve">  1#地下车库-2层-2139</t>
  </si>
  <si>
    <t xml:space="preserve">  1#地下车库-2层-2140</t>
  </si>
  <si>
    <t xml:space="preserve">  1#地下车库-2层-2141</t>
  </si>
  <si>
    <t xml:space="preserve">  1#地下车库-2层-2143</t>
  </si>
  <si>
    <t xml:space="preserve">  1#地下车库-2层-2144</t>
  </si>
  <si>
    <t xml:space="preserve">  1#地下车库-2层-2145</t>
  </si>
  <si>
    <t xml:space="preserve">  1#地下车库-2层-2146</t>
  </si>
  <si>
    <t xml:space="preserve">  1#地下车库-2层-2147</t>
  </si>
  <si>
    <t xml:space="preserve">  1#地下车库-2层-2148</t>
  </si>
  <si>
    <t xml:space="preserve">  1#地下车库-2层-2149</t>
  </si>
  <si>
    <t xml:space="preserve">  1#地下车库-2层-2151</t>
  </si>
  <si>
    <t xml:space="preserve">  1#地下车库-2层-2152</t>
  </si>
  <si>
    <t xml:space="preserve">  1#地下车库-2层-2153</t>
  </si>
  <si>
    <t xml:space="preserve">  1#地下车库-2层-2154</t>
  </si>
  <si>
    <t xml:space="preserve">  1#地下车库-2层-2155</t>
  </si>
  <si>
    <t xml:space="preserve">  1#地下车库-2层-2156</t>
  </si>
  <si>
    <t xml:space="preserve">  1#地下车库-2层-2158</t>
  </si>
  <si>
    <t xml:space="preserve">  1#地下车库-2层-2159</t>
  </si>
  <si>
    <t xml:space="preserve">  1#地下车库-2层-2160</t>
  </si>
  <si>
    <t xml:space="preserve">  1#地下车库-2层-2161</t>
  </si>
  <si>
    <t xml:space="preserve">  1#地下车库-2层-2162</t>
  </si>
  <si>
    <t xml:space="preserve">  1#地下车库-2层-2163</t>
  </si>
  <si>
    <t xml:space="preserve">  1#地下车库-2层-2164</t>
  </si>
  <si>
    <t xml:space="preserve">  1#地下车库-2层-2165</t>
  </si>
  <si>
    <t xml:space="preserve">  1#地下车库-2层-2166</t>
  </si>
  <si>
    <t xml:space="preserve">  1#地下车库-2层-2167</t>
  </si>
  <si>
    <t xml:space="preserve">  1#地下车库-2层-2168</t>
  </si>
  <si>
    <t xml:space="preserve">  1#地下车库-2层-2169</t>
  </si>
  <si>
    <t xml:space="preserve">  1#地下车库-2层-2170</t>
  </si>
  <si>
    <t xml:space="preserve">  1#地下车库-2层-2171</t>
  </si>
  <si>
    <t xml:space="preserve">  1#地下车库-2层-2172</t>
  </si>
  <si>
    <t xml:space="preserve">  1#地下车库-2层-2173</t>
  </si>
  <si>
    <t xml:space="preserve">  1#地下车库-2层-2174</t>
  </si>
  <si>
    <t xml:space="preserve">  1#地下车库-2层-2176</t>
  </si>
  <si>
    <t xml:space="preserve">  1#地下车库-2层-2177</t>
  </si>
  <si>
    <t xml:space="preserve">  1#地下车库-2层-2178</t>
  </si>
  <si>
    <t xml:space="preserve">  1#地下车库-2层-2179</t>
  </si>
  <si>
    <t xml:space="preserve">  1#地下车库-2层-2180</t>
  </si>
  <si>
    <t xml:space="preserve">  1#地下车库-2层-2181</t>
  </si>
  <si>
    <t xml:space="preserve">  1#地下车库-2层-2182</t>
  </si>
  <si>
    <t xml:space="preserve">  1#地下车库-2层-2183</t>
  </si>
  <si>
    <t xml:space="preserve">  1#地下车库-2层-2184</t>
  </si>
  <si>
    <t xml:space="preserve">  1#地下车库-1层-1001</t>
  </si>
  <si>
    <t xml:space="preserve">  1#地下车库-1 层-1009</t>
  </si>
  <si>
    <t xml:space="preserve">  1#地下车库-1 层-1024</t>
  </si>
  <si>
    <t xml:space="preserve">  1#地下车库-1 层-1025</t>
  </si>
  <si>
    <t xml:space="preserve">  1#地下车库-1 层-1026</t>
  </si>
  <si>
    <t xml:space="preserve">  1#地下车库-1 层-1028</t>
  </si>
  <si>
    <t xml:space="preserve">  1#地下车库-1 层-1030</t>
  </si>
  <si>
    <t xml:space="preserve">  1#地下车库-1 层-1045</t>
  </si>
  <si>
    <t xml:space="preserve">  1#地下车库-1 层-1048</t>
  </si>
  <si>
    <t xml:space="preserve">  1#地下车库-1 层-1049</t>
  </si>
  <si>
    <t xml:space="preserve">  1#地下车库-1 层-1053</t>
  </si>
  <si>
    <t xml:space="preserve">  1#地下车库-1 层-1056</t>
  </si>
  <si>
    <t xml:space="preserve">  1#地下车库-1 层-1061</t>
  </si>
  <si>
    <t xml:space="preserve">  1#地下车库-1 层-1062</t>
  </si>
  <si>
    <t xml:space="preserve">  1#地下车库-1 层-1068</t>
  </si>
  <si>
    <t xml:space="preserve">  1#地下车库-1 层-1074</t>
  </si>
  <si>
    <t xml:space="preserve">  1#地下车库-1 层-1080</t>
  </si>
  <si>
    <t xml:space="preserve">  1#地下车库-1 层-1082</t>
  </si>
  <si>
    <t xml:space="preserve">  1#地下车库-1 层-1083</t>
  </si>
  <si>
    <t xml:space="preserve">  1#地下车库-1 层-1086</t>
  </si>
  <si>
    <t xml:space="preserve">  1#地下车库-1 层-1092</t>
  </si>
  <si>
    <t xml:space="preserve">  1#地下车库-1 层-1104</t>
  </si>
  <si>
    <t xml:space="preserve">  1#地下车库-1 层-1110</t>
  </si>
  <si>
    <t xml:space="preserve">  1#地下车库-1 层-1112</t>
  </si>
  <si>
    <t xml:space="preserve">  1#地下车库-1 层-1113</t>
  </si>
  <si>
    <t xml:space="preserve">  1#地下车库-1 层-1125</t>
  </si>
  <si>
    <t xml:space="preserve">  1#地下车库-1 层-1126</t>
  </si>
  <si>
    <t xml:space="preserve">  1#地下车库-1 层-1133</t>
  </si>
  <si>
    <t xml:space="preserve">  1#地下车库-1 层-1134</t>
  </si>
  <si>
    <t xml:space="preserve">  1#地下车库-1 层-1140</t>
  </si>
  <si>
    <t xml:space="preserve">  1#地下车库-1 层-1154</t>
  </si>
  <si>
    <t xml:space="preserve">  1#地下车库-1 层-1161</t>
  </si>
  <si>
    <t xml:space="preserve">  1#地下车库-1 层-1167</t>
  </si>
  <si>
    <t xml:space="preserve">  1#地下车库-1 层-1168</t>
  </si>
  <si>
    <t xml:space="preserve">  1#地下车库-1 层-1170</t>
  </si>
  <si>
    <t xml:space="preserve">  1#地下车库-1 层-1176</t>
  </si>
  <si>
    <t xml:space="preserve">  1#地下车库-1 层-1182</t>
  </si>
  <si>
    <t xml:space="preserve">  1#地下车库-1 层-1183</t>
  </si>
  <si>
    <t xml:space="preserve">  1#地下车库-1 层-1184</t>
  </si>
  <si>
    <t xml:space="preserve">  1#地下车库-1 层-1190</t>
  </si>
  <si>
    <t xml:space="preserve">  1#地下车库-1 层-1207</t>
  </si>
  <si>
    <t xml:space="preserve">  1#地下车库-1 层-1215</t>
  </si>
  <si>
    <t xml:space="preserve">  1#地下车库-1 层-1243</t>
  </si>
  <si>
    <t xml:space="preserve">  1#地下车库-1 层-1245</t>
  </si>
  <si>
    <t xml:space="preserve">  1#地下车库-1 层-1248</t>
  </si>
  <si>
    <t xml:space="preserve">  1#地下车库-1 层-1257</t>
  </si>
  <si>
    <t xml:space="preserve">  1#地下车库-1 层-1258</t>
  </si>
  <si>
    <t xml:space="preserve">  1#地下车库-1 层-1268</t>
  </si>
  <si>
    <t xml:space="preserve">  1#地下车库-1 层-1276</t>
  </si>
  <si>
    <t xml:space="preserve">  1#地下车库-1 层-1281</t>
  </si>
  <si>
    <t xml:space="preserve">  1#地下车库-1 层-1298</t>
  </si>
  <si>
    <t xml:space="preserve">  1#地下车库-1 层-1301</t>
  </si>
  <si>
    <t xml:space="preserve">  1#地下车库-1 层-1302</t>
  </si>
  <si>
    <t xml:space="preserve">  1#地下车库-1 层-1303</t>
  </si>
  <si>
    <t xml:space="preserve">  1#地下车库-1 层-1304</t>
  </si>
  <si>
    <t xml:space="preserve">  1#地下车库-1 层-1305</t>
  </si>
  <si>
    <t xml:space="preserve">  1#地下车库-1 层-1307</t>
  </si>
  <si>
    <t xml:space="preserve">  1#地下车库-1 层-1311</t>
  </si>
  <si>
    <t xml:space="preserve">  1#地下车库-1 层-1330</t>
  </si>
  <si>
    <t xml:space="preserve">  1#地下车库-1 层-1331</t>
  </si>
  <si>
    <t xml:space="preserve">  1#地下车库-1 层-1362</t>
  </si>
  <si>
    <t xml:space="preserve">  1#地下车库-1 层-1363</t>
  </si>
  <si>
    <t xml:space="preserve">  1#地下车库-1 层-1365</t>
  </si>
  <si>
    <t xml:space="preserve">  1#地下车库-1 层-1368</t>
  </si>
  <si>
    <t xml:space="preserve">  1#地下车库-1 层-1369</t>
  </si>
  <si>
    <t xml:space="preserve">  1#地下车库-1 层-1371</t>
  </si>
  <si>
    <t xml:space="preserve">  1#地下车库-1 层-1377</t>
  </si>
  <si>
    <t xml:space="preserve">  1#地下车库-1 层-1380</t>
  </si>
  <si>
    <t xml:space="preserve">  1#地下车库-1 层-1382</t>
  </si>
  <si>
    <t xml:space="preserve">  1#地下车库-1 层-1383</t>
  </si>
  <si>
    <t xml:space="preserve">  1#地下车库-1 层-1385</t>
  </si>
  <si>
    <t xml:space="preserve">  1#地下车库-1 层-1391</t>
  </si>
  <si>
    <t xml:space="preserve">  1#地下车库-1 层-1397</t>
  </si>
  <si>
    <t xml:space="preserve">  1#地下车库-1 层-1406</t>
  </si>
  <si>
    <t xml:space="preserve">  1#地下车库-1 层-1407</t>
  </si>
  <si>
    <t xml:space="preserve">  1#地下车库-1 层-1408</t>
  </si>
  <si>
    <t xml:space="preserve">  1#地下车库-1 层-1409</t>
  </si>
  <si>
    <t xml:space="preserve">  1#地下车库-1 层-1410</t>
  </si>
  <si>
    <t xml:space="preserve">  1#地下车库-1 层-1425</t>
  </si>
  <si>
    <t xml:space="preserve">  1#地下车库-1 层-1426</t>
  </si>
  <si>
    <t xml:space="preserve">  1#地下车库-1 层-1427</t>
  </si>
  <si>
    <t xml:space="preserve">  1#地下车库-1 层-1428</t>
  </si>
  <si>
    <t xml:space="preserve">  1#地下车库-1 层-1430</t>
  </si>
  <si>
    <t xml:space="preserve">  1#地下车库-1 层-1431</t>
  </si>
  <si>
    <t xml:space="preserve">  1#地下车库-1 层-1434</t>
  </si>
  <si>
    <t xml:space="preserve">  1#地下车库-1 层-1435</t>
  </si>
  <si>
    <t xml:space="preserve">  1#地下车库-1 层-1468</t>
  </si>
  <si>
    <t xml:space="preserve">  1#地下车库-1 层-1474</t>
  </si>
  <si>
    <t xml:space="preserve">  1#地下车库-1 层-1481</t>
  </si>
  <si>
    <t xml:space="preserve">  1#地下车库-1 层-1483</t>
  </si>
  <si>
    <t xml:space="preserve">  1#地下车库-1 层-1484</t>
  </si>
  <si>
    <t xml:space="preserve">  1#地下车库-1 层-1486</t>
  </si>
  <si>
    <t xml:space="preserve">  1#地下车库-1 层-1487</t>
  </si>
  <si>
    <t xml:space="preserve">  1#地下车库-1 层-1490</t>
  </si>
  <si>
    <t xml:space="preserve">  1#地下车库-1 层-1496</t>
  </si>
  <si>
    <t xml:space="preserve">  1#地下车库-1 层-1500</t>
  </si>
  <si>
    <t xml:space="preserve">  1#地下车库-1 层-1508</t>
  </si>
  <si>
    <t xml:space="preserve">  1#地下车库-1 层-1532</t>
  </si>
  <si>
    <t xml:space="preserve">  1#地下车库-1 层-1533</t>
  </si>
  <si>
    <t xml:space="preserve">  1#地下车库-1 层-1534</t>
  </si>
  <si>
    <t xml:space="preserve">  1#地下车库-1 层-1535</t>
  </si>
  <si>
    <t xml:space="preserve">  1#地下车库-1 层-1536</t>
  </si>
  <si>
    <t xml:space="preserve">  1#地下车库-1 层-1555</t>
  </si>
  <si>
    <t xml:space="preserve">  1#地下车库-1 层-1561</t>
  </si>
  <si>
    <t xml:space="preserve">  1#地下车库-1 层-1562</t>
  </si>
  <si>
    <t xml:space="preserve">  1#地下车库-1 层-1563</t>
  </si>
  <si>
    <t xml:space="preserve">  1#地下车库-1 层-1565</t>
  </si>
  <si>
    <t xml:space="preserve">  1#地下车库-1 层-1566</t>
  </si>
  <si>
    <t xml:space="preserve">  1#地下车库-1 层-1569</t>
  </si>
  <si>
    <t xml:space="preserve">  1#地下车库-1 层-1570</t>
  </si>
  <si>
    <t xml:space="preserve">  1#地下车库-1 层-1571</t>
  </si>
  <si>
    <t xml:space="preserve">  1#地下车库-1 层-1572</t>
  </si>
  <si>
    <t xml:space="preserve">  1#地下车库-1 层-1573</t>
  </si>
  <si>
    <t xml:space="preserve">  1#地下车库-1 层-1574</t>
  </si>
  <si>
    <t xml:space="preserve">  1#地下车库-1 层-1575</t>
  </si>
  <si>
    <t xml:space="preserve">  1#地下车库-1 层-1576</t>
  </si>
  <si>
    <t xml:space="preserve">  1#地下车库-1 层-1577</t>
  </si>
  <si>
    <t xml:space="preserve">  1#地下车库-1 层-1582</t>
  </si>
  <si>
    <t xml:space="preserve">  1#地下车库-1 层-1583</t>
  </si>
  <si>
    <t xml:space="preserve">  1#地下车库-1 层-1585</t>
  </si>
  <si>
    <t xml:space="preserve">  1#地下车库-2层-2001</t>
  </si>
  <si>
    <t xml:space="preserve">  1#地下车库-2层-2044</t>
  </si>
  <si>
    <t xml:space="preserve">  1#地下车库-2层-2045</t>
  </si>
  <si>
    <t xml:space="preserve">  1#地下车库-2层-2046</t>
  </si>
  <si>
    <t xml:space="preserve">  1#地下车库-2层-2047</t>
  </si>
  <si>
    <t xml:space="preserve">  1#地下车库-2层-2049</t>
  </si>
  <si>
    <t xml:space="preserve">  1#地下车库-2层-2050</t>
  </si>
  <si>
    <t xml:space="preserve">  1#地下车库-2层-2060</t>
  </si>
  <si>
    <t xml:space="preserve">  1#地下车库-2层-2066</t>
  </si>
  <si>
    <t xml:space="preserve">  1#地下车库-2层-2067</t>
  </si>
  <si>
    <t xml:space="preserve">  1#地下车库-2层-2073</t>
  </si>
  <si>
    <t xml:space="preserve">  1#地下车库-2层-2079</t>
  </si>
  <si>
    <t xml:space="preserve">  1#地下车库-2层-2085</t>
  </si>
  <si>
    <t xml:space="preserve">  1#地下车库-2层-2086</t>
  </si>
  <si>
    <t xml:space="preserve">  1#地下车库-2层-2087</t>
  </si>
  <si>
    <t xml:space="preserve">  1#地下车库-2层-2091</t>
  </si>
  <si>
    <t xml:space="preserve">  1#地下车库-2层-2117</t>
  </si>
  <si>
    <t xml:space="preserve">  1#地下车库-2层-2119</t>
  </si>
  <si>
    <t xml:space="preserve">  1#地下车库-2层-2142</t>
  </si>
  <si>
    <t xml:space="preserve">  1#地下车库-2层-2150</t>
  </si>
  <si>
    <t xml:space="preserve">  1#地下车库-2层-2157</t>
  </si>
  <si>
    <t xml:space="preserve">  1#地下车库-2层-2175</t>
  </si>
  <si>
    <t xml:space="preserve">  1#地下车库-2层-2185</t>
  </si>
  <si>
    <t xml:space="preserve">  1#地下车库-2层-2186</t>
  </si>
  <si>
    <t xml:space="preserve">  1#地下车库-2层-2187</t>
  </si>
  <si>
    <t xml:space="preserve"> 10#住宅楼-2层-201</t>
  </si>
  <si>
    <t xml:space="preserve"> 10#住宅楼-2层-202</t>
  </si>
  <si>
    <t xml:space="preserve"> 10#住宅楼-2层-203</t>
  </si>
  <si>
    <t xml:space="preserve"> 10#住宅楼-2层-204</t>
  </si>
  <si>
    <t xml:space="preserve"> 12#住宅楼-1层-101</t>
  </si>
  <si>
    <t xml:space="preserve"> 12#住宅楼-1层-102</t>
  </si>
  <si>
    <t xml:space="preserve"> 12#住宅楼-1层-103</t>
  </si>
  <si>
    <t xml:space="preserve"> 12#住宅楼-1层-104</t>
  </si>
  <si>
    <t xml:space="preserve"> 12#住宅楼-1层-105</t>
  </si>
  <si>
    <t xml:space="preserve"> 12#住宅楼-1层-106</t>
  </si>
  <si>
    <t xml:space="preserve"> 12#住宅楼-1层-107</t>
  </si>
  <si>
    <t xml:space="preserve"> 12#住宅楼-1层-108</t>
  </si>
  <si>
    <t xml:space="preserve"> 13#住宅楼-1层-101</t>
  </si>
  <si>
    <t xml:space="preserve"> 13#住宅楼-1层-102</t>
  </si>
  <si>
    <t xml:space="preserve"> 13#住宅楼-1层-103</t>
  </si>
  <si>
    <t xml:space="preserve"> 13#住宅楼-1层-104</t>
  </si>
  <si>
    <t xml:space="preserve"> 13#住宅楼-1层-105</t>
  </si>
  <si>
    <t xml:space="preserve"> 13#住宅楼-1层-106</t>
  </si>
  <si>
    <t xml:space="preserve"> 13#住宅楼-1层-107</t>
  </si>
  <si>
    <t xml:space="preserve"> 13#住宅楼-1层-108</t>
  </si>
  <si>
    <t xml:space="preserve"> 13#住宅楼-1层-109</t>
  </si>
  <si>
    <t xml:space="preserve"> 2#住宅楼-1层-101</t>
  </si>
  <si>
    <t xml:space="preserve"> 2#住宅楼-1层-102</t>
  </si>
  <si>
    <t xml:space="preserve"> 2#住宅楼-1层-103</t>
  </si>
  <si>
    <t xml:space="preserve"> 2#住宅楼-1层-104</t>
  </si>
  <si>
    <t xml:space="preserve"> 2#住宅楼-1层-105</t>
  </si>
  <si>
    <t xml:space="preserve"> 2#住宅楼-1层-106</t>
  </si>
  <si>
    <t xml:space="preserve"> 2#住宅楼-1层-107</t>
  </si>
  <si>
    <t xml:space="preserve"> 2#住宅楼-1层-108</t>
  </si>
  <si>
    <t xml:space="preserve"> 2#住宅楼-1层-109</t>
  </si>
  <si>
    <t xml:space="preserve"> 2#住宅楼-1层-110</t>
  </si>
  <si>
    <t xml:space="preserve"> 3#住宅楼-1层-101</t>
  </si>
  <si>
    <t xml:space="preserve"> 3#住宅楼-1层-102</t>
  </si>
  <si>
    <t xml:space="preserve"> 3#住宅楼-1层-103</t>
  </si>
  <si>
    <t xml:space="preserve"> 3#住宅楼-1层-104</t>
  </si>
  <si>
    <t xml:space="preserve"> 3#住宅楼-1层-105</t>
  </si>
  <si>
    <t xml:space="preserve"> 3#住宅楼-1层-106</t>
  </si>
  <si>
    <t xml:space="preserve"> 3#住宅楼-1层-107</t>
  </si>
  <si>
    <t xml:space="preserve"> 3#住宅楼-1层-108</t>
  </si>
  <si>
    <t xml:space="preserve"> 3#住宅楼-1层-109</t>
  </si>
  <si>
    <t xml:space="preserve"> 3#住宅楼-1层-110</t>
  </si>
  <si>
    <t xml:space="preserve"> 4#住宅楼-1层-101</t>
  </si>
  <si>
    <t xml:space="preserve"> 4#住宅楼-1层-102</t>
  </si>
  <si>
    <t xml:space="preserve"> 4#住宅楼-1层-103</t>
  </si>
  <si>
    <t xml:space="preserve"> 4#住宅楼-1层-104</t>
  </si>
  <si>
    <t xml:space="preserve"> 4#住宅楼-1层-105</t>
  </si>
  <si>
    <t xml:space="preserve"> 4#住宅楼-1层-106</t>
  </si>
  <si>
    <t xml:space="preserve"> 4#住宅楼-1层-107</t>
  </si>
  <si>
    <t xml:space="preserve"> 4#住宅楼-1层-108</t>
  </si>
  <si>
    <t xml:space="preserve"> 5#住宅楼-1层-101</t>
  </si>
  <si>
    <t xml:space="preserve"> 5#住宅楼-1层-102</t>
  </si>
  <si>
    <t xml:space="preserve"> 5#住宅楼-1层-103</t>
  </si>
  <si>
    <t xml:space="preserve"> 5#住宅楼-1层-104</t>
  </si>
  <si>
    <t xml:space="preserve"> 5#住宅楼-1层-105</t>
  </si>
  <si>
    <t xml:space="preserve"> 5#住宅楼-1层-106</t>
  </si>
  <si>
    <t xml:space="preserve"> 5#住宅楼-1层-107</t>
  </si>
  <si>
    <t xml:space="preserve"> 5#住宅楼-1层-108</t>
  </si>
  <si>
    <t xml:space="preserve"> 5#住宅楼-1层-109</t>
  </si>
  <si>
    <t xml:space="preserve"> 5#住宅楼-1层-110</t>
  </si>
  <si>
    <t xml:space="preserve"> 5#住宅楼-2层-201</t>
  </si>
  <si>
    <t xml:space="preserve"> 5#住宅楼-2层-202</t>
  </si>
  <si>
    <t xml:space="preserve"> 5#住宅楼-2层-203</t>
  </si>
  <si>
    <t xml:space="preserve"> 5#住宅楼-2层-204</t>
  </si>
  <si>
    <t xml:space="preserve"> 5#住宅楼-2层-205</t>
  </si>
  <si>
    <t xml:space="preserve"> 5#住宅楼-2层-206</t>
  </si>
  <si>
    <t xml:space="preserve"> 5#住宅楼-2层-207</t>
  </si>
  <si>
    <t xml:space="preserve"> 5#住宅楼-2层-208</t>
  </si>
  <si>
    <t xml:space="preserve"> 5#住宅楼-2层-209</t>
  </si>
  <si>
    <t xml:space="preserve"> 6#住宅楼-1层-101</t>
  </si>
  <si>
    <t xml:space="preserve"> 6#住宅楼-1层-102</t>
  </si>
  <si>
    <t xml:space="preserve"> 6#住宅楼-1层-103</t>
  </si>
  <si>
    <t xml:space="preserve"> 6#住宅楼-1层-104</t>
  </si>
  <si>
    <t xml:space="preserve"> 6#住宅楼-1层-105</t>
  </si>
  <si>
    <t xml:space="preserve"> 6#住宅楼-1层-106</t>
  </si>
  <si>
    <t xml:space="preserve"> 6#住宅楼-1层-107</t>
  </si>
  <si>
    <t xml:space="preserve"> 6#住宅楼-1层-108</t>
  </si>
  <si>
    <t xml:space="preserve"> 6#住宅楼-1层-109</t>
  </si>
  <si>
    <t xml:space="preserve"> 6#住宅楼-1层-110</t>
  </si>
  <si>
    <t xml:space="preserve"> 6#住宅楼-2层-201</t>
  </si>
  <si>
    <t xml:space="preserve"> 6#住宅楼-2层-202</t>
  </si>
  <si>
    <t xml:space="preserve"> 6#住宅楼-2层-203</t>
  </si>
  <si>
    <t xml:space="preserve"> 6#住宅楼-2层-204</t>
  </si>
  <si>
    <t xml:space="preserve"> 6#住宅楼-2层-205</t>
  </si>
  <si>
    <t xml:space="preserve"> 6#住宅楼-2层-206</t>
  </si>
  <si>
    <t xml:space="preserve"> 6#住宅楼-2层-207</t>
  </si>
  <si>
    <t xml:space="preserve"> 6#住宅楼-2层-208</t>
  </si>
  <si>
    <t xml:space="preserve"> 6#住宅楼-2层-209</t>
  </si>
  <si>
    <t xml:space="preserve"> 6#住宅楼-2层-210</t>
  </si>
  <si>
    <t xml:space="preserve"> 6#住宅楼-2层-211</t>
  </si>
  <si>
    <t xml:space="preserve"> 8#住宅楼-1层-101</t>
  </si>
  <si>
    <t xml:space="preserve"> 8#住宅楼-1层-102</t>
  </si>
  <si>
    <t xml:space="preserve"> 8#住宅楼-1层-103</t>
  </si>
  <si>
    <t xml:space="preserve"> 8#住宅楼-1层-104</t>
  </si>
  <si>
    <t xml:space="preserve"> 8#住宅楼-1层-105</t>
  </si>
  <si>
    <t xml:space="preserve"> 8#住宅楼-1层-106</t>
  </si>
  <si>
    <t xml:space="preserve"> 8#住宅楼-1层-107</t>
  </si>
  <si>
    <t xml:space="preserve"> 8#住宅楼-1层-108</t>
  </si>
  <si>
    <t xml:space="preserve"> 8#住宅楼-1层-109</t>
  </si>
  <si>
    <t xml:space="preserve"> 8#住宅楼-1层-110</t>
  </si>
  <si>
    <t xml:space="preserve"> 8#住宅楼-2层-201</t>
  </si>
  <si>
    <t xml:space="preserve"> 8#住宅楼-2层-202</t>
  </si>
  <si>
    <t xml:space="preserve"> 8#住宅楼-2层-203</t>
  </si>
  <si>
    <t xml:space="preserve"> 8#住宅楼-2层-204</t>
  </si>
  <si>
    <t xml:space="preserve"> 8#住宅楼-2层-205</t>
  </si>
  <si>
    <t xml:space="preserve"> 8#住宅楼-2层-206</t>
  </si>
  <si>
    <t xml:space="preserve"> 8#住宅楼-2层-207</t>
  </si>
  <si>
    <t xml:space="preserve"> 8#住宅楼-2层-208</t>
  </si>
  <si>
    <t xml:space="preserve"> 8#住宅楼-2层-209</t>
  </si>
  <si>
    <t xml:space="preserve"> 8#住宅楼-2层-210</t>
  </si>
  <si>
    <t xml:space="preserve"> 8#住宅楼-2层-211</t>
  </si>
  <si>
    <t xml:space="preserve"> 8#住宅楼-2层-212</t>
  </si>
  <si>
    <t xml:space="preserve"> 8#住宅楼-2层-213</t>
  </si>
  <si>
    <t xml:space="preserve"> 8#住宅楼-2层-214</t>
  </si>
  <si>
    <t xml:space="preserve"> 8#住宅楼-2层-215</t>
  </si>
  <si>
    <t xml:space="preserve"> 8#住宅楼-2层-216</t>
  </si>
  <si>
    <t xml:space="preserve"> 8#住宅楼-2层-217</t>
  </si>
  <si>
    <t xml:space="preserve"> 8#住宅楼-2层-218</t>
  </si>
  <si>
    <t xml:space="preserve"> 8#住宅楼-2层-219</t>
  </si>
  <si>
    <t xml:space="preserve"> 8#住宅楼-2层-220</t>
  </si>
  <si>
    <t xml:space="preserve"> 8#住宅楼-2层-221</t>
  </si>
  <si>
    <t xml:space="preserve"> 8#住宅楼-2层-222</t>
  </si>
  <si>
    <t xml:space="preserve"> 8#住宅楼-2层-223</t>
  </si>
  <si>
    <t xml:space="preserve"> 8#住宅楼-2层-224</t>
  </si>
  <si>
    <t xml:space="preserve"> 8#住宅楼-2层-225</t>
  </si>
  <si>
    <t xml:space="preserve"> 9#住宅楼-1层-101</t>
  </si>
  <si>
    <t xml:space="preserve"> 9#住宅楼-1层-102</t>
  </si>
  <si>
    <t xml:space="preserve"> 9#住宅楼-1层-103</t>
  </si>
  <si>
    <t xml:space="preserve"> 9#住宅楼-1层-104</t>
  </si>
  <si>
    <t xml:space="preserve"> 9#住宅楼-1层-105</t>
  </si>
  <si>
    <t xml:space="preserve"> 9#住宅楼-1层-106</t>
  </si>
  <si>
    <t xml:space="preserve"> 9#住宅楼-1层-107</t>
  </si>
  <si>
    <t xml:space="preserve"> 9#住宅楼-1层-108</t>
  </si>
  <si>
    <t xml:space="preserve"> 9#住宅楼-1层-109</t>
  </si>
  <si>
    <t xml:space="preserve"> 9#住宅楼-1层-110</t>
  </si>
  <si>
    <t xml:space="preserve"> 9#住宅楼-2层-201</t>
  </si>
  <si>
    <t xml:space="preserve"> 9#住宅楼-2层-202</t>
  </si>
  <si>
    <t xml:space="preserve"> 9#住宅楼-2层-203</t>
  </si>
  <si>
    <t xml:space="preserve"> 9#住宅楼-2层-204</t>
  </si>
  <si>
    <t xml:space="preserve"> 9#住宅楼-2层-205</t>
  </si>
  <si>
    <t xml:space="preserve"> 9#住宅楼-2层-206</t>
  </si>
  <si>
    <t xml:space="preserve"> 9#住宅楼-2层-207</t>
  </si>
  <si>
    <t xml:space="preserve"> 9#住宅楼-2层-208</t>
  </si>
  <si>
    <t xml:space="preserve"> 9#住宅楼-2层-209</t>
  </si>
  <si>
    <t xml:space="preserve"> 9#住宅楼-2层-210</t>
  </si>
  <si>
    <t xml:space="preserve"> 9#住宅楼-2层-211</t>
  </si>
  <si>
    <t xml:space="preserve"> 9#住宅楼-2层-212</t>
  </si>
  <si>
    <t xml:space="preserve"> 9#住宅楼-2层-213</t>
  </si>
  <si>
    <t xml:space="preserve"> 9#住宅楼-2层-214</t>
  </si>
  <si>
    <t xml:space="preserve"> 9#住宅楼-2层-215</t>
  </si>
  <si>
    <t xml:space="preserve"> 9#住宅楼-2层-216</t>
  </si>
  <si>
    <t xml:space="preserve"> 9#住宅楼-2层-217</t>
  </si>
  <si>
    <t xml:space="preserve"> 9#住宅楼-2层-218</t>
  </si>
  <si>
    <t xml:space="preserve"> 9#住宅楼-2层-219</t>
  </si>
  <si>
    <t>总计</t>
  </si>
  <si>
    <t>未建未售部分土地面积分摊表明细表</t>
  </si>
  <si>
    <t xml:space="preserve"> 1#住宅楼8层2单元-801</t>
  </si>
  <si>
    <t xml:space="preserve"> 1#住宅楼8层2单元-802</t>
  </si>
  <si>
    <t xml:space="preserve"> 1#住宅楼10层2单元-1003</t>
  </si>
  <si>
    <t xml:space="preserve"> 1#住宅楼11层2单元-1101</t>
  </si>
  <si>
    <t xml:space="preserve"> 1#住宅楼11层2单元-1102</t>
  </si>
  <si>
    <t xml:space="preserve"> 1#住宅楼11层2单元-1103</t>
  </si>
  <si>
    <t xml:space="preserve"> 1#住宅楼7层3单元-702</t>
  </si>
  <si>
    <t xml:space="preserve"> 1#住宅楼9层3单元-902</t>
  </si>
  <si>
    <t xml:space="preserve"> 1#住宅楼10层3单元-1001</t>
  </si>
  <si>
    <t xml:space="preserve"> 1#住宅楼11层3单元-1101</t>
  </si>
  <si>
    <t xml:space="preserve"> 2#住宅楼9层2单元-901</t>
  </si>
  <si>
    <t xml:space="preserve"> 2#住宅楼9层2单元-902</t>
  </si>
  <si>
    <t xml:space="preserve"> 3#住宅楼9层1单元-901</t>
  </si>
  <si>
    <t xml:space="preserve"> 3#住宅楼9层1单元-902</t>
  </si>
  <si>
    <t xml:space="preserve"> 3#住宅楼9层2单元-901</t>
  </si>
  <si>
    <t xml:space="preserve"> 3#住宅楼9层2单元-902</t>
  </si>
  <si>
    <t xml:space="preserve"> 3#住宅楼9层3单元-901</t>
  </si>
  <si>
    <t xml:space="preserve"> 3#住宅楼9层3单元-902</t>
  </si>
  <si>
    <t xml:space="preserve"> 4#住宅楼6层1单元-601</t>
  </si>
  <si>
    <t xml:space="preserve"> 4#住宅楼6层1单元-602</t>
  </si>
  <si>
    <t xml:space="preserve"> 4#住宅楼7层1单元-701</t>
  </si>
  <si>
    <t xml:space="preserve"> 4#住宅楼7层1单元-702</t>
  </si>
  <si>
    <t xml:space="preserve"> 4#住宅楼8层1单元-801</t>
  </si>
  <si>
    <t xml:space="preserve"> 4#住宅楼8层1单元-802</t>
  </si>
  <si>
    <t xml:space="preserve"> 4#住宅楼9层1单元-901</t>
  </si>
  <si>
    <t xml:space="preserve"> 4#住宅楼9层1单元-902</t>
  </si>
  <si>
    <t xml:space="preserve"> 4#住宅楼10层1单元-1001</t>
  </si>
  <si>
    <t xml:space="preserve"> 4#住宅楼10层1单元-1002</t>
  </si>
  <si>
    <t xml:space="preserve"> 4#住宅楼11层1单元-1101</t>
  </si>
  <si>
    <t xml:space="preserve"> 4#住宅楼6层2单元-601</t>
  </si>
  <si>
    <t xml:space="preserve"> 4#住宅楼6层2单元-603</t>
  </si>
  <si>
    <t xml:space="preserve"> 4#住宅楼7层2单元-701</t>
  </si>
  <si>
    <t xml:space="preserve"> 4#住宅楼7层2单元-702</t>
  </si>
  <si>
    <t xml:space="preserve"> 4#住宅楼7层2单元-703</t>
  </si>
  <si>
    <t xml:space="preserve"> 4#住宅楼8层2单元-802</t>
  </si>
  <si>
    <t xml:space="preserve"> 4#住宅楼8层2单元-803</t>
  </si>
  <si>
    <t xml:space="preserve"> 4#住宅楼9层2单元-901</t>
  </si>
  <si>
    <t xml:space="preserve"> 4#住宅楼9层2单元-902</t>
  </si>
  <si>
    <t xml:space="preserve"> 4#住宅楼9层2单元-903</t>
  </si>
  <si>
    <t xml:space="preserve"> 4#住宅楼10层2单元-1001</t>
  </si>
  <si>
    <t xml:space="preserve"> 4#住宅楼10层2单元-1002</t>
  </si>
  <si>
    <t xml:space="preserve"> 4#住宅楼10层2单元-1003</t>
  </si>
  <si>
    <t xml:space="preserve"> 4#住宅楼11层2单元-1101</t>
  </si>
  <si>
    <t xml:space="preserve"> 4#住宅楼11层2单元-1102</t>
  </si>
  <si>
    <t xml:space="preserve"> 4#住宅楼11层2单元-1103</t>
  </si>
  <si>
    <t xml:space="preserve"> 5#住宅楼4层1单元-401</t>
  </si>
  <si>
    <t xml:space="preserve"> 5#住宅楼4层1单元-402</t>
  </si>
  <si>
    <t xml:space="preserve"> 5#住宅楼5层1单元-502</t>
  </si>
  <si>
    <t xml:space="preserve"> 5#住宅楼6层1单元-601</t>
  </si>
  <si>
    <t xml:space="preserve"> 5#住宅楼6层1单元-602</t>
  </si>
  <si>
    <t xml:space="preserve"> 5#住宅楼7层1单元-701</t>
  </si>
  <si>
    <t xml:space="preserve"> 5#住宅楼7层1单元-702</t>
  </si>
  <si>
    <t xml:space="preserve"> 5#住宅楼8层1单元-801</t>
  </si>
  <si>
    <t xml:space="preserve"> 5#住宅楼8层1单元-802</t>
  </si>
  <si>
    <t xml:space="preserve"> 5#住宅楼9层1单元-901</t>
  </si>
  <si>
    <t xml:space="preserve"> 5#住宅楼9层1单元-902</t>
  </si>
  <si>
    <t xml:space="preserve"> 5#住宅楼4层2单元-401</t>
  </si>
  <si>
    <t xml:space="preserve"> 5#住宅楼4层2单元-402</t>
  </si>
  <si>
    <t xml:space="preserve"> 5#住宅楼5层2单元-501</t>
  </si>
  <si>
    <t xml:space="preserve"> 5#住宅楼6层2单元-601</t>
  </si>
  <si>
    <t xml:space="preserve"> 5#住宅楼7层2单元-701</t>
  </si>
  <si>
    <t xml:space="preserve"> 5#住宅楼7层2单元-702</t>
  </si>
  <si>
    <t xml:space="preserve"> 5#住宅楼8层2单元-801</t>
  </si>
  <si>
    <t xml:space="preserve"> 5#住宅楼8层2单元-802</t>
  </si>
  <si>
    <t xml:space="preserve"> 5#住宅楼9层2单元-901</t>
  </si>
  <si>
    <t xml:space="preserve"> 5#住宅楼9层2单元-902</t>
  </si>
  <si>
    <t xml:space="preserve"> 5#住宅楼4层3单元-401</t>
  </si>
  <si>
    <t xml:space="preserve"> 5#住宅楼4层3单元-402</t>
  </si>
  <si>
    <t xml:space="preserve"> 5#住宅楼5层3单元-502</t>
  </si>
  <si>
    <t xml:space="preserve"> 5#住宅楼6层3单元-601</t>
  </si>
  <si>
    <t xml:space="preserve"> 5#住宅楼6层3单元-602</t>
  </si>
  <si>
    <t xml:space="preserve"> 5#住宅楼7层3单元-701</t>
  </si>
  <si>
    <t xml:space="preserve"> 5#住宅楼7层3单元-702</t>
  </si>
  <si>
    <t xml:space="preserve"> 5#住宅楼8层3单元-801</t>
  </si>
  <si>
    <t xml:space="preserve"> 5#住宅楼8层3单元-802</t>
  </si>
  <si>
    <t xml:space="preserve"> 5#住宅楼9层3单元-901</t>
  </si>
  <si>
    <t xml:space="preserve"> 5#住宅楼9层3单元-902</t>
  </si>
  <si>
    <t xml:space="preserve"> 6#住宅楼5层1单元-502</t>
  </si>
  <si>
    <t xml:space="preserve"> 6#住宅楼7层1单元-701</t>
  </si>
  <si>
    <t xml:space="preserve"> 6#住宅楼8层1单元-801</t>
  </si>
  <si>
    <t xml:space="preserve"> 6#住宅楼8层1单元-802</t>
  </si>
  <si>
    <t xml:space="preserve"> 6#住宅楼4层2单元-402</t>
  </si>
  <si>
    <t xml:space="preserve"> 6#住宅楼9层2单元-901</t>
  </si>
  <si>
    <t xml:space="preserve"> 6#住宅楼4层3单元-401</t>
  </si>
  <si>
    <t xml:space="preserve"> 6#住宅楼7层3单元-702</t>
  </si>
  <si>
    <t xml:space="preserve"> 6#住宅楼8层3单元-802</t>
  </si>
  <si>
    <t xml:space="preserve"> 6#住宅楼9层3单元-901</t>
  </si>
  <si>
    <t xml:space="preserve"> 7#住宅楼9层1单元-901</t>
  </si>
  <si>
    <t xml:space="preserve"> 7#住宅楼11层2单元-1101</t>
  </si>
  <si>
    <t xml:space="preserve"> 7#住宅楼11层2单元-1102</t>
  </si>
  <si>
    <t xml:space="preserve"> 8#住宅楼4层2单元-402</t>
  </si>
  <si>
    <t xml:space="preserve"> 8#住宅楼5层2单元-502</t>
  </si>
  <si>
    <t xml:space="preserve"> 8#住宅楼6层2单元-602</t>
  </si>
  <si>
    <t xml:space="preserve"> 8#住宅楼7层2单元-702</t>
  </si>
  <si>
    <t xml:space="preserve"> 8#住宅楼8层2单元-802</t>
  </si>
  <si>
    <t xml:space="preserve"> 8#住宅楼9层2单元-902</t>
  </si>
  <si>
    <t xml:space="preserve"> 8#住宅楼4层3单元-401</t>
  </si>
  <si>
    <t xml:space="preserve"> 8#住宅楼6层3单元-602</t>
  </si>
  <si>
    <t xml:space="preserve"> 8#住宅楼7层3单元-702</t>
  </si>
  <si>
    <t xml:space="preserve"> 8#住宅楼9层3单元-901</t>
  </si>
  <si>
    <t xml:space="preserve"> 9#住宅楼4层1单元-401</t>
  </si>
  <si>
    <t xml:space="preserve"> 9#住宅楼4层1单元-402</t>
  </si>
  <si>
    <t xml:space="preserve"> 9#住宅楼5层1单元-501</t>
  </si>
  <si>
    <t xml:space="preserve"> 9#住宅楼5层1单元-502</t>
  </si>
  <si>
    <t xml:space="preserve"> 9#住宅楼6层1单元-601</t>
  </si>
  <si>
    <t xml:space="preserve"> 9#住宅楼6层1单元-602</t>
  </si>
  <si>
    <t xml:space="preserve"> 9#住宅楼7层1单元-701</t>
  </si>
  <si>
    <t xml:space="preserve"> 9#住宅楼7层1单元-702</t>
  </si>
  <si>
    <t xml:space="preserve"> 9#住宅楼8层1单元-801</t>
  </si>
  <si>
    <t xml:space="preserve"> 9#住宅楼8层1单元-802</t>
  </si>
  <si>
    <t xml:space="preserve"> 9#住宅楼9层1单元-901</t>
  </si>
  <si>
    <t xml:space="preserve"> 9#住宅楼9层1单元-902</t>
  </si>
  <si>
    <t xml:space="preserve"> 9#住宅楼4层2单元-401</t>
  </si>
  <si>
    <t xml:space="preserve"> 9#住宅楼4层2单元-402</t>
  </si>
  <si>
    <t xml:space="preserve"> 9#住宅楼5层2单元-501</t>
  </si>
  <si>
    <t xml:space="preserve"> 9#住宅楼5层2单元-502</t>
  </si>
  <si>
    <t xml:space="preserve"> 9#住宅楼6层2单元-601</t>
  </si>
  <si>
    <t xml:space="preserve"> 9#住宅楼6层2单元-602</t>
  </si>
  <si>
    <t xml:space="preserve"> 9#住宅楼7层2单元-701</t>
  </si>
  <si>
    <t xml:space="preserve"> 9#住宅楼7层2单元-702</t>
  </si>
  <si>
    <t xml:space="preserve"> 9#住宅楼8层2单元-801</t>
  </si>
  <si>
    <t xml:space="preserve"> 9#住宅楼8层2单元-802</t>
  </si>
  <si>
    <t xml:space="preserve"> 9#住宅楼9层2单元-901</t>
  </si>
  <si>
    <t xml:space="preserve"> 9#住宅楼9层2单元-902</t>
  </si>
  <si>
    <t xml:space="preserve"> 9#住宅楼4层3单元-401</t>
  </si>
  <si>
    <t xml:space="preserve"> 9#住宅楼4层3单元-402</t>
  </si>
  <si>
    <t xml:space="preserve"> 9#住宅楼5层3单元-501</t>
  </si>
  <si>
    <t xml:space="preserve"> 9#住宅楼5层3单元-502</t>
  </si>
  <si>
    <t xml:space="preserve"> 9#住宅楼6层3单元-601</t>
  </si>
  <si>
    <t xml:space="preserve"> 9#住宅楼6层3单元-602</t>
  </si>
  <si>
    <t xml:space="preserve"> 9#住宅楼7层3单元-701</t>
  </si>
  <si>
    <t xml:space="preserve"> 9#住宅楼7层3单元-702</t>
  </si>
  <si>
    <t xml:space="preserve"> 9#住宅楼8层3单元-801</t>
  </si>
  <si>
    <t xml:space="preserve"> 9#住宅楼8层3单元-802</t>
  </si>
  <si>
    <t xml:space="preserve"> 9#住宅楼9层3单元-901</t>
  </si>
  <si>
    <t xml:space="preserve"> 10#住宅楼7层1单元-701</t>
  </si>
  <si>
    <t xml:space="preserve"> 10#住宅楼7层1单元-702</t>
  </si>
  <si>
    <t xml:space="preserve"> 10#住宅楼8层1单元-801</t>
  </si>
  <si>
    <t xml:space="preserve"> 10#住宅楼8层1单元-802</t>
  </si>
  <si>
    <t xml:space="preserve"> 10#住宅楼9层1单元-901</t>
  </si>
  <si>
    <t xml:space="preserve"> 10#住宅楼9层1单元-902</t>
  </si>
  <si>
    <t xml:space="preserve"> 10#住宅楼10层1单元-1001</t>
  </si>
  <si>
    <t xml:space="preserve"> 10#住宅楼10层1单元-1002</t>
  </si>
  <si>
    <t xml:space="preserve"> 10#住宅楼11层1单元-1101</t>
  </si>
  <si>
    <t xml:space="preserve"> 10#住宅楼11层1单元-1102</t>
  </si>
  <si>
    <t xml:space="preserve"> 10#住宅楼7层2单元-701</t>
  </si>
  <si>
    <t xml:space="preserve"> 10#住宅楼7层2单元-702</t>
  </si>
  <si>
    <t xml:space="preserve"> 10#住宅楼8层2单元-801</t>
  </si>
  <si>
    <t xml:space="preserve"> 10#住宅楼8层2单元-802</t>
  </si>
  <si>
    <t xml:space="preserve"> 10#住宅楼9层2单元-901</t>
  </si>
  <si>
    <t xml:space="preserve"> 10#住宅楼9层2单元-902</t>
  </si>
  <si>
    <t xml:space="preserve"> 10#住宅楼10层2单元-1001</t>
  </si>
  <si>
    <t xml:space="preserve"> 10#住宅楼10层2单元-1002</t>
  </si>
  <si>
    <t xml:space="preserve"> 10#住宅楼11层2单元-1101</t>
  </si>
  <si>
    <t xml:space="preserve"> 10#住宅楼11层2单元-1102</t>
  </si>
  <si>
    <t xml:space="preserve"> 11#住宅楼5层1单元-502</t>
  </si>
  <si>
    <t xml:space="preserve"> 11#住宅楼6层1单元-602</t>
  </si>
  <si>
    <t xml:space="preserve"> 11#住宅楼7层1单元-701</t>
  </si>
  <si>
    <t xml:space="preserve"> 11#住宅楼7层1单元-702</t>
  </si>
  <si>
    <t xml:space="preserve"> 11#住宅楼8层1单元-801</t>
  </si>
  <si>
    <t xml:space="preserve"> 11#住宅楼10层1单元-1001</t>
  </si>
  <si>
    <t xml:space="preserve"> 11#住宅楼11层1单元-1101</t>
  </si>
  <si>
    <t xml:space="preserve"> 11#住宅楼11层1单元-1102</t>
  </si>
  <si>
    <t xml:space="preserve"> 11#住宅楼5层2单元-502</t>
  </si>
  <si>
    <t xml:space="preserve"> 11#住宅楼6层2单元-601</t>
  </si>
  <si>
    <t xml:space="preserve"> 11#住宅楼7层2单元-702</t>
  </si>
  <si>
    <t xml:space="preserve"> 11#住宅楼8层2单元-801</t>
  </si>
  <si>
    <t xml:space="preserve"> 11#住宅楼8层2单元-802</t>
  </si>
  <si>
    <t xml:space="preserve"> 11#住宅楼9层2单元-902</t>
  </si>
  <si>
    <t xml:space="preserve"> 11#住宅楼10层2单元-1001</t>
  </si>
  <si>
    <t xml:space="preserve"> 11#住宅楼10层2单元-1002</t>
  </si>
  <si>
    <t xml:space="preserve"> 11#住宅楼11层2单元-1101</t>
  </si>
  <si>
    <t xml:space="preserve"> 11#住宅楼11层2单元-1102</t>
  </si>
  <si>
    <t xml:space="preserve"> 13#住宅楼11层2单元-1101</t>
  </si>
  <si>
    <t xml:space="preserve"> 13#住宅楼11层3单元-1101</t>
  </si>
  <si>
    <t xml:space="preserve"> 13#住宅楼10层4单元-1002</t>
  </si>
  <si>
    <t xml:space="preserve"> 13#住宅楼11层1单元-1102</t>
  </si>
  <si>
    <t xml:space="preserve"> 13#住宅楼11层4单元-1101</t>
  </si>
  <si>
    <t xml:space="preserve"> 14#住宅楼6层1单元-601</t>
  </si>
  <si>
    <t xml:space="preserve"> 14#住宅楼7层2单元-702</t>
  </si>
  <si>
    <t xml:space="preserve"> 14#住宅楼10层2单元-1002</t>
  </si>
  <si>
    <t>坐落</t>
  </si>
  <si>
    <t>顺义区顺义新城第5街区平各庄旧村改造项目SY00-0005-6046地块R2二类居住用地</t>
  </si>
  <si>
    <t>9#住宅楼9层3单元-902</t>
  </si>
  <si>
    <t>已建未售</t>
    <phoneticPr fontId="134" type="noConversion"/>
  </si>
  <si>
    <t>住宅用房</t>
    <phoneticPr fontId="134" type="noConversion"/>
  </si>
  <si>
    <t>车库用房</t>
    <phoneticPr fontId="134" type="noConversion"/>
  </si>
  <si>
    <t>仓储用房</t>
    <phoneticPr fontId="134" type="noConversion"/>
  </si>
  <si>
    <t>合计</t>
    <phoneticPr fontId="134" type="noConversion"/>
  </si>
  <si>
    <t>较好</t>
    <phoneticPr fontId="31" type="noConversion"/>
  </si>
  <si>
    <t>较好</t>
    <phoneticPr fontId="31" type="noConversion"/>
  </si>
  <si>
    <t>较好</t>
    <phoneticPr fontId="31" type="noConversion"/>
  </si>
  <si>
    <t>车库</t>
    <phoneticPr fontId="31" type="noConversion"/>
  </si>
  <si>
    <t>车库</t>
    <phoneticPr fontId="31" type="noConversion"/>
  </si>
  <si>
    <t>正常</t>
    <phoneticPr fontId="31" type="noConversion"/>
  </si>
  <si>
    <t>正常</t>
    <phoneticPr fontId="31" type="noConversion"/>
  </si>
  <si>
    <t>仓储</t>
    <phoneticPr fontId="31" type="noConversion"/>
  </si>
  <si>
    <t>仓储</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</si>
  <si>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</si>
  <si>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</si>
  <si>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</si>
  <si>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</si>
  <si>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</si>
  <si>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精装</t>
    <phoneticPr fontId="31" type="noConversion"/>
  </si>
  <si>
    <t>面积</t>
    <phoneticPr fontId="134" type="noConversion"/>
  </si>
  <si>
    <t>建筑面积</t>
    <phoneticPr fontId="134" type="noConversion"/>
  </si>
  <si>
    <t>土地面积</t>
    <phoneticPr fontId="134" type="noConversion"/>
  </si>
  <si>
    <t>套数</t>
    <phoneticPr fontId="134" type="noConversion"/>
  </si>
  <si>
    <t>元/车位</t>
  </si>
  <si>
    <t>成本法</t>
  </si>
  <si>
    <t>假设开发法</t>
  </si>
  <si>
    <t>总价</t>
  </si>
  <si>
    <t>成本比率</t>
  </si>
  <si>
    <t>四通</t>
    <phoneticPr fontId="30" type="noConversion"/>
  </si>
  <si>
    <t>六通</t>
    <phoneticPr fontId="30" type="noConversion"/>
  </si>
  <si>
    <t>吴薇</t>
  </si>
  <si>
    <t>郑燚</t>
  </si>
  <si>
    <t>已建未售部分</t>
    <phoneticPr fontId="134" type="noConversion"/>
  </si>
  <si>
    <t>规划建筑面积</t>
    <phoneticPr fontId="134" type="noConversion"/>
  </si>
  <si>
    <t>情况3</t>
  </si>
  <si>
    <t>正常</t>
  </si>
  <si>
    <t>自行开发建设</t>
  </si>
  <si>
    <t>非个人房产</t>
  </si>
  <si>
    <t>单价</t>
    <phoneticPr fontId="8" type="noConversion"/>
  </si>
  <si>
    <t>地上</t>
    <phoneticPr fontId="8" type="noConversion"/>
  </si>
  <si>
    <t>车库</t>
    <phoneticPr fontId="8" type="noConversion"/>
  </si>
  <si>
    <t>仓储</t>
    <phoneticPr fontId="8" type="noConversion"/>
  </si>
  <si>
    <t>面积</t>
    <phoneticPr fontId="8" type="noConversion"/>
  </si>
  <si>
    <t>总价</t>
    <phoneticPr fontId="8" type="noConversion"/>
  </si>
  <si>
    <t>出让金+开发费</t>
  </si>
  <si>
    <t>已包含在土地取得成本中</t>
  </si>
  <si>
    <t>住宅、综合</t>
    <phoneticPr fontId="30" type="noConversion"/>
  </si>
  <si>
    <t>住宅</t>
    <phoneticPr fontId="30" type="noConversion"/>
  </si>
  <si>
    <t>住宅、综合</t>
    <phoneticPr fontId="30" type="noConversion"/>
  </si>
  <si>
    <t>未包含在土地购买价格中</t>
  </si>
  <si>
    <t>全部缴纳</t>
  </si>
  <si>
    <r>
      <t>1#</t>
    </r>
    <r>
      <rPr>
        <sz val="10"/>
        <color indexed="8"/>
        <rFont val="宋体"/>
        <family val="3"/>
        <charset val="134"/>
      </rPr>
      <t>楼</t>
    </r>
    <r>
      <rPr>
        <sz val="10"/>
        <color indexed="8"/>
        <rFont val="Arial"/>
        <family val="2"/>
      </rPr>
      <t xml:space="preserve"> 6F/11F</t>
    </r>
  </si>
  <si>
    <r>
      <t>2#</t>
    </r>
    <r>
      <rPr>
        <sz val="10"/>
        <color indexed="8"/>
        <rFont val="宋体"/>
        <family val="3"/>
        <charset val="134"/>
      </rPr>
      <t>楼</t>
    </r>
    <r>
      <rPr>
        <sz val="10"/>
        <color indexed="8"/>
        <rFont val="Arial"/>
        <family val="2"/>
      </rPr>
      <t xml:space="preserve"> 8F/9F</t>
    </r>
  </si>
  <si>
    <r>
      <t>3#</t>
    </r>
    <r>
      <rPr>
        <sz val="10"/>
        <color indexed="8"/>
        <rFont val="宋体"/>
        <family val="3"/>
        <charset val="134"/>
      </rPr>
      <t>楼</t>
    </r>
    <r>
      <rPr>
        <sz val="10"/>
        <color indexed="8"/>
        <rFont val="Arial"/>
        <family val="2"/>
      </rPr>
      <t xml:space="preserve"> 8F/9F</t>
    </r>
  </si>
  <si>
    <r>
      <t>4#</t>
    </r>
    <r>
      <rPr>
        <sz val="10"/>
        <color indexed="8"/>
        <rFont val="宋体"/>
        <family val="3"/>
        <charset val="134"/>
      </rPr>
      <t>楼</t>
    </r>
    <r>
      <rPr>
        <sz val="10"/>
        <color indexed="8"/>
        <rFont val="Arial"/>
        <family val="2"/>
      </rPr>
      <t xml:space="preserve"> 5F/11F</t>
    </r>
  </si>
  <si>
    <r>
      <t>5#</t>
    </r>
    <r>
      <rPr>
        <sz val="10"/>
        <color indexed="8"/>
        <rFont val="宋体"/>
        <family val="3"/>
        <charset val="134"/>
      </rPr>
      <t>楼</t>
    </r>
    <r>
      <rPr>
        <sz val="10"/>
        <color indexed="8"/>
        <rFont val="Arial"/>
        <family val="2"/>
      </rPr>
      <t xml:space="preserve"> 3F/9F</t>
    </r>
  </si>
  <si>
    <r>
      <t>6#</t>
    </r>
    <r>
      <rPr>
        <sz val="10"/>
        <color indexed="8"/>
        <rFont val="宋体"/>
        <family val="3"/>
        <charset val="134"/>
      </rPr>
      <t>楼</t>
    </r>
    <r>
      <rPr>
        <sz val="10"/>
        <color indexed="8"/>
        <rFont val="Arial"/>
        <family val="2"/>
      </rPr>
      <t xml:space="preserve"> 3F/9F</t>
    </r>
  </si>
  <si>
    <r>
      <t>7#</t>
    </r>
    <r>
      <rPr>
        <sz val="10"/>
        <color indexed="8"/>
        <rFont val="宋体"/>
        <family val="3"/>
        <charset val="134"/>
      </rPr>
      <t>楼</t>
    </r>
    <r>
      <rPr>
        <sz val="10"/>
        <color indexed="8"/>
        <rFont val="Arial"/>
        <family val="2"/>
      </rPr>
      <t xml:space="preserve"> 8F/11F</t>
    </r>
  </si>
  <si>
    <r>
      <t>8#</t>
    </r>
    <r>
      <rPr>
        <sz val="10"/>
        <color indexed="8"/>
        <rFont val="宋体"/>
        <family val="3"/>
        <charset val="134"/>
      </rPr>
      <t>楼</t>
    </r>
    <r>
      <rPr>
        <sz val="10"/>
        <color indexed="8"/>
        <rFont val="Arial"/>
        <family val="2"/>
      </rPr>
      <t xml:space="preserve"> 3F/9F</t>
    </r>
  </si>
  <si>
    <r>
      <t>9#</t>
    </r>
    <r>
      <rPr>
        <sz val="10"/>
        <color indexed="8"/>
        <rFont val="宋体"/>
        <family val="3"/>
        <charset val="134"/>
      </rPr>
      <t>楼</t>
    </r>
    <r>
      <rPr>
        <sz val="10"/>
        <color indexed="8"/>
        <rFont val="Arial"/>
        <family val="2"/>
      </rPr>
      <t xml:space="preserve"> 3F/9F</t>
    </r>
  </si>
  <si>
    <r>
      <t>10#</t>
    </r>
    <r>
      <rPr>
        <sz val="10"/>
        <color indexed="8"/>
        <rFont val="宋体"/>
        <family val="3"/>
        <charset val="134"/>
      </rPr>
      <t>楼</t>
    </r>
    <r>
      <rPr>
        <sz val="10"/>
        <color indexed="8"/>
        <rFont val="Arial"/>
        <family val="2"/>
      </rPr>
      <t xml:space="preserve"> 6F/11F</t>
    </r>
  </si>
  <si>
    <r>
      <t>11#</t>
    </r>
    <r>
      <rPr>
        <sz val="10"/>
        <color indexed="8"/>
        <rFont val="宋体"/>
        <family val="3"/>
        <charset val="134"/>
      </rPr>
      <t>楼</t>
    </r>
    <r>
      <rPr>
        <sz val="10"/>
        <color indexed="8"/>
        <rFont val="Arial"/>
        <family val="2"/>
      </rPr>
      <t xml:space="preserve"> 4F/11F</t>
    </r>
  </si>
  <si>
    <r>
      <t>12#</t>
    </r>
    <r>
      <rPr>
        <sz val="10"/>
        <color indexed="8"/>
        <rFont val="宋体"/>
        <family val="3"/>
        <charset val="134"/>
      </rPr>
      <t>楼</t>
    </r>
    <r>
      <rPr>
        <sz val="10"/>
        <color indexed="8"/>
        <rFont val="Arial"/>
        <family val="2"/>
      </rPr>
      <t xml:space="preserve"> 11F/11F</t>
    </r>
  </si>
  <si>
    <r>
      <t>13#</t>
    </r>
    <r>
      <rPr>
        <sz val="10"/>
        <color indexed="8"/>
        <rFont val="宋体"/>
        <family val="3"/>
        <charset val="134"/>
      </rPr>
      <t>楼</t>
    </r>
    <r>
      <rPr>
        <sz val="10"/>
        <color indexed="8"/>
        <rFont val="Arial"/>
        <family val="2"/>
      </rPr>
      <t xml:space="preserve"> 9F/11F</t>
    </r>
  </si>
  <si>
    <r>
      <t>14#</t>
    </r>
    <r>
      <rPr>
        <sz val="10"/>
        <color indexed="8"/>
        <rFont val="宋体"/>
        <family val="3"/>
        <charset val="134"/>
      </rPr>
      <t>楼</t>
    </r>
    <r>
      <rPr>
        <sz val="10"/>
        <color indexed="8"/>
        <rFont val="Arial"/>
        <family val="2"/>
      </rPr>
      <t xml:space="preserve"> 5F/11F</t>
    </r>
  </si>
  <si>
    <t>面积</t>
    <phoneticPr fontId="3" type="noConversion"/>
  </si>
  <si>
    <t>工程进度</t>
    <phoneticPr fontId="3" type="noConversion"/>
  </si>
  <si>
    <t>住宅</t>
    <phoneticPr fontId="3" type="noConversion"/>
  </si>
  <si>
    <t>仓储</t>
    <phoneticPr fontId="3" type="noConversion"/>
  </si>
  <si>
    <t>车库</t>
    <phoneticPr fontId="3" type="noConversion"/>
  </si>
  <si>
    <t>土地部分</t>
    <phoneticPr fontId="8" type="noConversion"/>
  </si>
  <si>
    <t>在建部分</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</si>
</sst>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5"/>
      <color rgb="FF303133"/>
      <name val="Verdana"/>
      <family val="2"/>
    </font>
    <font>
      <b/>
      <sz val="9"/>
      <color rgb="FF000000"/>
      <name val="宋体"/>
      <family val="3"/>
      <charset val="134"/>
    </font>
    <font>
      <b/>
      <sz val="9"/>
      <color rgb="FF4D4D4D"/>
      <name val="宋体"/>
      <family val="3"/>
      <charset val="134"/>
    </font>
    <font>
      <sz val="6"/>
      <color rgb="FF000000"/>
      <name val="宋体"/>
      <family val="3"/>
      <charset val="134"/>
    </font>
    <font>
      <sz val="6"/>
      <color rgb="FF4D4D4D"/>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pplyAlignment="1"/>
    <xf numFmtId="0" fontId="107" fillId="8" borderId="0" xfId="0" applyFont="1" applyFill="1" applyAlignment="1"/>
    <xf numFmtId="0" fontId="107" fillId="5" borderId="0" xfId="0" applyFont="1" applyFill="1" applyAlignment="1"/>
    <xf numFmtId="0" fontId="107" fillId="16" borderId="0" xfId="0" applyFont="1" applyFill="1" applyAlignment="1"/>
    <xf numFmtId="0" fontId="107" fillId="0" borderId="0" xfId="0" applyFont="1" applyFill="1" applyAlignment="1"/>
    <xf numFmtId="0" fontId="269" fillId="0" borderId="0" xfId="0" applyFont="1">
      <alignment vertical="center"/>
    </xf>
    <xf numFmtId="0" fontId="95" fillId="0" borderId="0" xfId="0" applyFont="1">
      <alignment vertical="center"/>
    </xf>
    <xf numFmtId="0" fontId="107" fillId="0" borderId="0" xfId="0" applyFont="1">
      <alignment vertical="center"/>
    </xf>
    <xf numFmtId="0" fontId="107" fillId="0" borderId="1" xfId="0" applyFont="1" applyBorder="1">
      <alignment vertical="center"/>
    </xf>
    <xf numFmtId="49"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19" fillId="8" borderId="1" xfId="0" applyNumberFormat="1" applyFont="1" applyFill="1" applyBorder="1" applyAlignment="1" applyProtection="1">
      <alignment horizontal="center" vertical="center" shrinkToFit="1"/>
    </xf>
    <xf numFmtId="0" fontId="19" fillId="16" borderId="1" xfId="0" applyNumberFormat="1" applyFont="1" applyFill="1" applyBorder="1" applyAlignment="1" applyProtection="1">
      <alignment horizontal="center" vertical="center" shrinkToFit="1"/>
    </xf>
    <xf numFmtId="0" fontId="107" fillId="8" borderId="0" xfId="0" applyFont="1" applyFill="1">
      <alignment vertical="center"/>
    </xf>
    <xf numFmtId="0" fontId="107"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0" fontId="128" fillId="2" borderId="5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270" fillId="12" borderId="81" xfId="0" applyFont="1" applyFill="1" applyBorder="1" applyAlignment="1">
      <alignment horizontal="center" vertical="center" wrapText="1"/>
    </xf>
    <xf numFmtId="0" fontId="270" fillId="12" borderId="43" xfId="0" applyFont="1" applyFill="1" applyBorder="1" applyAlignment="1">
      <alignment horizontal="center" vertical="center" wrapText="1"/>
    </xf>
    <xf numFmtId="0" fontId="271" fillId="12" borderId="43" xfId="0" applyFont="1" applyFill="1" applyBorder="1" applyAlignment="1">
      <alignment horizontal="center" vertical="center" wrapText="1"/>
    </xf>
    <xf numFmtId="0" fontId="272" fillId="12" borderId="81" xfId="0" applyFont="1" applyFill="1" applyBorder="1" applyAlignment="1">
      <alignment horizontal="center" vertical="center"/>
    </xf>
    <xf numFmtId="0" fontId="272" fillId="12" borderId="43" xfId="0" applyFont="1" applyFill="1" applyBorder="1" applyAlignment="1">
      <alignment horizontal="center" vertical="center"/>
    </xf>
    <xf numFmtId="0" fontId="273" fillId="12" borderId="43" xfId="0" applyFont="1" applyFill="1" applyBorder="1" applyAlignment="1">
      <alignment horizontal="center" vertical="center" wrapText="1"/>
    </xf>
    <xf numFmtId="0" fontId="272" fillId="5" borderId="81" xfId="0" applyFont="1" applyFill="1" applyBorder="1" applyAlignment="1">
      <alignment horizontal="center" vertical="center"/>
    </xf>
    <xf numFmtId="0" fontId="273" fillId="5" borderId="43" xfId="0" applyFont="1" applyFill="1" applyBorder="1" applyAlignment="1">
      <alignment horizontal="center" vertical="center" wrapText="1"/>
    </xf>
    <xf numFmtId="0" fontId="272" fillId="5" borderId="43" xfId="0" applyFont="1" applyFill="1" applyBorder="1" applyAlignment="1">
      <alignment horizontal="center" vertical="center"/>
    </xf>
    <xf numFmtId="0" fontId="272" fillId="16" borderId="81" xfId="0" applyFont="1" applyFill="1" applyBorder="1" applyAlignment="1">
      <alignment horizontal="center" vertical="center"/>
    </xf>
    <xf numFmtId="0" fontId="273" fillId="16" borderId="43" xfId="0" applyFont="1" applyFill="1" applyBorder="1" applyAlignment="1">
      <alignment horizontal="center" vertical="center" wrapText="1"/>
    </xf>
    <xf numFmtId="0" fontId="273" fillId="16" borderId="56" xfId="0" applyFont="1" applyFill="1" applyBorder="1" applyAlignment="1">
      <alignment horizontal="center" vertical="center" wrapText="1"/>
    </xf>
    <xf numFmtId="0" fontId="273" fillId="16" borderId="65" xfId="0" applyFont="1" applyFill="1" applyBorder="1" applyAlignment="1">
      <alignment horizontal="center" vertical="center" wrapText="1"/>
    </xf>
    <xf numFmtId="0" fontId="95" fillId="16" borderId="0" xfId="0" applyFont="1" applyFill="1">
      <alignment vertical="center"/>
    </xf>
    <xf numFmtId="0" fontId="95" fillId="5" borderId="0" xfId="0" applyFont="1" applyFill="1">
      <alignment vertical="center"/>
    </xf>
    <xf numFmtId="0" fontId="94" fillId="2" borderId="6" xfId="0" applyNumberFormat="1" applyFont="1" applyFill="1" applyBorder="1" applyAlignment="1" applyProtection="1">
      <alignment horizontal="center" vertical="center" wrapText="1"/>
      <protection locked="0"/>
    </xf>
    <xf numFmtId="0" fontId="95" fillId="0" borderId="0" xfId="0" applyFont="1" applyFill="1" applyBorder="1">
      <alignment vertical="center"/>
    </xf>
    <xf numFmtId="9" fontId="128" fillId="2" borderId="37"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60" xfId="0" applyFont="1" applyBorder="1" applyAlignment="1">
      <alignment horizontal="center" vertical="center"/>
    </xf>
    <xf numFmtId="0" fontId="107" fillId="0" borderId="1" xfId="0" applyFont="1" applyBorder="1" applyAlignment="1">
      <alignment horizontal="center" vertical="center"/>
    </xf>
    <xf numFmtId="0" fontId="270" fillId="12" borderId="63" xfId="0" applyFont="1" applyFill="1" applyBorder="1" applyAlignment="1">
      <alignment horizontal="center" vertical="center"/>
    </xf>
    <xf numFmtId="0" fontId="270" fillId="12" borderId="64" xfId="0" applyFont="1" applyFill="1" applyBorder="1" applyAlignment="1">
      <alignment horizontal="center" vertical="center"/>
    </xf>
    <xf numFmtId="0" fontId="270" fillId="12" borderId="176"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7</xdr:col>
      <xdr:colOff>113780</xdr:colOff>
      <xdr:row>42</xdr:row>
      <xdr:rowOff>122910</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0"/>
          <a:ext cx="4161905" cy="7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38100</xdr:rowOff>
    </xdr:from>
    <xdr:to>
      <xdr:col>11</xdr:col>
      <xdr:colOff>541949</xdr:colOff>
      <xdr:row>52</xdr:row>
      <xdr:rowOff>56355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
          <a:ext cx="7809524" cy="6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56115</xdr:colOff>
      <xdr:row>26</xdr:row>
      <xdr:rowOff>161391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85715" cy="4276191"/>
        </a:xfrm>
        <a:prstGeom prst="rect">
          <a:avLst/>
        </a:prstGeom>
      </xdr:spPr>
    </xdr:pic>
    <xdr:clientData/>
  </xdr:twoCellAnchor>
  <xdr:twoCellAnchor editAs="oneCell">
    <xdr:from>
      <xdr:col>0</xdr:col>
      <xdr:colOff>0</xdr:colOff>
      <xdr:row>30</xdr:row>
      <xdr:rowOff>0</xdr:rowOff>
    </xdr:from>
    <xdr:to>
      <xdr:col>11</xdr:col>
      <xdr:colOff>684772</xdr:colOff>
      <xdr:row>54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29225"/>
          <a:ext cx="8228572" cy="4161905"/>
        </a:xfrm>
        <a:prstGeom prst="rect">
          <a:avLst/>
        </a:prstGeom>
      </xdr:spPr>
    </xdr:pic>
    <xdr:clientData/>
  </xdr:twoCellAnchor>
  <xdr:twoCellAnchor editAs="oneCell">
    <xdr:from>
      <xdr:col>0</xdr:col>
      <xdr:colOff>0</xdr:colOff>
      <xdr:row>57</xdr:row>
      <xdr:rowOff>0</xdr:rowOff>
    </xdr:from>
    <xdr:to>
      <xdr:col>11</xdr:col>
      <xdr:colOff>541915</xdr:colOff>
      <xdr:row>79</xdr:row>
      <xdr:rowOff>94767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85715" cy="3866667"/>
        </a:xfrm>
        <a:prstGeom prst="rect">
          <a:avLst/>
        </a:prstGeom>
      </xdr:spPr>
    </xdr:pic>
    <xdr:clientData/>
  </xdr:twoCellAnchor>
  <xdr:twoCellAnchor editAs="oneCell">
    <xdr:from>
      <xdr:col>11</xdr:col>
      <xdr:colOff>514350</xdr:colOff>
      <xdr:row>3</xdr:row>
      <xdr:rowOff>152400</xdr:rowOff>
    </xdr:from>
    <xdr:to>
      <xdr:col>28</xdr:col>
      <xdr:colOff>27179</xdr:colOff>
      <xdr:row>24</xdr:row>
      <xdr:rowOff>56712</xdr:rowOff>
    </xdr:to>
    <xdr:pic>
      <xdr:nvPicPr>
        <xdr:cNvPr id="5" name="图片 4"/>
        <xdr:cNvPicPr>
          <a:picLocks noChangeAspect="1"/>
        </xdr:cNvPicPr>
      </xdr:nvPicPr>
      <xdr:blipFill>
        <a:blip xmlns:r="http://schemas.openxmlformats.org/officeDocument/2006/relationships" r:embed="rId4"/>
        <a:stretch>
          <a:fillRect/>
        </a:stretch>
      </xdr:blipFill>
      <xdr:spPr>
        <a:xfrm>
          <a:off x="8058150" y="752475"/>
          <a:ext cx="11171429" cy="3504762"/>
        </a:xfrm>
        <a:prstGeom prst="rect">
          <a:avLst/>
        </a:prstGeom>
      </xdr:spPr>
    </xdr:pic>
    <xdr:clientData/>
  </xdr:twoCellAnchor>
  <xdr:twoCellAnchor editAs="oneCell">
    <xdr:from>
      <xdr:col>11</xdr:col>
      <xdr:colOff>371475</xdr:colOff>
      <xdr:row>30</xdr:row>
      <xdr:rowOff>152400</xdr:rowOff>
    </xdr:from>
    <xdr:to>
      <xdr:col>27</xdr:col>
      <xdr:colOff>541533</xdr:colOff>
      <xdr:row>53</xdr:row>
      <xdr:rowOff>113812</xdr:rowOff>
    </xdr:to>
    <xdr:pic>
      <xdr:nvPicPr>
        <xdr:cNvPr id="6" name="图片 5"/>
        <xdr:cNvPicPr>
          <a:picLocks noChangeAspect="1"/>
        </xdr:cNvPicPr>
      </xdr:nvPicPr>
      <xdr:blipFill>
        <a:blip xmlns:r="http://schemas.openxmlformats.org/officeDocument/2006/relationships" r:embed="rId5"/>
        <a:stretch>
          <a:fillRect/>
        </a:stretch>
      </xdr:blipFill>
      <xdr:spPr>
        <a:xfrm>
          <a:off x="7915275" y="5467350"/>
          <a:ext cx="11142858" cy="3904762"/>
        </a:xfrm>
        <a:prstGeom prst="rect">
          <a:avLst/>
        </a:prstGeom>
      </xdr:spPr>
    </xdr:pic>
    <xdr:clientData/>
  </xdr:twoCellAnchor>
  <xdr:twoCellAnchor editAs="oneCell">
    <xdr:from>
      <xdr:col>11</xdr:col>
      <xdr:colOff>304800</xdr:colOff>
      <xdr:row>57</xdr:row>
      <xdr:rowOff>9525</xdr:rowOff>
    </xdr:from>
    <xdr:to>
      <xdr:col>27</xdr:col>
      <xdr:colOff>598667</xdr:colOff>
      <xdr:row>81</xdr:row>
      <xdr:rowOff>113773</xdr:rowOff>
    </xdr:to>
    <xdr:pic>
      <xdr:nvPicPr>
        <xdr:cNvPr id="7" name="图片 6"/>
        <xdr:cNvPicPr>
          <a:picLocks noChangeAspect="1"/>
        </xdr:cNvPicPr>
      </xdr:nvPicPr>
      <xdr:blipFill>
        <a:blip xmlns:r="http://schemas.openxmlformats.org/officeDocument/2006/relationships" r:embed="rId6"/>
        <a:stretch>
          <a:fillRect/>
        </a:stretch>
      </xdr:blipFill>
      <xdr:spPr>
        <a:xfrm>
          <a:off x="7848600" y="10039350"/>
          <a:ext cx="11266667" cy="4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11</xdr:col>
      <xdr:colOff>456201</xdr:colOff>
      <xdr:row>25</xdr:row>
      <xdr:rowOff>56654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8000001" cy="3971429"/>
        </a:xfrm>
        <a:prstGeom prst="rect">
          <a:avLst/>
        </a:prstGeom>
      </xdr:spPr>
    </xdr:pic>
    <xdr:clientData/>
  </xdr:twoCellAnchor>
  <xdr:twoCellAnchor editAs="oneCell">
    <xdr:from>
      <xdr:col>0</xdr:col>
      <xdr:colOff>0</xdr:colOff>
      <xdr:row>28</xdr:row>
      <xdr:rowOff>0</xdr:rowOff>
    </xdr:from>
    <xdr:to>
      <xdr:col>11</xdr:col>
      <xdr:colOff>322867</xdr:colOff>
      <xdr:row>50</xdr:row>
      <xdr:rowOff>161434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66667" cy="3933334"/>
        </a:xfrm>
        <a:prstGeom prst="rect">
          <a:avLst/>
        </a:prstGeom>
      </xdr:spPr>
    </xdr:pic>
    <xdr:clientData/>
  </xdr:twoCellAnchor>
  <xdr:twoCellAnchor editAs="oneCell">
    <xdr:from>
      <xdr:col>0</xdr:col>
      <xdr:colOff>0</xdr:colOff>
      <xdr:row>53</xdr:row>
      <xdr:rowOff>0</xdr:rowOff>
    </xdr:from>
    <xdr:to>
      <xdr:col>11</xdr:col>
      <xdr:colOff>494296</xdr:colOff>
      <xdr:row>76</xdr:row>
      <xdr:rowOff>18555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038096" cy="3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503820</xdr:colOff>
      <xdr:row>19</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047620" cy="2923810"/>
        </a:xfrm>
        <a:prstGeom prst="rect">
          <a:avLst/>
        </a:prstGeom>
      </xdr:spPr>
    </xdr:pic>
    <xdr:clientData/>
  </xdr:twoCellAnchor>
  <xdr:twoCellAnchor editAs="oneCell">
    <xdr:from>
      <xdr:col>0</xdr:col>
      <xdr:colOff>0</xdr:colOff>
      <xdr:row>21</xdr:row>
      <xdr:rowOff>0</xdr:rowOff>
    </xdr:from>
    <xdr:to>
      <xdr:col>11</xdr:col>
      <xdr:colOff>560962</xdr:colOff>
      <xdr:row>34</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8104762" cy="2276191"/>
        </a:xfrm>
        <a:prstGeom prst="rect">
          <a:avLst/>
        </a:prstGeom>
      </xdr:spPr>
    </xdr:pic>
    <xdr:clientData/>
  </xdr:twoCellAnchor>
  <xdr:twoCellAnchor editAs="oneCell">
    <xdr:from>
      <xdr:col>0</xdr:col>
      <xdr:colOff>0</xdr:colOff>
      <xdr:row>37</xdr:row>
      <xdr:rowOff>0</xdr:rowOff>
    </xdr:from>
    <xdr:to>
      <xdr:col>11</xdr:col>
      <xdr:colOff>313343</xdr:colOff>
      <xdr:row>45</xdr:row>
      <xdr:rowOff>76019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7857143"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3-0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估价对象为北京市房地产，为所有。根据《国有土地使用证》[]，估价对象（分摊）出让国有建设用地使用权面积为22768.44平方米，建筑面积为69908.28平方米。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估价对象为北京市房地产,属开发建设的，该项目尚在开发建设中。根据《国有土地使用证》[]，估价对象（分摊）出让国有建设用地使用权面积为22768.44平方米，规划建筑面积为69908.28平方米。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2023年5月17日</v>
      </c>
    </row>
    <row r="13" spans="1:2" s="1202" customFormat="1">
      <c r="A13" s="1200" t="s">
        <v>529</v>
      </c>
      <c r="B13" s="1201"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118239</v>
      </c>
    </row>
    <row r="21" spans="1:2" s="1202" customFormat="1">
      <c r="A21" s="1200" t="s">
        <v>537</v>
      </c>
      <c r="B21" s="1201">
        <f ca="1">'预评函-2'!D7</f>
        <v>16913</v>
      </c>
    </row>
    <row r="22" spans="1:2" s="1202" customFormat="1">
      <c r="A22" s="1200" t="s">
        <v>538</v>
      </c>
      <c r="B22" s="1201" t="str">
        <f ca="1">'预评函-2'!D6</f>
        <v>壹拾壹亿捌仟贰佰叁拾玖万元整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118239</v>
      </c>
    </row>
    <row r="31" spans="1:2" s="1202" customFormat="1">
      <c r="A31" s="1200" t="s">
        <v>576</v>
      </c>
      <c r="B31" s="1201">
        <f ca="1">'预评函-2'!D15</f>
        <v>16913</v>
      </c>
    </row>
    <row r="32" spans="1:2" s="1202" customFormat="1">
      <c r="A32" s="1200" t="s">
        <v>543</v>
      </c>
      <c r="B32" s="1201" t="str">
        <f ca="1">'预评函-2'!D14</f>
        <v>壹拾壹亿捌仟贰佰叁拾玖万元整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111987</v>
      </c>
    </row>
    <row r="39" spans="1:2" s="1202" customFormat="1">
      <c r="A39" s="1200" t="s">
        <v>545</v>
      </c>
      <c r="B39" s="1201">
        <f ca="1">'预评函-2'!D21</f>
        <v>16019</v>
      </c>
    </row>
    <row r="40" spans="1:2" s="1202" customFormat="1">
      <c r="A40" s="1200" t="s">
        <v>546</v>
      </c>
      <c r="B40" s="1201" t="str">
        <f ca="1">'预评函-2'!D20</f>
        <v>壹拾壹亿壹仟玖佰捌拾柒万元整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69908.279999999955</v>
      </c>
    </row>
    <row r="44" spans="1:2" s="1202" customFormat="1">
      <c r="A44" s="1200" t="s">
        <v>575</v>
      </c>
      <c r="B44" s="1201" t="str">
        <f>'预评函-3'!C2</f>
        <v>(分摊)土地面积</v>
      </c>
    </row>
    <row r="45" spans="1:2" s="1202" customFormat="1">
      <c r="A45" s="1200" t="s">
        <v>547</v>
      </c>
      <c r="B45" s="1201">
        <f>'预评函-3'!C4</f>
        <v>22768.44</v>
      </c>
    </row>
    <row r="46" spans="1:2" s="1202" customFormat="1">
      <c r="A46" s="1200" t="s">
        <v>573</v>
      </c>
      <c r="B46" s="1201" t="str">
        <f>'预评函-3'!D2</f>
        <v>出让国有建设用地使用权价值</v>
      </c>
    </row>
    <row r="47" spans="1:2" s="1202" customFormat="1">
      <c r="A47" s="1200" t="s">
        <v>548</v>
      </c>
      <c r="B47" s="1201">
        <f ca="1">'预评函-3'!D4</f>
        <v>100148</v>
      </c>
    </row>
    <row r="48" spans="1:2" s="1202" customFormat="1">
      <c r="A48" s="1200" t="s">
        <v>549</v>
      </c>
      <c r="B48" s="1201">
        <f ca="1">'预评函-3'!E4</f>
        <v>14325</v>
      </c>
    </row>
    <row r="49" spans="1:2" s="1202" customFormat="1">
      <c r="A49" s="1200" t="s">
        <v>550</v>
      </c>
      <c r="B49" s="1201" t="str">
        <f ca="1">'预评函-3'!D5</f>
        <v>壹拾亿零壹佰肆拾捌万元整</v>
      </c>
    </row>
    <row r="50" spans="1:2" s="1202" customFormat="1">
      <c r="A50" s="1200" t="s">
        <v>574</v>
      </c>
      <c r="B50" s="1201" t="str">
        <f>'预评函-3'!F2</f>
        <v>在建建筑物价值</v>
      </c>
    </row>
    <row r="51" spans="1:2" s="1202" customFormat="1">
      <c r="A51" s="1200" t="s">
        <v>551</v>
      </c>
      <c r="B51" s="1201">
        <f ca="1">'预评函-3'!F4</f>
        <v>18091</v>
      </c>
    </row>
    <row r="52" spans="1:2" s="1202" customFormat="1">
      <c r="A52" s="1200" t="s">
        <v>552</v>
      </c>
      <c r="B52" s="1201">
        <f ca="1">'预评函-3'!G4</f>
        <v>2588</v>
      </c>
    </row>
    <row r="53" spans="1:2" s="1202" customFormat="1">
      <c r="A53" s="1200" t="s">
        <v>580</v>
      </c>
      <c r="B53" s="1201" t="str">
        <f ca="1">'预评函-3'!F5</f>
        <v>壹亿捌仟零玖拾壹万元整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1"/>
      <c r="B54" s="1553" t="s">
        <v>385</v>
      </c>
      <c r="C54" s="1550" t="s">
        <v>583</v>
      </c>
    </row>
    <row r="55" spans="1:4">
      <c r="A55" s="3551"/>
      <c r="B55" s="1553" t="s">
        <v>386</v>
      </c>
      <c r="C55" s="1550" t="s">
        <v>584</v>
      </c>
    </row>
    <row r="56" spans="1:4">
      <c r="A56" s="3551"/>
      <c r="B56" s="1553" t="s">
        <v>387</v>
      </c>
      <c r="C56" s="1550" t="s">
        <v>588</v>
      </c>
    </row>
    <row r="57" spans="1:4">
      <c r="A57" s="355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52" t="s">
        <v>2583</v>
      </c>
      <c r="J2" s="3552"/>
      <c r="K2" s="3552"/>
      <c r="L2" s="3552"/>
      <c r="M2" s="3552"/>
      <c r="N2" s="3552"/>
      <c r="O2" s="3552"/>
      <c r="P2" s="3552"/>
      <c r="Q2" s="3552"/>
      <c r="R2" s="3552"/>
    </row>
    <row r="3" spans="1:18">
      <c r="A3" s="3016" t="s">
        <v>2504</v>
      </c>
      <c r="B3" s="3017">
        <f>项目基本情况!D3</f>
        <v>45063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3.59</v>
      </c>
      <c r="D5" s="3021">
        <f>IF(ISERROR(ROUND(POWER(1+E5,A5-C5)*(POWER(1+E5,C5)-1)/(POWER(1+E5,A5)-1),3)),0,ROUND(POWER(1+E5,A5-C5)*(POWER(1+E5,C5)-1)/(POWER(1+E5,A5)-1),4))</f>
        <v>0.16589999999999999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13.6</v>
      </c>
      <c r="D6" s="3021">
        <f>IF(ISERROR(ROUND(POWER(1+E6,A6-C6)*(POWER(1+E6,C6)-1)/(POWER(1+E6,A6)-1),3)),0,ROUND(POWER(1+E6,A6-C6)*(POWER(1+E6,C6)-1)/(POWER(1+E6,A6)-1),4))</f>
        <v>0.48110000000000003</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33.61</v>
      </c>
      <c r="D7" s="3021">
        <f>IF(ISERROR(ROUND(POWER(1+E7,A7-C7)*(POWER(1+E7,C7)-1)/(POWER(1+E7,A7)-1),3)),0,ROUND(POWER(1+E7,A7-C7)*(POWER(1+E7,C7)-1)/(POWER(1+E7,A7)-1),4))</f>
        <v>0.78259999999999996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6" sqref="L2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53" t="str">
        <f>IF(B10="北京市","北京市",C10)&amp;F10&amp;IF(结果表!G1="在建","出让国有建设用地使用权及在建建筑物",IF(结果表!G1="土地","出让国有建设用地使用权",))&amp;B9&amp;"预评估"</f>
        <v>北京市房地产抵押价值预评估</v>
      </c>
      <c r="C1" s="3554"/>
      <c r="D1" s="3554"/>
      <c r="E1" s="3554"/>
      <c r="F1" s="3554"/>
      <c r="G1" s="3554"/>
      <c r="H1" s="3554"/>
      <c r="I1" s="3555"/>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45063</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t="s">
        <v>5007</v>
      </c>
      <c r="C4" s="2372">
        <f ca="1">SUMIF(注册房地产估价师,B4,估价师及机构信息!B3:B24)</f>
        <v>1419970001</v>
      </c>
      <c r="D4" s="2371" t="s">
        <v>5008</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吴薇（注册号：1419970001)、郑燚（注册号：1120070131)</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3523</v>
      </c>
      <c r="C8" s="2386"/>
      <c r="D8" s="3556" t="s">
        <v>2177</v>
      </c>
      <c r="E8" s="2387" t="s">
        <v>3524</v>
      </c>
      <c r="F8" s="2388"/>
      <c r="G8" s="2659"/>
      <c r="H8" s="2659"/>
      <c r="I8" s="2659"/>
      <c r="J8" s="2435"/>
      <c r="K8" s="2610"/>
      <c r="L8" s="2609"/>
      <c r="M8" s="2609"/>
      <c r="N8" s="2435"/>
      <c r="O8" s="2446"/>
      <c r="P8" s="2435"/>
      <c r="Q8" s="2435"/>
      <c r="R8" s="2435"/>
    </row>
    <row r="9" spans="1:30" ht="13.5" thickBot="1">
      <c r="A9" s="2389" t="s">
        <v>2178</v>
      </c>
      <c r="B9" s="2390" t="s">
        <v>3524</v>
      </c>
      <c r="C9" s="2391"/>
      <c r="D9" s="3557"/>
      <c r="E9" s="2390" t="s">
        <v>587</v>
      </c>
      <c r="F9" s="2392"/>
      <c r="G9" s="2661"/>
      <c r="H9" s="2661"/>
      <c r="I9" s="2661"/>
      <c r="J9" s="2435"/>
      <c r="K9" s="2612"/>
      <c r="L9" s="2609"/>
      <c r="M9" s="2609"/>
      <c r="N9" s="2435"/>
      <c r="O9" s="2446"/>
      <c r="P9" s="2435"/>
      <c r="Q9" s="2435"/>
      <c r="R9" s="2435"/>
    </row>
    <row r="10" spans="1:30" ht="13.5" thickTop="1">
      <c r="A10" s="2393" t="s">
        <v>2179</v>
      </c>
      <c r="B10" s="2394" t="s">
        <v>3395</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3525</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70179</v>
      </c>
      <c r="D13" s="856">
        <v>59222</v>
      </c>
      <c r="E13" s="856"/>
      <c r="F13" s="856">
        <v>62874</v>
      </c>
      <c r="G13" s="856">
        <v>62874</v>
      </c>
      <c r="H13" s="856"/>
      <c r="I13" s="856"/>
      <c r="J13" s="3058"/>
      <c r="K13" s="2609"/>
      <c r="L13" s="2609"/>
      <c r="M13" s="2435"/>
      <c r="N13" s="2446"/>
      <c r="O13" s="2435"/>
      <c r="P13" s="2435"/>
      <c r="Q13" s="2435"/>
      <c r="AD13" s="1744"/>
    </row>
    <row r="14" spans="1:30">
      <c r="A14" s="1081"/>
      <c r="B14" s="2403" t="s">
        <v>2191</v>
      </c>
      <c r="C14" s="2404">
        <v>70</v>
      </c>
      <c r="D14" s="2404">
        <v>40</v>
      </c>
      <c r="E14" s="2404"/>
      <c r="F14" s="2404">
        <v>50</v>
      </c>
      <c r="G14" s="2404">
        <v>50</v>
      </c>
      <c r="H14" s="2404"/>
      <c r="I14" s="2404"/>
      <c r="J14" s="3059"/>
      <c r="K14" s="2609"/>
      <c r="L14" s="2609"/>
      <c r="M14" s="2435"/>
      <c r="N14" s="2446"/>
      <c r="O14" s="2435"/>
      <c r="P14" s="2435"/>
      <c r="Q14" s="2435"/>
      <c r="AD14" s="1744"/>
    </row>
    <row r="15" spans="1:30">
      <c r="A15" s="320"/>
      <c r="B15" s="2405" t="s">
        <v>2192</v>
      </c>
      <c r="C15" s="2406">
        <f>IF(A13="出让",IF(C13="","",ROUNDDOWN(MIN((C13-$D$3)/365,C14),2)),C14)</f>
        <v>68.81</v>
      </c>
      <c r="D15" s="2406">
        <f>IF(A13="出让",IF(D13="","",ROUNDDOWN(MIN((D13-$D$3)/365,D14),2)),D14)</f>
        <v>38.79</v>
      </c>
      <c r="E15" s="2406" t="str">
        <f>IF(A13="出让",IF(E13="","",ROUNDDOWN(MIN((E13-$D$3)/365,E14),2)),E14)</f>
        <v/>
      </c>
      <c r="F15" s="2406">
        <f>IF(A13="出让",IF(F13="","",ROUNDDOWN(MIN((F13-$D$3)/365,F14),2)),F14)</f>
        <v>48.79</v>
      </c>
      <c r="G15" s="2406">
        <f>IF(A13="出让",IF(G13="","",ROUNDDOWN(MIN((G13-$D$3)/365,G14),2)),G14)</f>
        <v>48.79</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63"/>
      <c r="C16" s="3564"/>
      <c r="D16" s="3565"/>
      <c r="E16" s="2409" t="s">
        <v>2194</v>
      </c>
      <c r="F16" s="3566"/>
      <c r="G16" s="3567"/>
      <c r="H16" s="3567"/>
      <c r="I16" s="3568"/>
      <c r="J16" s="2435"/>
      <c r="K16" s="2613"/>
      <c r="L16" s="2447"/>
      <c r="M16" s="2447"/>
      <c r="N16" s="2505"/>
      <c r="O16" s="2447"/>
      <c r="P16" s="2505"/>
      <c r="Q16" s="2435"/>
      <c r="R16" s="2435"/>
    </row>
    <row r="17" spans="1:28">
      <c r="A17" s="313" t="s">
        <v>2195</v>
      </c>
      <c r="B17" s="302" t="s">
        <v>2196</v>
      </c>
      <c r="C17" s="8">
        <f>'数据-汇总表'!E3</f>
        <v>69908.279999999955</v>
      </c>
      <c r="D17" s="2318" t="s">
        <v>2197</v>
      </c>
      <c r="E17" s="3569" t="s">
        <v>2198</v>
      </c>
      <c r="F17" s="3570"/>
      <c r="G17" s="3570"/>
      <c r="H17" s="3570"/>
      <c r="I17" s="3571"/>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22768.44</v>
      </c>
      <c r="D18" s="1092" t="s">
        <v>2201</v>
      </c>
      <c r="E18" s="3572" t="s">
        <v>2202</v>
      </c>
      <c r="F18" s="3573"/>
      <c r="G18" s="3573"/>
      <c r="H18" s="3573"/>
      <c r="I18" s="3574"/>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59" t="s">
        <v>2206</v>
      </c>
      <c r="C20" s="3560"/>
      <c r="D20" s="3561" t="s">
        <v>2207</v>
      </c>
      <c r="E20" s="3562"/>
      <c r="F20" s="2643" t="s">
        <v>1056</v>
      </c>
      <c r="G20" s="2660"/>
      <c r="H20" s="2660"/>
      <c r="I20" s="2660"/>
      <c r="J20" s="2435"/>
      <c r="K20" s="355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6"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6"/>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6"/>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7"/>
      <c r="B30" s="302" t="s">
        <v>2218</v>
      </c>
      <c r="C30" s="3578"/>
      <c r="D30" s="3579"/>
      <c r="E30" s="2660"/>
      <c r="F30" s="2660"/>
      <c r="G30" s="2660"/>
      <c r="H30" s="2660"/>
      <c r="I30" s="2660"/>
      <c r="J30" s="2435"/>
      <c r="K30" s="2612"/>
      <c r="L30" s="2609"/>
      <c r="M30" s="2609"/>
      <c r="N30" s="2435"/>
      <c r="O30" s="2446"/>
      <c r="P30" s="2435"/>
      <c r="Q30" s="2435"/>
      <c r="R30" s="2435"/>
      <c r="S30" s="2435"/>
      <c r="T30" s="2435"/>
      <c r="U30" s="2435"/>
      <c r="V30" s="2435"/>
    </row>
    <row r="31" spans="1:28">
      <c r="A31" s="3580"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81"/>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81"/>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75" t="s">
        <v>2228</v>
      </c>
      <c r="T34" s="2424" t="str">
        <f>NUMBERSTRING(7-K34,1)&amp;"通"</f>
        <v>七通</v>
      </c>
      <c r="U34" s="2435"/>
      <c r="V34" s="2435"/>
    </row>
    <row r="35" spans="1:30">
      <c r="A35" s="2425"/>
      <c r="B35" s="3582" t="s">
        <v>2229</v>
      </c>
      <c r="C35" s="3582"/>
      <c r="D35" s="3582"/>
      <c r="E35" s="3582"/>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5"/>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3553</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土地分摊表!K195+土地分摊表!L187</f>
        <v>22768.439999999995</v>
      </c>
      <c r="B3" s="11">
        <f>IF(C3="否",G5-AT5,G5)</f>
        <v>69908.279999999955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69908.279999999955</v>
      </c>
      <c r="H5" s="13">
        <f t="shared" ref="H5:AT5" si="0">SUM(H13:H656)</f>
        <v>69908.279999999955</v>
      </c>
      <c r="I5" s="13">
        <f t="shared" si="0"/>
        <v>42310.899999999994</v>
      </c>
      <c r="J5" s="13">
        <f t="shared" si="0"/>
        <v>0</v>
      </c>
      <c r="K5" s="13">
        <f t="shared" si="0"/>
        <v>21458.77999999997</v>
      </c>
      <c r="L5" s="13">
        <f t="shared" si="0"/>
        <v>0</v>
      </c>
      <c r="M5" s="13">
        <f t="shared" si="0"/>
        <v>6138.5999999999922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69908.279999999955</v>
      </c>
      <c r="BA5" s="15">
        <f t="shared" si="1"/>
        <v>69908.279999999955</v>
      </c>
      <c r="BB5" s="15">
        <f t="shared" si="1"/>
        <v>42310.899999999994</v>
      </c>
      <c r="BC5" s="15">
        <f t="shared" si="1"/>
        <v>21458.77999999997</v>
      </c>
      <c r="BD5" s="15">
        <f t="shared" si="1"/>
        <v>6138.5999999999922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22768.43</v>
      </c>
      <c r="F6" s="13" t="s">
        <v>0</v>
      </c>
      <c r="G6" s="13" t="s">
        <v>1</v>
      </c>
      <c r="H6" s="17">
        <f>SUMIF(I$12:AB$12,"总值",I6:AB6)</f>
        <v>22768.43</v>
      </c>
      <c r="I6" s="13">
        <f t="shared" ref="I6:AB6" si="2">ROUND($A$3*I5/$B$3,2)</f>
        <v>13780.24</v>
      </c>
      <c r="J6" s="13">
        <f t="shared" si="2"/>
        <v>0</v>
      </c>
      <c r="K6" s="13">
        <f t="shared" si="2"/>
        <v>6988.91</v>
      </c>
      <c r="L6" s="13">
        <f t="shared" si="2"/>
        <v>0</v>
      </c>
      <c r="M6" s="13">
        <f t="shared" si="2"/>
        <v>1999.28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22768.44</v>
      </c>
      <c r="AZ6" s="13" t="s">
        <v>2</v>
      </c>
      <c r="BA6" s="13">
        <f>ROUND($AY$6*BA5/$AZ$5,2)</f>
        <v>22768.44</v>
      </c>
      <c r="BB6" s="13">
        <f>ROUND($AY$6*BB5/$AZ$5,2)</f>
        <v>13780.24</v>
      </c>
      <c r="BC6" s="13">
        <f t="shared" ref="BC6:BH6" si="4">ROUND($AY$6*BC5/$AZ$5,2)</f>
        <v>6988.91</v>
      </c>
      <c r="BD6" s="13">
        <f t="shared" si="4"/>
        <v>1999.28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3527</v>
      </c>
      <c r="J9" s="809"/>
      <c r="K9" s="1602" t="s">
        <v>3529</v>
      </c>
      <c r="L9" s="809"/>
      <c r="M9" s="1602" t="s">
        <v>3529</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3528</v>
      </c>
      <c r="J10" s="809"/>
      <c r="K10" s="1608" t="s">
        <v>3338</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车库</v>
      </c>
      <c r="BD11" s="1598" t="str">
        <f>M10</f>
        <v>仓储</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3526</v>
      </c>
      <c r="E13" s="13">
        <f>IF($C$3="是",ROUND($A$3*G13/$B$3,2),ROUND($A$3*(G13-AT13)/$B$3,2))</f>
        <v>22768.44</v>
      </c>
      <c r="F13" s="29"/>
      <c r="G13" s="30">
        <f>H13+AC13+AT13</f>
        <v>69908.279999999955</v>
      </c>
      <c r="H13" s="17">
        <f>SUMIF(I$12:AB$12,"总值",I13:AB13)</f>
        <v>69908.279999999955</v>
      </c>
      <c r="I13" s="1625">
        <f>土地分摊表!J192+土地分摊表!K187</f>
        <v>42310.899999999994</v>
      </c>
      <c r="J13" s="1625"/>
      <c r="K13" s="1625">
        <f>土地分摊表!J193</f>
        <v>21458.77999999997</v>
      </c>
      <c r="L13" s="1625"/>
      <c r="M13" s="1625">
        <f>土地分摊表!J194</f>
        <v>6138.5999999999922</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22768.44</v>
      </c>
      <c r="AZ13" s="13">
        <f>BA13+BL13</f>
        <v>69908.279999999955</v>
      </c>
      <c r="BA13" s="13">
        <f>SUM(BB13:BK13)</f>
        <v>69908.279999999955</v>
      </c>
      <c r="BB13" s="13">
        <f>IF($D13="是",I13-J13,0)</f>
        <v>42310.899999999994</v>
      </c>
      <c r="BC13" s="13">
        <f>IF($D13="是",K13-L13,0)</f>
        <v>21458.77999999997</v>
      </c>
      <c r="BD13" s="13">
        <f>IF($D13="是",M13-N13,0)</f>
        <v>6138.5999999999922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1"/>
  <sheetViews>
    <sheetView workbookViewId="0">
      <selection activeCell="I36" sqref="I36"/>
    </sheetView>
  </sheetViews>
  <sheetFormatPr defaultColWidth="9" defaultRowHeight="12"/>
  <cols>
    <col min="1" max="1" width="9" style="3453"/>
    <col min="2" max="2" width="12.5" style="3453" bestFit="1" customWidth="1"/>
    <col min="3" max="3" width="9.625" style="3453" bestFit="1" customWidth="1"/>
    <col min="4" max="4" width="11.375" style="3453" bestFit="1" customWidth="1"/>
    <col min="5" max="5" width="9" style="3453"/>
    <col min="6" max="6" width="6.75" style="3453" bestFit="1" customWidth="1"/>
    <col min="7" max="7" width="6.375" style="3453" bestFit="1" customWidth="1"/>
    <col min="8" max="9" width="9.625" style="3453" bestFit="1" customWidth="1"/>
    <col min="10" max="10" width="11.375" style="3453" bestFit="1" customWidth="1"/>
    <col min="11" max="11" width="8" style="3453" bestFit="1" customWidth="1"/>
    <col min="12" max="12" width="6.75" style="3453" bestFit="1" customWidth="1"/>
    <col min="13" max="13" width="8" style="3453" bestFit="1" customWidth="1"/>
    <col min="14" max="14" width="7.625" style="3453" bestFit="1" customWidth="1"/>
    <col min="15" max="15" width="8.5" style="3453" bestFit="1" customWidth="1"/>
    <col min="16" max="16384" width="9" style="3453"/>
  </cols>
  <sheetData>
    <row r="3" spans="2:15">
      <c r="B3" s="3454" t="s">
        <v>3469</v>
      </c>
      <c r="C3" s="3454" t="s">
        <v>3470</v>
      </c>
      <c r="D3" s="3454" t="s">
        <v>3471</v>
      </c>
      <c r="E3" s="3454" t="s">
        <v>3472</v>
      </c>
      <c r="F3" s="3454" t="s">
        <v>3473</v>
      </c>
      <c r="G3" s="3454" t="s">
        <v>3474</v>
      </c>
      <c r="H3" s="3454" t="s">
        <v>3476</v>
      </c>
      <c r="I3" s="3454" t="s">
        <v>3475</v>
      </c>
      <c r="J3" s="3454" t="s">
        <v>3477</v>
      </c>
      <c r="K3" s="3454" t="s">
        <v>3478</v>
      </c>
      <c r="L3" s="3454" t="s">
        <v>3473</v>
      </c>
      <c r="M3" s="3454" t="s">
        <v>3479</v>
      </c>
      <c r="N3" s="3454" t="s">
        <v>3480</v>
      </c>
      <c r="O3" s="3454" t="s">
        <v>3481</v>
      </c>
    </row>
    <row r="4" spans="2:15">
      <c r="B4" s="3454" t="s">
        <v>3498</v>
      </c>
      <c r="C4" s="3454">
        <v>5438.56</v>
      </c>
      <c r="D4" s="3454">
        <v>5031.1000000000004</v>
      </c>
      <c r="E4" s="3454">
        <v>5031.1000000000004</v>
      </c>
      <c r="F4" s="3454"/>
      <c r="G4" s="3454"/>
      <c r="H4" s="3454"/>
      <c r="I4" s="3454"/>
      <c r="J4" s="3454">
        <v>407.46</v>
      </c>
      <c r="K4" s="3454"/>
      <c r="L4" s="3454"/>
      <c r="M4" s="3454">
        <v>407.46</v>
      </c>
      <c r="N4" s="3454"/>
      <c r="O4" s="3454"/>
    </row>
    <row r="5" spans="2:15" ht="13.5">
      <c r="B5" s="3454" t="s">
        <v>3482</v>
      </c>
      <c r="C5" s="3454">
        <v>6082.71</v>
      </c>
      <c r="D5" s="3454">
        <v>5492.21</v>
      </c>
      <c r="E5" s="3454">
        <v>5492.21</v>
      </c>
      <c r="F5" s="3454"/>
      <c r="G5" s="3454"/>
      <c r="H5" s="3454"/>
      <c r="I5" s="3454"/>
      <c r="J5" s="3454">
        <v>590.5</v>
      </c>
      <c r="K5" s="3454"/>
      <c r="L5" s="3454"/>
      <c r="M5" s="3454"/>
      <c r="N5" s="3454">
        <v>590.5</v>
      </c>
      <c r="O5" s="3454"/>
    </row>
    <row r="6" spans="2:15" ht="13.5">
      <c r="B6" s="3454" t="s">
        <v>3483</v>
      </c>
      <c r="C6" s="3454">
        <v>6082.65</v>
      </c>
      <c r="D6" s="3454">
        <v>5492.21</v>
      </c>
      <c r="E6" s="3454">
        <v>5492.21</v>
      </c>
      <c r="F6" s="3454"/>
      <c r="G6" s="3454"/>
      <c r="H6" s="3454"/>
      <c r="I6" s="3454"/>
      <c r="J6" s="3454">
        <v>590.44000000000005</v>
      </c>
      <c r="K6" s="3454"/>
      <c r="L6" s="3454"/>
      <c r="M6" s="3454"/>
      <c r="N6" s="3454">
        <v>590.44000000000005</v>
      </c>
      <c r="O6" s="3454"/>
    </row>
    <row r="7" spans="2:15" ht="13.5">
      <c r="B7" s="3454" t="s">
        <v>3484</v>
      </c>
      <c r="C7" s="3454">
        <v>5312.42</v>
      </c>
      <c r="D7" s="3454">
        <v>4921.21</v>
      </c>
      <c r="E7" s="3454">
        <v>4883.87</v>
      </c>
      <c r="F7" s="3454"/>
      <c r="G7" s="3454">
        <v>37.340000000000003</v>
      </c>
      <c r="H7" s="3454"/>
      <c r="I7" s="3454"/>
      <c r="J7" s="3454">
        <v>391.21</v>
      </c>
      <c r="K7" s="3454"/>
      <c r="L7" s="3454"/>
      <c r="M7" s="3454">
        <v>143.91</v>
      </c>
      <c r="N7" s="3454">
        <v>247.3</v>
      </c>
      <c r="O7" s="3454"/>
    </row>
    <row r="8" spans="2:15" ht="13.5">
      <c r="B8" s="3454" t="s">
        <v>3485</v>
      </c>
      <c r="C8" s="3454">
        <v>6413.21</v>
      </c>
      <c r="D8" s="3454">
        <v>5532.28</v>
      </c>
      <c r="E8" s="3454">
        <v>5532.28</v>
      </c>
      <c r="F8" s="3454"/>
      <c r="G8" s="3454"/>
      <c r="H8" s="3454"/>
      <c r="I8" s="3454"/>
      <c r="J8" s="3454">
        <v>880.93</v>
      </c>
      <c r="K8" s="3454"/>
      <c r="L8" s="3454"/>
      <c r="M8" s="3454"/>
      <c r="N8" s="3454">
        <v>880.93</v>
      </c>
      <c r="O8" s="3454"/>
    </row>
    <row r="9" spans="2:15" ht="13.5">
      <c r="B9" s="3454" t="s">
        <v>3486</v>
      </c>
      <c r="C9" s="3454">
        <v>6443.65</v>
      </c>
      <c r="D9" s="3454">
        <v>5532.28</v>
      </c>
      <c r="E9" s="3454">
        <v>5532.28</v>
      </c>
      <c r="F9" s="3454"/>
      <c r="G9" s="3454"/>
      <c r="H9" s="3454"/>
      <c r="I9" s="3454"/>
      <c r="J9" s="3454">
        <v>911.37</v>
      </c>
      <c r="K9" s="3454"/>
      <c r="L9" s="3454"/>
      <c r="M9" s="3454"/>
      <c r="N9" s="3454">
        <v>911.37</v>
      </c>
      <c r="O9" s="3454"/>
    </row>
    <row r="10" spans="2:15" ht="13.5">
      <c r="B10" s="3454" t="s">
        <v>3487</v>
      </c>
      <c r="C10" s="3454">
        <v>3803.3</v>
      </c>
      <c r="D10" s="3454">
        <v>3548.44</v>
      </c>
      <c r="E10" s="3454">
        <v>3548.44</v>
      </c>
      <c r="F10" s="3454"/>
      <c r="G10" s="3454"/>
      <c r="H10" s="3454"/>
      <c r="I10" s="3454"/>
      <c r="J10" s="3454">
        <v>254.86</v>
      </c>
      <c r="K10" s="3454"/>
      <c r="L10" s="3454"/>
      <c r="M10" s="3454">
        <v>254.86</v>
      </c>
      <c r="N10" s="3454"/>
      <c r="O10" s="3454"/>
    </row>
    <row r="11" spans="2:15" ht="13.5">
      <c r="B11" s="3454" t="s">
        <v>3488</v>
      </c>
      <c r="C11" s="3454">
        <v>6657.19</v>
      </c>
      <c r="D11" s="3454">
        <v>5532.28</v>
      </c>
      <c r="E11" s="3454">
        <v>5532.28</v>
      </c>
      <c r="F11" s="3454"/>
      <c r="G11" s="3454"/>
      <c r="H11" s="3454"/>
      <c r="I11" s="3454"/>
      <c r="J11" s="3454">
        <v>1124.9100000000001</v>
      </c>
      <c r="K11" s="3454"/>
      <c r="L11" s="3454"/>
      <c r="M11" s="3454"/>
      <c r="N11" s="3454">
        <v>1124.9100000000001</v>
      </c>
      <c r="O11" s="3454"/>
    </row>
    <row r="12" spans="2:15" ht="13.5">
      <c r="B12" s="3454" t="s">
        <v>3489</v>
      </c>
      <c r="C12" s="3454">
        <v>6610.12</v>
      </c>
      <c r="D12" s="3454">
        <v>5532.28</v>
      </c>
      <c r="E12" s="3454">
        <v>5532.28</v>
      </c>
      <c r="F12" s="3454"/>
      <c r="G12" s="3454"/>
      <c r="H12" s="3454"/>
      <c r="I12" s="3454"/>
      <c r="J12" s="3454">
        <v>1077.8399999999999</v>
      </c>
      <c r="K12" s="3454"/>
      <c r="L12" s="3454"/>
      <c r="M12" s="3454">
        <v>38.700000000000003</v>
      </c>
      <c r="N12" s="3454">
        <v>1039.1400000000001</v>
      </c>
      <c r="O12" s="3454"/>
    </row>
    <row r="13" spans="2:15" ht="13.5">
      <c r="B13" s="3454" t="s">
        <v>3490</v>
      </c>
      <c r="C13" s="3454">
        <v>3852</v>
      </c>
      <c r="D13" s="3454">
        <v>3556.68</v>
      </c>
      <c r="E13" s="3454">
        <v>3548.33</v>
      </c>
      <c r="F13" s="3454"/>
      <c r="G13" s="3454"/>
      <c r="H13" s="3454">
        <v>8.35</v>
      </c>
      <c r="I13" s="3454"/>
      <c r="J13" s="3454">
        <v>295.32</v>
      </c>
      <c r="K13" s="3454"/>
      <c r="L13" s="3454"/>
      <c r="M13" s="3454">
        <v>192.1</v>
      </c>
      <c r="N13" s="3454">
        <v>103.22</v>
      </c>
      <c r="O13" s="3454"/>
    </row>
    <row r="14" spans="2:15" ht="13.5">
      <c r="B14" s="3454" t="s">
        <v>3491</v>
      </c>
      <c r="C14" s="3454">
        <v>3809.51</v>
      </c>
      <c r="D14" s="3454">
        <v>3548.44</v>
      </c>
      <c r="E14" s="3454">
        <v>3548.44</v>
      </c>
      <c r="F14" s="3454"/>
      <c r="G14" s="3454"/>
      <c r="H14" s="3454"/>
      <c r="I14" s="3454"/>
      <c r="J14" s="3454">
        <v>261.07</v>
      </c>
      <c r="K14" s="3454"/>
      <c r="L14" s="3454"/>
      <c r="M14" s="3454">
        <v>261.07</v>
      </c>
      <c r="N14" s="3454"/>
      <c r="O14" s="3454"/>
    </row>
    <row r="15" spans="2:15" ht="13.5">
      <c r="B15" s="3454" t="s">
        <v>3492</v>
      </c>
      <c r="C15" s="3454">
        <v>6973.83</v>
      </c>
      <c r="D15" s="3454">
        <v>6660.72</v>
      </c>
      <c r="E15" s="3454">
        <v>6660.72</v>
      </c>
      <c r="F15" s="3454"/>
      <c r="G15" s="3454"/>
      <c r="H15" s="3454"/>
      <c r="I15" s="3454"/>
      <c r="J15" s="3454">
        <v>313.11</v>
      </c>
      <c r="K15" s="3454"/>
      <c r="L15" s="3454"/>
      <c r="M15" s="3454">
        <v>50.82</v>
      </c>
      <c r="N15" s="3454">
        <v>262.29000000000002</v>
      </c>
      <c r="O15" s="3454"/>
    </row>
    <row r="16" spans="2:15" ht="13.5">
      <c r="B16" s="3454" t="s">
        <v>3493</v>
      </c>
      <c r="C16" s="3454">
        <v>6985.12</v>
      </c>
      <c r="D16" s="3454">
        <v>6660.72</v>
      </c>
      <c r="E16" s="3454">
        <v>6660.72</v>
      </c>
      <c r="F16" s="3454"/>
      <c r="G16" s="3454"/>
      <c r="H16" s="3454"/>
      <c r="I16" s="3454"/>
      <c r="J16" s="3454">
        <v>324.39999999999998</v>
      </c>
      <c r="K16" s="3454"/>
      <c r="L16" s="3454"/>
      <c r="M16" s="3454">
        <v>36.18</v>
      </c>
      <c r="N16" s="3454">
        <v>288.22000000000003</v>
      </c>
      <c r="O16" s="3454"/>
    </row>
    <row r="17" spans="2:15" ht="13.5">
      <c r="B17" s="3454" t="s">
        <v>3494</v>
      </c>
      <c r="C17" s="3454">
        <v>3815.44</v>
      </c>
      <c r="D17" s="3454">
        <v>3550.25</v>
      </c>
      <c r="E17" s="3454">
        <v>3550.25</v>
      </c>
      <c r="F17" s="3454"/>
      <c r="G17" s="3454"/>
      <c r="H17" s="3454"/>
      <c r="I17" s="3454"/>
      <c r="J17" s="3454">
        <v>265.19</v>
      </c>
      <c r="K17" s="3454"/>
      <c r="L17" s="3454"/>
      <c r="M17" s="3454">
        <v>265.19</v>
      </c>
      <c r="N17" s="3454"/>
      <c r="O17" s="3454"/>
    </row>
    <row r="18" spans="2:15">
      <c r="B18" s="3454" t="s">
        <v>3495</v>
      </c>
      <c r="C18" s="3454">
        <v>375.26</v>
      </c>
      <c r="D18" s="3454">
        <v>375.26</v>
      </c>
      <c r="E18" s="3454"/>
      <c r="F18" s="3454">
        <v>375.26</v>
      </c>
      <c r="G18" s="3454"/>
      <c r="H18" s="3454"/>
      <c r="I18" s="3454"/>
      <c r="J18" s="3454"/>
      <c r="K18" s="3454"/>
      <c r="L18" s="3454"/>
      <c r="M18" s="3454"/>
      <c r="N18" s="3454"/>
      <c r="O18" s="3454"/>
    </row>
    <row r="19" spans="2:15">
      <c r="B19" s="3454" t="s">
        <v>3496</v>
      </c>
      <c r="C19" s="3454">
        <v>859.64</v>
      </c>
      <c r="D19" s="3454">
        <v>226.8</v>
      </c>
      <c r="E19" s="3454"/>
      <c r="F19" s="3454">
        <v>226.8</v>
      </c>
      <c r="G19" s="3454"/>
      <c r="H19" s="3454"/>
      <c r="I19" s="3454"/>
      <c r="J19" s="3454">
        <v>632.84</v>
      </c>
      <c r="K19" s="3454">
        <v>381.91</v>
      </c>
      <c r="L19" s="3454">
        <v>250.93</v>
      </c>
      <c r="M19" s="3454"/>
      <c r="N19" s="3454"/>
      <c r="O19" s="3454"/>
    </row>
    <row r="20" spans="2:15">
      <c r="B20" s="3454" t="s">
        <v>3497</v>
      </c>
      <c r="C20" s="3454">
        <v>30220.06</v>
      </c>
      <c r="D20" s="3454">
        <v>86.04</v>
      </c>
      <c r="E20" s="3454"/>
      <c r="F20" s="3454"/>
      <c r="G20" s="3454"/>
      <c r="H20" s="3454"/>
      <c r="I20" s="3454">
        <v>86.04</v>
      </c>
      <c r="J20" s="3454">
        <v>30134.02</v>
      </c>
      <c r="K20" s="3454"/>
      <c r="L20" s="3454">
        <v>789.47</v>
      </c>
      <c r="M20" s="3454">
        <v>1060.51</v>
      </c>
      <c r="N20" s="3454"/>
      <c r="O20" s="3454">
        <v>28284.04</v>
      </c>
    </row>
    <row r="21" spans="2:15">
      <c r="C21" s="3453">
        <f>SUM(C4:C20)</f>
        <v>109734.67</v>
      </c>
      <c r="D21" s="3453">
        <f t="shared" ref="D21:O21" si="0">SUM(D4:D20)</f>
        <v>71279.199999999983</v>
      </c>
      <c r="E21" s="3453">
        <f t="shared" si="0"/>
        <v>70545.41</v>
      </c>
      <c r="F21" s="3453">
        <f t="shared" si="0"/>
        <v>602.05999999999995</v>
      </c>
      <c r="G21" s="3453">
        <f t="shared" si="0"/>
        <v>37.340000000000003</v>
      </c>
      <c r="H21" s="3453">
        <f t="shared" si="0"/>
        <v>8.35</v>
      </c>
      <c r="I21" s="3453">
        <f t="shared" si="0"/>
        <v>86.04</v>
      </c>
      <c r="J21" s="3453">
        <f t="shared" si="0"/>
        <v>38455.47</v>
      </c>
      <c r="K21" s="3453">
        <f t="shared" si="0"/>
        <v>381.91</v>
      </c>
      <c r="L21" s="3453">
        <f t="shared" si="0"/>
        <v>1040.4000000000001</v>
      </c>
      <c r="M21" s="3453">
        <f t="shared" si="0"/>
        <v>2710.8</v>
      </c>
      <c r="N21" s="3453">
        <f t="shared" si="0"/>
        <v>6038.3200000000006</v>
      </c>
      <c r="O21" s="3453">
        <f t="shared" si="0"/>
        <v>28284.04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793"/>
  <sheetViews>
    <sheetView topLeftCell="A11" workbookViewId="0">
      <selection activeCell="C14" sqref="C14"/>
    </sheetView>
  </sheetViews>
  <sheetFormatPr defaultColWidth="9" defaultRowHeight="12"/>
  <cols>
    <col min="1" max="16384" width="9" style="3453"/>
  </cols>
  <sheetData>
    <row r="3" spans="1:31">
      <c r="C3" s="3453">
        <f>C13+E13+G13+I13+K13+M13+O13+Q13+S13+U13+W13+Y13+AC13+AD15</f>
        <v>61335.979999999989</v>
      </c>
    </row>
    <row r="8" spans="1:31">
      <c r="B8" s="3453" t="s">
        <v>3472</v>
      </c>
      <c r="C8" s="3453">
        <f t="shared" ref="C8:AA8" si="0">B15-C9</f>
        <v>5020.1199999999981</v>
      </c>
      <c r="D8" s="3453" t="s">
        <v>3472</v>
      </c>
      <c r="E8" s="3453">
        <f t="shared" si="0"/>
        <v>5507.0399999999991</v>
      </c>
      <c r="F8" s="3453" t="s">
        <v>3472</v>
      </c>
      <c r="G8" s="3453">
        <f t="shared" si="0"/>
        <v>5507.0400000000045</v>
      </c>
      <c r="H8" s="3453" t="s">
        <v>3472</v>
      </c>
      <c r="I8" s="3453">
        <f t="shared" si="0"/>
        <v>4873.0200000000059</v>
      </c>
      <c r="J8" s="3453" t="s">
        <v>3472</v>
      </c>
      <c r="K8" s="3453">
        <f t="shared" si="0"/>
        <v>5535.989999999998</v>
      </c>
      <c r="L8" s="3453" t="s">
        <v>3472</v>
      </c>
      <c r="M8" s="3453">
        <f t="shared" si="0"/>
        <v>5535.99</v>
      </c>
      <c r="N8" s="3453" t="s">
        <v>3472</v>
      </c>
      <c r="O8" s="3453">
        <f t="shared" si="0"/>
        <v>3538.4999999999986</v>
      </c>
      <c r="P8" s="3453" t="s">
        <v>3472</v>
      </c>
      <c r="Q8" s="3453">
        <f t="shared" si="0"/>
        <v>5535.9899999999971</v>
      </c>
      <c r="R8" s="3453" t="s">
        <v>3472</v>
      </c>
      <c r="S8" s="3453">
        <f t="shared" si="0"/>
        <v>5535.9899999999943</v>
      </c>
      <c r="T8" s="3453" t="s">
        <v>3472</v>
      </c>
      <c r="U8" s="3453">
        <f t="shared" si="0"/>
        <v>3538.2800000000007</v>
      </c>
      <c r="V8" s="3453" t="s">
        <v>3472</v>
      </c>
      <c r="W8" s="3453">
        <f t="shared" si="0"/>
        <v>3538.4999999999986</v>
      </c>
      <c r="X8" s="3453" t="s">
        <v>3472</v>
      </c>
      <c r="Y8" s="3453">
        <f t="shared" si="0"/>
        <v>6658.3700000000008</v>
      </c>
      <c r="Z8" s="3453" t="s">
        <v>3472</v>
      </c>
      <c r="AA8" s="3453">
        <f t="shared" si="0"/>
        <v>6658.3699999999972</v>
      </c>
      <c r="AB8" s="3453" t="s">
        <v>3472</v>
      </c>
      <c r="AC8" s="3453">
        <f>AB15-AC9</f>
        <v>3538.4999999999986</v>
      </c>
      <c r="AD8" s="3453" t="s">
        <v>3472</v>
      </c>
    </row>
    <row r="9" spans="1:31">
      <c r="B9" s="3453" t="s">
        <v>3521</v>
      </c>
      <c r="D9" s="3453" t="s">
        <v>3521</v>
      </c>
      <c r="E9" s="3453">
        <f>SUM(E75:E84)</f>
        <v>584.91</v>
      </c>
      <c r="F9" s="3453" t="s">
        <v>3521</v>
      </c>
      <c r="G9" s="3453">
        <f>SUM(G75:G84)</f>
        <v>585.33000000000015</v>
      </c>
      <c r="H9" s="3453" t="s">
        <v>3521</v>
      </c>
      <c r="I9" s="3453">
        <f>SUM(I86:I93)</f>
        <v>240.94</v>
      </c>
      <c r="J9" s="3453" t="s">
        <v>3521</v>
      </c>
      <c r="K9" s="3453">
        <f>SUM(K75:K94)</f>
        <v>875.54000000000008</v>
      </c>
      <c r="L9" s="3453" t="s">
        <v>3521</v>
      </c>
      <c r="M9" s="3453">
        <f>SUM(M75:M96)</f>
        <v>907.56</v>
      </c>
      <c r="N9" s="3453" t="s">
        <v>3521</v>
      </c>
      <c r="P9" s="3453" t="s">
        <v>3521</v>
      </c>
      <c r="Q9" s="3453">
        <f>SUM(Q75:Q110)</f>
        <v>1119.8300000000002</v>
      </c>
      <c r="R9" s="3453" t="s">
        <v>3521</v>
      </c>
      <c r="S9" s="3453">
        <f>SUM(S75:S104)</f>
        <v>1071.6400000000001</v>
      </c>
      <c r="T9" s="3453" t="s">
        <v>3521</v>
      </c>
      <c r="U9" s="3453">
        <f>SUM(U64:U67)</f>
        <v>213.74</v>
      </c>
      <c r="V9" s="3453" t="s">
        <v>3521</v>
      </c>
      <c r="X9" s="3453" t="s">
        <v>3521</v>
      </c>
      <c r="Y9" s="3453">
        <f>SUM(Y107:Y114)</f>
        <v>256.20000000000005</v>
      </c>
      <c r="Z9" s="3453" t="s">
        <v>3521</v>
      </c>
      <c r="AA9" s="3453">
        <f>SUM(AA107:AA115)</f>
        <v>282.90999999999997</v>
      </c>
      <c r="AB9" s="3453" t="s">
        <v>3521</v>
      </c>
      <c r="AD9" s="3453" t="s">
        <v>3521</v>
      </c>
    </row>
    <row r="10" spans="1:31">
      <c r="D10" s="3453" t="s">
        <v>3522</v>
      </c>
      <c r="F10" s="3453" t="s">
        <v>3522</v>
      </c>
      <c r="H10" s="3453" t="s">
        <v>3522</v>
      </c>
      <c r="J10" s="3453" t="s">
        <v>3522</v>
      </c>
      <c r="L10" s="3453" t="s">
        <v>3522</v>
      </c>
      <c r="N10" s="3453" t="s">
        <v>3522</v>
      </c>
      <c r="P10" s="3453" t="s">
        <v>3522</v>
      </c>
      <c r="R10" s="3453" t="s">
        <v>3522</v>
      </c>
      <c r="T10" s="3453" t="s">
        <v>3522</v>
      </c>
      <c r="V10" s="3453" t="s">
        <v>3522</v>
      </c>
      <c r="X10" s="3453" t="s">
        <v>3522</v>
      </c>
      <c r="Z10" s="3453" t="s">
        <v>3522</v>
      </c>
      <c r="AB10" s="3453" t="s">
        <v>3522</v>
      </c>
      <c r="AD10" s="3453" t="s">
        <v>3522</v>
      </c>
      <c r="AE10" s="3453">
        <f>AD15</f>
        <v>21458.779999999977</v>
      </c>
    </row>
    <row r="13" spans="1:31">
      <c r="A13" s="3453" t="s">
        <v>3534</v>
      </c>
      <c r="B13" s="3460">
        <f>SUM(C18:C27,C29,C31,C34:C35,C37,C41,C43:C51,C54:C59,C68:C75,C77,C79:C81,C84,C86)</f>
        <v>3375.7799999999988</v>
      </c>
      <c r="C13" s="3461">
        <f>SUM(C28,C32:C33,C36,C38:C40,C42,C52:C53,C60:C63,C65:C67,C76,C78,C82:C83,C85)</f>
        <v>1644.3399999999997</v>
      </c>
      <c r="D13" s="3460">
        <f>SUM(E20,E23:E26,E28:E31,E33:E35,E39,E42,E45:E51,E60:E61,E65:E68,E71:E73)</f>
        <v>3048.68</v>
      </c>
      <c r="E13" s="3461">
        <f>SUM(E18:E19,E21:E22,E27,E32,E37:E38,E40:E41,E43:E44,E52:E54,E56:E59,E62:E64,E69:E70)</f>
        <v>2458.3600000000006</v>
      </c>
      <c r="F13" s="3460">
        <f>SUM(G28)</f>
        <v>96.47</v>
      </c>
      <c r="G13" s="3461">
        <f>SUM(G18:G27,G29:G35,G37:G54,G56:G73)</f>
        <v>5410.5700000000033</v>
      </c>
      <c r="H13" s="3460">
        <f>SUM(I39,I53,I57,I62,I77)</f>
        <v>361.90999999999997</v>
      </c>
      <c r="I13" s="3461">
        <f>SUM(I18:I38,I41:I52,I54:I56,I58:I61,I63:I73,I75:I76,I78:I84)</f>
        <v>4511.1100000000033</v>
      </c>
      <c r="J13" s="3460">
        <f>SUM(K26,K42,K46,K48,K60,K64)</f>
        <v>574.11</v>
      </c>
      <c r="K13" s="3461">
        <f>SUM(K18:K25,K27:K35,K37:K41,K43:K45,K47,K49:K54,K56:K59,K61:K63,K65:K73)</f>
        <v>4961.8799999999992</v>
      </c>
      <c r="L13" s="3460">
        <f>SUM(M24:M26,M28:M29,M31,M34:M35,M41:M42,M43,M45:M52,M54,M60:M61,M63:M68,M70,M73)</f>
        <v>3095.2499999999986</v>
      </c>
      <c r="M13" s="3461">
        <f>SUM(M18:M23,M27,M30,M32:M33,M37:M40,M44,M53,M56:M59,M62,M69,M71:M72)</f>
        <v>2440.7399999999989</v>
      </c>
      <c r="N13" s="3460">
        <f>SUM(O18,O20:O33,O35:O39,O41,O43,O46:O47,O49:O51,O54:O60)</f>
        <v>2718.079999999999</v>
      </c>
      <c r="O13" s="3461">
        <f>SUM(O19,O34,O42,O44:O45,O48,O52:O53,O61:O62)</f>
        <v>820.41999999999985</v>
      </c>
      <c r="P13" s="3460">
        <f>SUM(Q21:Q35,Q39,Q43,Q45,Q47,Q49,Q51,Q53,Q60,Q61,Q63,Q64,Q65,Q66,Q68,Q70,Q71,Q73)</f>
        <v>3166.5899999999983</v>
      </c>
      <c r="Q13" s="3461">
        <f>SUM(Q18:Q20,Q37:Q38,Q40:Q42,Q44,Q46,Q48,Q50,Q52,Q54,Q56:Q59,Q62,Q67,Q69,Q72)</f>
        <v>2369.3999999999992</v>
      </c>
      <c r="R13" s="3460">
        <v>0</v>
      </c>
      <c r="S13" s="3461">
        <f>SUM(S18:S35,S37:S54,S56:S73)</f>
        <v>5535.989999999998</v>
      </c>
      <c r="T13" s="3460">
        <v>0</v>
      </c>
      <c r="U13" s="3461">
        <f>SUM(U18:U39,U41:U62)</f>
        <v>3538.2800000000007</v>
      </c>
      <c r="V13" s="3460">
        <f>SUM(W23,W26,W28,W33:W35,W37,W45,W47,W49,W52,W53,W57)</f>
        <v>1004.8499999999999</v>
      </c>
      <c r="W13" s="3461">
        <f>SUM(W18:W22,W24:W25,W27,W29:W32,W36,W38:W39,W41:W44,W46,W48,W50:W51,W54:W56,W58:W62)</f>
        <v>2533.6499999999992</v>
      </c>
      <c r="X13" s="3460">
        <f>SUM(Y23:Y25,Y29:Y30,Y32:Y37,Y43:Y45,Y47:Y54,Y57:Y59,Y67:Y69,Y71:Y74,Y76:Y79,Y81,Y87:Y90,Y93:Y101)</f>
        <v>3858.8200000000024</v>
      </c>
      <c r="Y13" s="3461">
        <f>SUM(Y18:Y22,Y26:Y28,Y31,Y38,Y40:Y42,Y46,Y55:Y56,Y60,Y62:Y66,Y70,Y75,Y80,Y82,Y84:Y86,Y91:Y92,Y102:Y105)</f>
        <v>2799.5500000000006</v>
      </c>
      <c r="Z13" s="3460">
        <f>SUM(AA18,AA20,AA22:AA23,AA25:AA32,AA35:AA38,AA44:AA54,AA56:AA60,AA68:AA69,AA71:AA77,AA81:AA82,AA88:AA90,AA93:AA99,AA101,AA103)</f>
        <v>4224.6700000000037</v>
      </c>
      <c r="AA13" s="3461">
        <f>SUM(AA19,AA21,AA24,AA33:AA34,AA39,AA41:AA43,AA55,AA61,AA63:AA67,AA70,AA78:AA80,AA83,AA85:AA87,AA91:AA92,AA100,AA104:AA105,AA102)</f>
        <v>2433.6999999999998</v>
      </c>
      <c r="AB13" s="3460">
        <f>SUM(AC18,AC20:AC21,AC23:AC27,AC29:AC39,AC43,AC45:AC47,AC49,AC51:AC53,AC55:AC59,AC61:AC62)</f>
        <v>2685.5899999999992</v>
      </c>
      <c r="AC13" s="3461">
        <f>SUM(AC19,AC22,AC28,AC41:AC42,AC44,AC48,AC50,AC54,AC60)</f>
        <v>852.90999999999985</v>
      </c>
    </row>
    <row r="14" spans="1:31">
      <c r="A14" s="3453" t="s">
        <v>3535</v>
      </c>
      <c r="B14" s="3460">
        <v>45</v>
      </c>
      <c r="C14" s="3461">
        <v>22</v>
      </c>
      <c r="D14" s="3460">
        <v>30</v>
      </c>
      <c r="E14" s="3461">
        <v>24</v>
      </c>
      <c r="F14" s="3460">
        <v>1</v>
      </c>
      <c r="G14" s="3461">
        <v>53</v>
      </c>
      <c r="H14" s="3460">
        <v>5</v>
      </c>
      <c r="I14" s="3461">
        <v>60</v>
      </c>
      <c r="J14" s="3460">
        <v>6</v>
      </c>
      <c r="K14" s="3461">
        <v>48</v>
      </c>
      <c r="L14" s="3460">
        <v>30</v>
      </c>
      <c r="M14" s="3461">
        <v>24</v>
      </c>
      <c r="N14" s="3460">
        <v>34</v>
      </c>
      <c r="O14" s="3461">
        <v>10</v>
      </c>
      <c r="P14" s="3460">
        <v>32</v>
      </c>
      <c r="Q14" s="3461">
        <v>22</v>
      </c>
      <c r="R14" s="3460">
        <v>0</v>
      </c>
      <c r="S14" s="3461">
        <v>54</v>
      </c>
      <c r="T14" s="3460">
        <v>0</v>
      </c>
      <c r="U14" s="3461">
        <v>44</v>
      </c>
      <c r="V14" s="3460">
        <v>13</v>
      </c>
      <c r="W14" s="3461">
        <v>31</v>
      </c>
      <c r="X14" s="3460">
        <v>50</v>
      </c>
      <c r="Y14" s="3461">
        <v>35</v>
      </c>
      <c r="Z14" s="3460">
        <v>55</v>
      </c>
      <c r="AA14" s="3461">
        <v>30</v>
      </c>
      <c r="AB14" s="3460">
        <v>34</v>
      </c>
      <c r="AC14" s="3461">
        <v>10</v>
      </c>
    </row>
    <row r="15" spans="1:31">
      <c r="A15" s="3453" t="s">
        <v>3520</v>
      </c>
      <c r="B15" s="3583">
        <f>SUM(C18:C794)</f>
        <v>5020.1199999999981</v>
      </c>
      <c r="C15" s="3583"/>
      <c r="D15" s="3583">
        <f t="shared" ref="D15" si="1">SUM(E18:E794)</f>
        <v>6091.9499999999989</v>
      </c>
      <c r="E15" s="3583"/>
      <c r="F15" s="3583">
        <f t="shared" ref="F15" si="2">SUM(G18:G794)</f>
        <v>6092.3700000000044</v>
      </c>
      <c r="G15" s="3583"/>
      <c r="H15" s="3583">
        <f t="shared" ref="H15" si="3">SUM(I18:I794)</f>
        <v>5113.9600000000055</v>
      </c>
      <c r="I15" s="3583"/>
      <c r="J15" s="3583">
        <f t="shared" ref="J15" si="4">SUM(K18:K794)</f>
        <v>6411.5299999999979</v>
      </c>
      <c r="K15" s="3583"/>
      <c r="L15" s="3583">
        <f t="shared" ref="L15" si="5">SUM(M18:M794)</f>
        <v>6443.55</v>
      </c>
      <c r="M15" s="3583"/>
      <c r="N15" s="3583">
        <f t="shared" ref="N15" si="6">SUM(O18:O794)</f>
        <v>3538.4999999999986</v>
      </c>
      <c r="O15" s="3583"/>
      <c r="P15" s="3583">
        <f t="shared" ref="P15" si="7">SUM(Q18:Q794)</f>
        <v>6655.819999999997</v>
      </c>
      <c r="Q15" s="3583"/>
      <c r="R15" s="3583">
        <f t="shared" ref="R15" si="8">SUM(S18:S794)</f>
        <v>6607.6299999999947</v>
      </c>
      <c r="S15" s="3583"/>
      <c r="T15" s="3583">
        <f t="shared" ref="T15" si="9">SUM(U18:U794)</f>
        <v>3752.0200000000009</v>
      </c>
      <c r="U15" s="3583"/>
      <c r="V15" s="3583">
        <f t="shared" ref="V15" si="10">SUM(W18:W794)</f>
        <v>3538.4999999999986</v>
      </c>
      <c r="W15" s="3583"/>
      <c r="X15" s="3583">
        <f t="shared" ref="X15" si="11">SUM(Y18:Y794)</f>
        <v>6914.5700000000006</v>
      </c>
      <c r="Y15" s="3583"/>
      <c r="Z15" s="3583">
        <f t="shared" ref="Z15" si="12">SUM(AA18:AA794)</f>
        <v>6941.279999999997</v>
      </c>
      <c r="AA15" s="3583"/>
      <c r="AB15" s="3583">
        <f t="shared" ref="AB15" si="13">SUM(AC18:AC794)</f>
        <v>3538.4999999999986</v>
      </c>
      <c r="AC15" s="3583"/>
      <c r="AD15" s="3583">
        <f>SUM(AE18:AE794)</f>
        <v>21458.779999999977</v>
      </c>
      <c r="AE15" s="3583"/>
    </row>
    <row r="16" spans="1:31">
      <c r="B16" s="3584" t="s">
        <v>3502</v>
      </c>
      <c r="C16" s="3584"/>
      <c r="D16" s="3584" t="s">
        <v>3503</v>
      </c>
      <c r="E16" s="3584"/>
      <c r="F16" s="3584" t="s">
        <v>3505</v>
      </c>
      <c r="G16" s="3584"/>
      <c r="H16" s="3584" t="s">
        <v>3506</v>
      </c>
      <c r="I16" s="3584"/>
      <c r="J16" s="3584" t="s">
        <v>3508</v>
      </c>
      <c r="K16" s="3584"/>
      <c r="L16" s="3584" t="s">
        <v>3509</v>
      </c>
      <c r="M16" s="3584"/>
      <c r="N16" s="3584" t="s">
        <v>3510</v>
      </c>
      <c r="O16" s="3584"/>
      <c r="P16" s="3584" t="s">
        <v>3511</v>
      </c>
      <c r="Q16" s="3584"/>
      <c r="R16" s="3584" t="s">
        <v>3512</v>
      </c>
      <c r="S16" s="3584"/>
      <c r="T16" s="3584" t="s">
        <v>3515</v>
      </c>
      <c r="U16" s="3584"/>
      <c r="V16" s="3584" t="s">
        <v>3516</v>
      </c>
      <c r="W16" s="3584"/>
      <c r="X16" s="3584" t="s">
        <v>3517</v>
      </c>
      <c r="Y16" s="3584"/>
      <c r="Z16" s="3584" t="s">
        <v>3518</v>
      </c>
      <c r="AA16" s="3584"/>
      <c r="AB16" s="3584" t="s">
        <v>3519</v>
      </c>
      <c r="AC16" s="3584"/>
      <c r="AD16" s="3584" t="s">
        <v>3514</v>
      </c>
      <c r="AE16" s="3584"/>
    </row>
    <row r="17" spans="2:31">
      <c r="B17" s="3457" t="s">
        <v>3499</v>
      </c>
      <c r="C17" s="3457"/>
      <c r="D17" s="3455" t="s">
        <v>3499</v>
      </c>
      <c r="E17" s="3456"/>
      <c r="F17" s="3455" t="s">
        <v>3499</v>
      </c>
      <c r="G17" s="3456"/>
      <c r="H17" s="3455" t="s">
        <v>3499</v>
      </c>
      <c r="I17" s="3456"/>
      <c r="J17" s="3455" t="s">
        <v>3499</v>
      </c>
      <c r="K17" s="3456"/>
      <c r="L17" s="3455" t="s">
        <v>3499</v>
      </c>
      <c r="M17" s="3456"/>
      <c r="N17" s="3455" t="s">
        <v>3499</v>
      </c>
      <c r="O17" s="3456"/>
      <c r="P17" s="3455" t="s">
        <v>3499</v>
      </c>
      <c r="Q17" s="3456"/>
      <c r="R17" s="3455" t="s">
        <v>3499</v>
      </c>
      <c r="S17" s="3456"/>
      <c r="T17" s="3455" t="s">
        <v>3499</v>
      </c>
      <c r="U17" s="3456"/>
      <c r="V17" s="3455" t="s">
        <v>3499</v>
      </c>
      <c r="W17" s="3456"/>
      <c r="X17" s="3455" t="s">
        <v>3499</v>
      </c>
      <c r="Y17" s="3456"/>
      <c r="Z17" s="3455" t="s">
        <v>3499</v>
      </c>
      <c r="AA17" s="3456"/>
      <c r="AB17" s="3455" t="s">
        <v>3499</v>
      </c>
      <c r="AC17" s="3456"/>
      <c r="AD17" s="3455" t="s">
        <v>3507</v>
      </c>
      <c r="AE17" s="3456"/>
    </row>
    <row r="18" spans="2:31">
      <c r="B18" s="3458">
        <v>101</v>
      </c>
      <c r="C18" s="3458">
        <v>72.97</v>
      </c>
      <c r="D18" s="3459">
        <v>101</v>
      </c>
      <c r="E18" s="3459">
        <v>96.47</v>
      </c>
      <c r="F18" s="3459">
        <v>101</v>
      </c>
      <c r="G18" s="3459">
        <v>78.87</v>
      </c>
      <c r="H18" s="3459">
        <v>101</v>
      </c>
      <c r="I18" s="3459">
        <v>88.45</v>
      </c>
      <c r="J18" s="3459">
        <v>101</v>
      </c>
      <c r="K18" s="3459">
        <v>96.08</v>
      </c>
      <c r="L18" s="3459">
        <v>101</v>
      </c>
      <c r="M18" s="3459">
        <v>96.11</v>
      </c>
      <c r="N18" s="3458">
        <v>101</v>
      </c>
      <c r="O18" s="3458">
        <v>88.51</v>
      </c>
      <c r="P18" s="3459">
        <v>101</v>
      </c>
      <c r="Q18" s="3459">
        <v>96.11</v>
      </c>
      <c r="R18" s="3459">
        <v>101</v>
      </c>
      <c r="S18" s="3459">
        <v>96.08</v>
      </c>
      <c r="T18" s="3459">
        <v>101</v>
      </c>
      <c r="U18" s="3459">
        <v>88.5</v>
      </c>
      <c r="V18" s="3459">
        <v>101</v>
      </c>
      <c r="W18" s="3459">
        <v>88.51</v>
      </c>
      <c r="X18" s="3459">
        <v>101</v>
      </c>
      <c r="Y18" s="3459">
        <v>98.48</v>
      </c>
      <c r="Z18" s="3458">
        <v>101</v>
      </c>
      <c r="AA18" s="3458">
        <v>88.5</v>
      </c>
      <c r="AB18" s="3458">
        <v>101</v>
      </c>
      <c r="AC18" s="3458">
        <v>88.51</v>
      </c>
      <c r="AD18" s="3457">
        <v>-2001</v>
      </c>
      <c r="AE18" s="3457">
        <v>27.63</v>
      </c>
    </row>
    <row r="19" spans="2:31">
      <c r="B19" s="3458">
        <v>102</v>
      </c>
      <c r="C19" s="3458">
        <v>72.38</v>
      </c>
      <c r="D19" s="3459">
        <v>102</v>
      </c>
      <c r="E19" s="3459">
        <v>78.430000000000007</v>
      </c>
      <c r="F19" s="3459">
        <v>102</v>
      </c>
      <c r="G19" s="3459">
        <v>116.28</v>
      </c>
      <c r="H19" s="3459">
        <v>102</v>
      </c>
      <c r="I19" s="3459">
        <v>72.25</v>
      </c>
      <c r="J19" s="3459">
        <v>102</v>
      </c>
      <c r="K19" s="3459">
        <v>115.85</v>
      </c>
      <c r="L19" s="3459">
        <v>102</v>
      </c>
      <c r="M19" s="3459">
        <v>95.63</v>
      </c>
      <c r="N19" s="3459">
        <v>102</v>
      </c>
      <c r="O19" s="3459">
        <v>72.239999999999995</v>
      </c>
      <c r="P19" s="3459">
        <v>102</v>
      </c>
      <c r="Q19" s="3459">
        <v>95.63</v>
      </c>
      <c r="R19" s="3459">
        <v>102</v>
      </c>
      <c r="S19" s="3459">
        <v>115.85</v>
      </c>
      <c r="T19" s="3459">
        <v>102</v>
      </c>
      <c r="U19" s="3459">
        <v>72.239999999999995</v>
      </c>
      <c r="V19" s="3459">
        <v>102</v>
      </c>
      <c r="W19" s="3459">
        <v>72.239999999999995</v>
      </c>
      <c r="X19" s="3459">
        <v>102</v>
      </c>
      <c r="Y19" s="3459">
        <v>72.28</v>
      </c>
      <c r="Z19" s="3459">
        <v>102</v>
      </c>
      <c r="AA19" s="3459">
        <v>72.23</v>
      </c>
      <c r="AB19" s="3459">
        <v>102</v>
      </c>
      <c r="AC19" s="3459">
        <v>72.239999999999995</v>
      </c>
      <c r="AD19" s="3457">
        <v>-2002</v>
      </c>
      <c r="AE19" s="3457">
        <v>27.63</v>
      </c>
    </row>
    <row r="20" spans="2:31">
      <c r="B20" s="3458">
        <v>201</v>
      </c>
      <c r="C20" s="3458">
        <v>73</v>
      </c>
      <c r="D20" s="3458">
        <v>201</v>
      </c>
      <c r="E20" s="3458">
        <v>96.51</v>
      </c>
      <c r="F20" s="3459">
        <v>201</v>
      </c>
      <c r="G20" s="3459">
        <v>96.47</v>
      </c>
      <c r="H20" s="3459">
        <v>201</v>
      </c>
      <c r="I20" s="3459">
        <v>88.5</v>
      </c>
      <c r="J20" s="3459">
        <v>201</v>
      </c>
      <c r="K20" s="3459">
        <v>96.08</v>
      </c>
      <c r="L20" s="3459">
        <v>201</v>
      </c>
      <c r="M20" s="3459">
        <v>96.11</v>
      </c>
      <c r="N20" s="3458">
        <v>201</v>
      </c>
      <c r="O20" s="3458">
        <v>88.56</v>
      </c>
      <c r="P20" s="3459">
        <v>201</v>
      </c>
      <c r="Q20" s="3459">
        <v>96.11</v>
      </c>
      <c r="R20" s="3459">
        <v>201</v>
      </c>
      <c r="S20" s="3459">
        <v>96.08</v>
      </c>
      <c r="T20" s="3459">
        <v>201</v>
      </c>
      <c r="U20" s="3459">
        <v>88.55</v>
      </c>
      <c r="V20" s="3459">
        <v>201</v>
      </c>
      <c r="W20" s="3459">
        <v>88.56</v>
      </c>
      <c r="X20" s="3459">
        <v>201</v>
      </c>
      <c r="Y20" s="3459">
        <v>98.48</v>
      </c>
      <c r="Z20" s="3458">
        <v>201</v>
      </c>
      <c r="AA20" s="3458">
        <v>88.54</v>
      </c>
      <c r="AB20" s="3458">
        <v>201</v>
      </c>
      <c r="AC20" s="3458">
        <v>88.56</v>
      </c>
      <c r="AD20" s="3457">
        <v>-2003</v>
      </c>
      <c r="AE20" s="3457">
        <v>27.63</v>
      </c>
    </row>
    <row r="21" spans="2:31">
      <c r="B21" s="3458">
        <v>202</v>
      </c>
      <c r="C21" s="3458">
        <v>72.42</v>
      </c>
      <c r="D21" s="3459">
        <v>202</v>
      </c>
      <c r="E21" s="3459">
        <v>96.02</v>
      </c>
      <c r="F21" s="3459">
        <v>202</v>
      </c>
      <c r="G21" s="3459">
        <v>116.4</v>
      </c>
      <c r="H21" s="3459">
        <v>202</v>
      </c>
      <c r="I21" s="3459">
        <v>72.3</v>
      </c>
      <c r="J21" s="3459">
        <v>202</v>
      </c>
      <c r="K21" s="3459">
        <v>115.85</v>
      </c>
      <c r="L21" s="3459">
        <v>202</v>
      </c>
      <c r="M21" s="3459">
        <v>95.63</v>
      </c>
      <c r="N21" s="3458">
        <v>202</v>
      </c>
      <c r="O21" s="3458">
        <v>72.290000000000006</v>
      </c>
      <c r="P21" s="3458">
        <v>202</v>
      </c>
      <c r="Q21" s="3458">
        <v>95.63</v>
      </c>
      <c r="R21" s="3459">
        <v>202</v>
      </c>
      <c r="S21" s="3459">
        <v>115.85</v>
      </c>
      <c r="T21" s="3459">
        <v>202</v>
      </c>
      <c r="U21" s="3459">
        <v>72.290000000000006</v>
      </c>
      <c r="V21" s="3459">
        <v>202</v>
      </c>
      <c r="W21" s="3459">
        <v>72.290000000000006</v>
      </c>
      <c r="X21" s="3459">
        <v>202</v>
      </c>
      <c r="Y21" s="3459">
        <v>72.28</v>
      </c>
      <c r="Z21" s="3459">
        <v>202</v>
      </c>
      <c r="AA21" s="3459">
        <v>72.28</v>
      </c>
      <c r="AB21" s="3458">
        <v>202</v>
      </c>
      <c r="AC21" s="3458">
        <v>72.290000000000006</v>
      </c>
      <c r="AD21" s="3457">
        <v>-2004</v>
      </c>
      <c r="AE21" s="3457">
        <v>27.63</v>
      </c>
    </row>
    <row r="22" spans="2:31">
      <c r="B22" s="3458">
        <v>301</v>
      </c>
      <c r="C22" s="3458">
        <v>73</v>
      </c>
      <c r="D22" s="3459">
        <v>301</v>
      </c>
      <c r="E22" s="3459">
        <v>96.51</v>
      </c>
      <c r="F22" s="3459">
        <v>301</v>
      </c>
      <c r="G22" s="3459">
        <v>96.47</v>
      </c>
      <c r="H22" s="3459">
        <v>301</v>
      </c>
      <c r="I22" s="3459">
        <v>88.5</v>
      </c>
      <c r="J22" s="3459">
        <v>301</v>
      </c>
      <c r="K22" s="3459">
        <v>96.08</v>
      </c>
      <c r="L22" s="3459">
        <v>301</v>
      </c>
      <c r="M22" s="3459">
        <v>96.11</v>
      </c>
      <c r="N22" s="3458">
        <v>301</v>
      </c>
      <c r="O22" s="3458">
        <v>88.56</v>
      </c>
      <c r="P22" s="3458">
        <v>301</v>
      </c>
      <c r="Q22" s="3458">
        <v>96.11</v>
      </c>
      <c r="R22" s="3459">
        <v>301</v>
      </c>
      <c r="S22" s="3459">
        <v>96.08</v>
      </c>
      <c r="T22" s="3459">
        <v>301</v>
      </c>
      <c r="U22" s="3459">
        <v>88.55</v>
      </c>
      <c r="V22" s="3459">
        <v>301</v>
      </c>
      <c r="W22" s="3459">
        <v>88.56</v>
      </c>
      <c r="X22" s="3459">
        <v>301</v>
      </c>
      <c r="Y22" s="3459">
        <v>98.48</v>
      </c>
      <c r="Z22" s="3458">
        <v>301</v>
      </c>
      <c r="AA22" s="3458">
        <v>88.54</v>
      </c>
      <c r="AB22" s="3459">
        <v>301</v>
      </c>
      <c r="AC22" s="3459">
        <v>88.56</v>
      </c>
      <c r="AD22" s="3457">
        <v>-2005</v>
      </c>
      <c r="AE22" s="3457">
        <v>27.63</v>
      </c>
    </row>
    <row r="23" spans="2:31">
      <c r="B23" s="3458">
        <v>302</v>
      </c>
      <c r="C23" s="3458">
        <v>72.42</v>
      </c>
      <c r="D23" s="3458">
        <v>302</v>
      </c>
      <c r="E23" s="3458">
        <v>96.02</v>
      </c>
      <c r="F23" s="3459">
        <v>302</v>
      </c>
      <c r="G23" s="3459">
        <v>116.4</v>
      </c>
      <c r="H23" s="3459">
        <v>302</v>
      </c>
      <c r="I23" s="3459">
        <v>72.3</v>
      </c>
      <c r="J23" s="3459">
        <v>302</v>
      </c>
      <c r="K23" s="3459">
        <v>115.85</v>
      </c>
      <c r="L23" s="3459">
        <v>302</v>
      </c>
      <c r="M23" s="3459">
        <v>95.63</v>
      </c>
      <c r="N23" s="3458">
        <v>302</v>
      </c>
      <c r="O23" s="3458">
        <v>72.290000000000006</v>
      </c>
      <c r="P23" s="3458">
        <v>302</v>
      </c>
      <c r="Q23" s="3458">
        <v>95.63</v>
      </c>
      <c r="R23" s="3459">
        <v>302</v>
      </c>
      <c r="S23" s="3459">
        <v>115.85</v>
      </c>
      <c r="T23" s="3459">
        <v>302</v>
      </c>
      <c r="U23" s="3459">
        <v>72.290000000000006</v>
      </c>
      <c r="V23" s="3458">
        <v>302</v>
      </c>
      <c r="W23" s="3458">
        <v>72.290000000000006</v>
      </c>
      <c r="X23" s="3458">
        <v>302</v>
      </c>
      <c r="Y23" s="3458">
        <v>72.28</v>
      </c>
      <c r="Z23" s="3458">
        <v>302</v>
      </c>
      <c r="AA23" s="3458">
        <v>72.28</v>
      </c>
      <c r="AB23" s="3458">
        <v>302</v>
      </c>
      <c r="AC23" s="3458">
        <v>72.290000000000006</v>
      </c>
      <c r="AD23" s="3457">
        <v>-2006</v>
      </c>
      <c r="AE23" s="3457">
        <v>27.63</v>
      </c>
    </row>
    <row r="24" spans="2:31">
      <c r="B24" s="3458">
        <v>401</v>
      </c>
      <c r="C24" s="3458">
        <v>73</v>
      </c>
      <c r="D24" s="3458">
        <v>401</v>
      </c>
      <c r="E24" s="3458">
        <v>96.51</v>
      </c>
      <c r="F24" s="3459">
        <v>401</v>
      </c>
      <c r="G24" s="3459">
        <v>96.47</v>
      </c>
      <c r="H24" s="3459">
        <v>401</v>
      </c>
      <c r="I24" s="3459">
        <v>88.5</v>
      </c>
      <c r="J24" s="3459">
        <v>401</v>
      </c>
      <c r="K24" s="3459">
        <v>96.08</v>
      </c>
      <c r="L24" s="3458">
        <v>401</v>
      </c>
      <c r="M24" s="3458">
        <v>96.11</v>
      </c>
      <c r="N24" s="3458">
        <v>401</v>
      </c>
      <c r="O24" s="3458">
        <v>88.56</v>
      </c>
      <c r="P24" s="3458">
        <v>401</v>
      </c>
      <c r="Q24" s="3458">
        <v>96.11</v>
      </c>
      <c r="R24" s="3459">
        <v>401</v>
      </c>
      <c r="S24" s="3459">
        <v>96.08</v>
      </c>
      <c r="T24" s="3459">
        <v>401</v>
      </c>
      <c r="U24" s="3459">
        <v>88.55</v>
      </c>
      <c r="V24" s="3459">
        <v>401</v>
      </c>
      <c r="W24" s="3459">
        <v>88.56</v>
      </c>
      <c r="X24" s="3458">
        <v>401</v>
      </c>
      <c r="Y24" s="3458">
        <v>98.48</v>
      </c>
      <c r="Z24" s="3459">
        <v>401</v>
      </c>
      <c r="AA24" s="3459">
        <v>88.54</v>
      </c>
      <c r="AB24" s="3458">
        <v>401</v>
      </c>
      <c r="AC24" s="3458">
        <v>88.56</v>
      </c>
      <c r="AD24" s="3457">
        <v>-2007</v>
      </c>
      <c r="AE24" s="3457">
        <v>27.63</v>
      </c>
    </row>
    <row r="25" spans="2:31">
      <c r="B25" s="3458">
        <v>402</v>
      </c>
      <c r="C25" s="3458">
        <v>72.42</v>
      </c>
      <c r="D25" s="3458">
        <v>402</v>
      </c>
      <c r="E25" s="3458">
        <v>96.02</v>
      </c>
      <c r="F25" s="3459">
        <v>402</v>
      </c>
      <c r="G25" s="3459">
        <v>116.4</v>
      </c>
      <c r="H25" s="3459">
        <v>402</v>
      </c>
      <c r="I25" s="3459">
        <v>72.3</v>
      </c>
      <c r="J25" s="3459">
        <v>402</v>
      </c>
      <c r="K25" s="3459">
        <v>115.85</v>
      </c>
      <c r="L25" s="3458">
        <v>402</v>
      </c>
      <c r="M25" s="3458">
        <v>95.63</v>
      </c>
      <c r="N25" s="3458">
        <v>402</v>
      </c>
      <c r="O25" s="3458">
        <v>72.290000000000006</v>
      </c>
      <c r="P25" s="3458">
        <v>402</v>
      </c>
      <c r="Q25" s="3458">
        <v>95.63</v>
      </c>
      <c r="R25" s="3459">
        <v>402</v>
      </c>
      <c r="S25" s="3459">
        <v>115.85</v>
      </c>
      <c r="T25" s="3459">
        <v>402</v>
      </c>
      <c r="U25" s="3459">
        <v>72.290000000000006</v>
      </c>
      <c r="V25" s="3459">
        <v>402</v>
      </c>
      <c r="W25" s="3459">
        <v>72.290000000000006</v>
      </c>
      <c r="X25" s="3458">
        <v>402</v>
      </c>
      <c r="Y25" s="3458">
        <v>72.28</v>
      </c>
      <c r="Z25" s="3458">
        <v>402</v>
      </c>
      <c r="AA25" s="3458">
        <v>72.28</v>
      </c>
      <c r="AB25" s="3458">
        <v>402</v>
      </c>
      <c r="AC25" s="3458">
        <v>72.290000000000006</v>
      </c>
      <c r="AD25" s="3457">
        <v>-2008</v>
      </c>
      <c r="AE25" s="3457">
        <v>27.63</v>
      </c>
    </row>
    <row r="26" spans="2:31">
      <c r="B26" s="3458">
        <v>501</v>
      </c>
      <c r="C26" s="3458">
        <v>73</v>
      </c>
      <c r="D26" s="3458">
        <v>501</v>
      </c>
      <c r="E26" s="3458">
        <v>96.51</v>
      </c>
      <c r="F26" s="3459">
        <v>501</v>
      </c>
      <c r="G26" s="3459">
        <v>96.47</v>
      </c>
      <c r="H26" s="3459">
        <v>501</v>
      </c>
      <c r="I26" s="3459">
        <v>88.5</v>
      </c>
      <c r="J26" s="3458">
        <v>501</v>
      </c>
      <c r="K26" s="3458">
        <v>96.08</v>
      </c>
      <c r="L26" s="3458">
        <v>501</v>
      </c>
      <c r="M26" s="3458">
        <v>96.11</v>
      </c>
      <c r="N26" s="3458">
        <v>501</v>
      </c>
      <c r="O26" s="3458">
        <v>88.56</v>
      </c>
      <c r="P26" s="3458">
        <v>501</v>
      </c>
      <c r="Q26" s="3458">
        <v>96.11</v>
      </c>
      <c r="R26" s="3459">
        <v>501</v>
      </c>
      <c r="S26" s="3459">
        <v>96.08</v>
      </c>
      <c r="T26" s="3459">
        <v>501</v>
      </c>
      <c r="U26" s="3459">
        <v>88.55</v>
      </c>
      <c r="V26" s="3458">
        <v>501</v>
      </c>
      <c r="W26" s="3458">
        <v>88.56</v>
      </c>
      <c r="X26" s="3459">
        <v>501</v>
      </c>
      <c r="Y26" s="3459">
        <v>98.48</v>
      </c>
      <c r="Z26" s="3458">
        <v>501</v>
      </c>
      <c r="AA26" s="3458">
        <v>88.54</v>
      </c>
      <c r="AB26" s="3458">
        <v>501</v>
      </c>
      <c r="AC26" s="3458">
        <v>88.56</v>
      </c>
      <c r="AD26" s="3457">
        <v>-2009</v>
      </c>
      <c r="AE26" s="3457">
        <v>27.63</v>
      </c>
    </row>
    <row r="27" spans="2:31">
      <c r="B27" s="3458">
        <v>502</v>
      </c>
      <c r="C27" s="3458">
        <v>72.42</v>
      </c>
      <c r="D27" s="3459">
        <v>502</v>
      </c>
      <c r="E27" s="3459">
        <v>96.02</v>
      </c>
      <c r="F27" s="3459">
        <v>502</v>
      </c>
      <c r="G27" s="3459">
        <v>116.4</v>
      </c>
      <c r="H27" s="3459">
        <v>502</v>
      </c>
      <c r="I27" s="3459">
        <v>72.3</v>
      </c>
      <c r="J27" s="3459">
        <v>502</v>
      </c>
      <c r="K27" s="3459">
        <v>115.85</v>
      </c>
      <c r="L27" s="3459">
        <v>502</v>
      </c>
      <c r="M27" s="3459">
        <v>95.63</v>
      </c>
      <c r="N27" s="3458">
        <v>502</v>
      </c>
      <c r="O27" s="3458">
        <v>72.290000000000006</v>
      </c>
      <c r="P27" s="3458">
        <v>502</v>
      </c>
      <c r="Q27" s="3458">
        <v>95.63</v>
      </c>
      <c r="R27" s="3459">
        <v>502</v>
      </c>
      <c r="S27" s="3459">
        <v>115.85</v>
      </c>
      <c r="T27" s="3459">
        <v>502</v>
      </c>
      <c r="U27" s="3459">
        <v>72.290000000000006</v>
      </c>
      <c r="V27" s="3459">
        <v>502</v>
      </c>
      <c r="W27" s="3459">
        <v>72.290000000000006</v>
      </c>
      <c r="X27" s="3459">
        <v>502</v>
      </c>
      <c r="Y27" s="3459">
        <v>72.28</v>
      </c>
      <c r="Z27" s="3458">
        <v>502</v>
      </c>
      <c r="AA27" s="3458">
        <v>72.28</v>
      </c>
      <c r="AB27" s="3458">
        <v>502</v>
      </c>
      <c r="AC27" s="3458">
        <v>72.290000000000006</v>
      </c>
      <c r="AD27" s="3457">
        <v>-2010</v>
      </c>
      <c r="AE27" s="3457">
        <v>27.63</v>
      </c>
    </row>
    <row r="28" spans="2:31">
      <c r="B28" s="3459">
        <v>601</v>
      </c>
      <c r="C28" s="3459">
        <v>73</v>
      </c>
      <c r="D28" s="3458">
        <v>601</v>
      </c>
      <c r="E28" s="3458">
        <v>96.51</v>
      </c>
      <c r="F28" s="3458">
        <v>601</v>
      </c>
      <c r="G28" s="3458">
        <v>96.47</v>
      </c>
      <c r="H28" s="3459">
        <v>601</v>
      </c>
      <c r="I28" s="3459">
        <v>88.5</v>
      </c>
      <c r="J28" s="3459">
        <v>601</v>
      </c>
      <c r="K28" s="3459">
        <v>96.08</v>
      </c>
      <c r="L28" s="3458">
        <v>601</v>
      </c>
      <c r="M28" s="3458">
        <v>96.11</v>
      </c>
      <c r="N28" s="3458">
        <v>601</v>
      </c>
      <c r="O28" s="3458">
        <v>88.56</v>
      </c>
      <c r="P28" s="3458">
        <v>601</v>
      </c>
      <c r="Q28" s="3458">
        <v>96.11</v>
      </c>
      <c r="R28" s="3459">
        <v>601</v>
      </c>
      <c r="S28" s="3459">
        <v>96.08</v>
      </c>
      <c r="T28" s="3459">
        <v>601</v>
      </c>
      <c r="U28" s="3459">
        <v>88.55</v>
      </c>
      <c r="V28" s="3458">
        <v>601</v>
      </c>
      <c r="W28" s="3458">
        <v>88.56</v>
      </c>
      <c r="X28" s="3459">
        <v>601</v>
      </c>
      <c r="Y28" s="3459">
        <v>98.48</v>
      </c>
      <c r="Z28" s="3458">
        <v>601</v>
      </c>
      <c r="AA28" s="3458">
        <v>88.54</v>
      </c>
      <c r="AB28" s="3459">
        <v>601</v>
      </c>
      <c r="AC28" s="3459">
        <v>88.56</v>
      </c>
      <c r="AD28" s="3457">
        <v>-2011</v>
      </c>
      <c r="AE28" s="3457">
        <v>27.63</v>
      </c>
    </row>
    <row r="29" spans="2:31">
      <c r="B29" s="3458">
        <v>602</v>
      </c>
      <c r="C29" s="3458">
        <v>72.42</v>
      </c>
      <c r="D29" s="3458">
        <v>602</v>
      </c>
      <c r="E29" s="3458">
        <v>96.02</v>
      </c>
      <c r="F29" s="3459">
        <v>602</v>
      </c>
      <c r="G29" s="3459">
        <v>116.4</v>
      </c>
      <c r="H29" s="3459">
        <v>602</v>
      </c>
      <c r="I29" s="3459">
        <v>72.3</v>
      </c>
      <c r="J29" s="3459">
        <v>602</v>
      </c>
      <c r="K29" s="3459">
        <v>115.85</v>
      </c>
      <c r="L29" s="3458">
        <v>602</v>
      </c>
      <c r="M29" s="3458">
        <v>95.63</v>
      </c>
      <c r="N29" s="3458">
        <v>602</v>
      </c>
      <c r="O29" s="3458">
        <v>72.290000000000006</v>
      </c>
      <c r="P29" s="3458">
        <v>602</v>
      </c>
      <c r="Q29" s="3458">
        <v>95.63</v>
      </c>
      <c r="R29" s="3459">
        <v>602</v>
      </c>
      <c r="S29" s="3459">
        <v>115.85</v>
      </c>
      <c r="T29" s="3459">
        <v>602</v>
      </c>
      <c r="U29" s="3459">
        <v>72.290000000000006</v>
      </c>
      <c r="V29" s="3459">
        <v>602</v>
      </c>
      <c r="W29" s="3459">
        <v>72.290000000000006</v>
      </c>
      <c r="X29" s="3458">
        <v>602</v>
      </c>
      <c r="Y29" s="3458">
        <v>72.28</v>
      </c>
      <c r="Z29" s="3458">
        <v>602</v>
      </c>
      <c r="AA29" s="3458">
        <v>72.28</v>
      </c>
      <c r="AB29" s="3458">
        <v>602</v>
      </c>
      <c r="AC29" s="3458">
        <v>72.290000000000006</v>
      </c>
      <c r="AD29" s="3457">
        <v>-2012</v>
      </c>
      <c r="AE29" s="3457">
        <v>27.63</v>
      </c>
    </row>
    <row r="30" spans="2:31">
      <c r="B30" s="3457" t="s">
        <v>3500</v>
      </c>
      <c r="C30" s="3457"/>
      <c r="D30" s="3458">
        <v>701</v>
      </c>
      <c r="E30" s="3458">
        <v>96.51</v>
      </c>
      <c r="F30" s="3459">
        <v>701</v>
      </c>
      <c r="G30" s="3459">
        <v>96.47</v>
      </c>
      <c r="H30" s="3459">
        <v>701</v>
      </c>
      <c r="I30" s="3459">
        <v>88.5</v>
      </c>
      <c r="J30" s="3459">
        <v>701</v>
      </c>
      <c r="K30" s="3459">
        <v>96.08</v>
      </c>
      <c r="L30" s="3459">
        <v>701</v>
      </c>
      <c r="M30" s="3459">
        <v>96.11</v>
      </c>
      <c r="N30" s="3458">
        <v>701</v>
      </c>
      <c r="O30" s="3458">
        <v>88.56</v>
      </c>
      <c r="P30" s="3458">
        <v>701</v>
      </c>
      <c r="Q30" s="3458">
        <v>96.11</v>
      </c>
      <c r="R30" s="3459">
        <v>701</v>
      </c>
      <c r="S30" s="3459">
        <v>96.08</v>
      </c>
      <c r="T30" s="3459">
        <v>701</v>
      </c>
      <c r="U30" s="3459">
        <v>88.55</v>
      </c>
      <c r="V30" s="3459">
        <v>701</v>
      </c>
      <c r="W30" s="3459">
        <v>88.56</v>
      </c>
      <c r="X30" s="3458">
        <v>701</v>
      </c>
      <c r="Y30" s="3458">
        <v>98.48</v>
      </c>
      <c r="Z30" s="3458">
        <v>701</v>
      </c>
      <c r="AA30" s="3458">
        <v>88.54</v>
      </c>
      <c r="AB30" s="3458">
        <v>701</v>
      </c>
      <c r="AC30" s="3458">
        <v>88.56</v>
      </c>
      <c r="AD30" s="3457">
        <v>-2013</v>
      </c>
      <c r="AE30" s="3457">
        <v>27.63</v>
      </c>
    </row>
    <row r="31" spans="2:31">
      <c r="B31" s="3458">
        <v>101</v>
      </c>
      <c r="C31" s="3458">
        <v>72.27</v>
      </c>
      <c r="D31" s="3458">
        <v>702</v>
      </c>
      <c r="E31" s="3458">
        <v>96.02</v>
      </c>
      <c r="F31" s="3459">
        <v>702</v>
      </c>
      <c r="G31" s="3459">
        <v>116.4</v>
      </c>
      <c r="H31" s="3459">
        <v>702</v>
      </c>
      <c r="I31" s="3459">
        <v>72.3</v>
      </c>
      <c r="J31" s="3459">
        <v>702</v>
      </c>
      <c r="K31" s="3459">
        <v>115.85</v>
      </c>
      <c r="L31" s="3458">
        <v>702</v>
      </c>
      <c r="M31" s="3458">
        <v>95.63</v>
      </c>
      <c r="N31" s="3458">
        <v>702</v>
      </c>
      <c r="O31" s="3458">
        <v>72.290000000000006</v>
      </c>
      <c r="P31" s="3458">
        <v>702</v>
      </c>
      <c r="Q31" s="3458">
        <v>95.63</v>
      </c>
      <c r="R31" s="3459">
        <v>702</v>
      </c>
      <c r="S31" s="3459">
        <v>115.85</v>
      </c>
      <c r="T31" s="3459">
        <v>702</v>
      </c>
      <c r="U31" s="3459">
        <v>72.290000000000006</v>
      </c>
      <c r="V31" s="3459">
        <v>702</v>
      </c>
      <c r="W31" s="3459">
        <v>72.290000000000006</v>
      </c>
      <c r="X31" s="3459">
        <v>702</v>
      </c>
      <c r="Y31" s="3459">
        <v>72.28</v>
      </c>
      <c r="Z31" s="3458">
        <v>702</v>
      </c>
      <c r="AA31" s="3458">
        <v>72.28</v>
      </c>
      <c r="AB31" s="3458">
        <v>702</v>
      </c>
      <c r="AC31" s="3458">
        <v>72.290000000000006</v>
      </c>
      <c r="AD31" s="3457">
        <v>-2014</v>
      </c>
      <c r="AE31" s="3457">
        <v>27.63</v>
      </c>
    </row>
    <row r="32" spans="2:31">
      <c r="B32" s="3459">
        <v>102</v>
      </c>
      <c r="C32" s="3459">
        <v>72.67</v>
      </c>
      <c r="D32" s="3459">
        <v>801</v>
      </c>
      <c r="E32" s="3459">
        <v>96.51</v>
      </c>
      <c r="F32" s="3459">
        <v>801</v>
      </c>
      <c r="G32" s="3459">
        <v>96.47</v>
      </c>
      <c r="H32" s="3459">
        <v>801</v>
      </c>
      <c r="I32" s="3459">
        <v>88.5</v>
      </c>
      <c r="J32" s="3459">
        <v>801</v>
      </c>
      <c r="K32" s="3459">
        <v>96.08</v>
      </c>
      <c r="L32" s="3459">
        <v>801</v>
      </c>
      <c r="M32" s="3459">
        <v>96.11</v>
      </c>
      <c r="N32" s="3458">
        <v>801</v>
      </c>
      <c r="O32" s="3458">
        <v>88.56</v>
      </c>
      <c r="P32" s="3458">
        <v>801</v>
      </c>
      <c r="Q32" s="3458">
        <v>96.11</v>
      </c>
      <c r="R32" s="3459">
        <v>801</v>
      </c>
      <c r="S32" s="3459">
        <v>96.08</v>
      </c>
      <c r="T32" s="3459">
        <v>801</v>
      </c>
      <c r="U32" s="3459">
        <v>88.55</v>
      </c>
      <c r="V32" s="3459">
        <v>801</v>
      </c>
      <c r="W32" s="3459">
        <v>88.56</v>
      </c>
      <c r="X32" s="3458">
        <v>801</v>
      </c>
      <c r="Y32" s="3458">
        <v>98.48</v>
      </c>
      <c r="Z32" s="3458">
        <v>801</v>
      </c>
      <c r="AA32" s="3458">
        <v>88.54</v>
      </c>
      <c r="AB32" s="3458">
        <v>801</v>
      </c>
      <c r="AC32" s="3458">
        <v>88.56</v>
      </c>
      <c r="AD32" s="3457">
        <v>-2015</v>
      </c>
      <c r="AE32" s="3457">
        <v>27.63</v>
      </c>
    </row>
    <row r="33" spans="2:31">
      <c r="B33" s="3459">
        <v>103</v>
      </c>
      <c r="C33" s="3459">
        <v>57.66</v>
      </c>
      <c r="D33" s="3458">
        <v>802</v>
      </c>
      <c r="E33" s="3458">
        <v>96.02</v>
      </c>
      <c r="F33" s="3459">
        <v>802</v>
      </c>
      <c r="G33" s="3459">
        <v>116.4</v>
      </c>
      <c r="H33" s="3459">
        <v>802</v>
      </c>
      <c r="I33" s="3459">
        <v>72.3</v>
      </c>
      <c r="J33" s="3459">
        <v>802</v>
      </c>
      <c r="K33" s="3459">
        <v>115.85</v>
      </c>
      <c r="L33" s="3459">
        <v>802</v>
      </c>
      <c r="M33" s="3459">
        <v>95.63</v>
      </c>
      <c r="N33" s="3458">
        <v>802</v>
      </c>
      <c r="O33" s="3458">
        <v>72.290000000000006</v>
      </c>
      <c r="P33" s="3458">
        <v>802</v>
      </c>
      <c r="Q33" s="3458">
        <v>95.63</v>
      </c>
      <c r="R33" s="3459">
        <v>802</v>
      </c>
      <c r="S33" s="3459">
        <v>115.85</v>
      </c>
      <c r="T33" s="3459">
        <v>802</v>
      </c>
      <c r="U33" s="3459">
        <v>72.290000000000006</v>
      </c>
      <c r="V33" s="3458">
        <v>802</v>
      </c>
      <c r="W33" s="3458">
        <v>72.290000000000006</v>
      </c>
      <c r="X33" s="3458">
        <v>802</v>
      </c>
      <c r="Y33" s="3458">
        <v>72.28</v>
      </c>
      <c r="Z33" s="3459">
        <v>802</v>
      </c>
      <c r="AA33" s="3459">
        <v>72.28</v>
      </c>
      <c r="AB33" s="3458">
        <v>802</v>
      </c>
      <c r="AC33" s="3458">
        <v>72.290000000000006</v>
      </c>
      <c r="AD33" s="3457">
        <v>-2016</v>
      </c>
      <c r="AE33" s="3457">
        <v>27.63</v>
      </c>
    </row>
    <row r="34" spans="2:31">
      <c r="B34" s="3458">
        <v>201</v>
      </c>
      <c r="C34" s="3458">
        <v>72.27</v>
      </c>
      <c r="D34" s="3458">
        <v>901</v>
      </c>
      <c r="E34" s="3458">
        <v>96.51</v>
      </c>
      <c r="F34" s="3459">
        <v>901</v>
      </c>
      <c r="G34" s="3459">
        <v>96.47</v>
      </c>
      <c r="H34" s="3459">
        <v>901</v>
      </c>
      <c r="I34" s="3459">
        <v>88.5</v>
      </c>
      <c r="J34" s="3459">
        <v>901</v>
      </c>
      <c r="K34" s="3459">
        <v>96.08</v>
      </c>
      <c r="L34" s="3458">
        <v>901</v>
      </c>
      <c r="M34" s="3458">
        <v>96.11</v>
      </c>
      <c r="N34" s="3459">
        <v>901</v>
      </c>
      <c r="O34" s="3459">
        <v>88.56</v>
      </c>
      <c r="P34" s="3458">
        <v>901</v>
      </c>
      <c r="Q34" s="3458">
        <v>96.11</v>
      </c>
      <c r="R34" s="3459">
        <v>901</v>
      </c>
      <c r="S34" s="3459">
        <v>96.08</v>
      </c>
      <c r="T34" s="3459">
        <v>901</v>
      </c>
      <c r="U34" s="3459">
        <v>88.55</v>
      </c>
      <c r="V34" s="3458">
        <v>901</v>
      </c>
      <c r="W34" s="3458">
        <v>88.56</v>
      </c>
      <c r="X34" s="3458">
        <v>901</v>
      </c>
      <c r="Y34" s="3458">
        <v>98.48</v>
      </c>
      <c r="Z34" s="3459">
        <v>901</v>
      </c>
      <c r="AA34" s="3459">
        <v>88.54</v>
      </c>
      <c r="AB34" s="3458">
        <v>901</v>
      </c>
      <c r="AC34" s="3458">
        <v>88.56</v>
      </c>
      <c r="AD34" s="3457">
        <v>-2017</v>
      </c>
      <c r="AE34" s="3457">
        <v>27.63</v>
      </c>
    </row>
    <row r="35" spans="2:31">
      <c r="B35" s="3458">
        <v>202</v>
      </c>
      <c r="C35" s="3458">
        <v>72.67</v>
      </c>
      <c r="D35" s="3458">
        <v>902</v>
      </c>
      <c r="E35" s="3458">
        <v>96.02</v>
      </c>
      <c r="F35" s="3459">
        <v>902</v>
      </c>
      <c r="G35" s="3459">
        <v>116.4</v>
      </c>
      <c r="H35" s="3459">
        <v>902</v>
      </c>
      <c r="I35" s="3459">
        <v>72.3</v>
      </c>
      <c r="J35" s="3459">
        <v>902</v>
      </c>
      <c r="K35" s="3459">
        <v>115.85</v>
      </c>
      <c r="L35" s="3458">
        <v>902</v>
      </c>
      <c r="M35" s="3458">
        <v>95.63</v>
      </c>
      <c r="N35" s="3458">
        <v>902</v>
      </c>
      <c r="O35" s="3458">
        <v>72.290000000000006</v>
      </c>
      <c r="P35" s="3458">
        <v>902</v>
      </c>
      <c r="Q35" s="3458">
        <v>95.63</v>
      </c>
      <c r="R35" s="3459">
        <v>902</v>
      </c>
      <c r="S35" s="3459">
        <v>115.85</v>
      </c>
      <c r="T35" s="3459">
        <v>902</v>
      </c>
      <c r="U35" s="3459">
        <v>72.290000000000006</v>
      </c>
      <c r="V35" s="3458">
        <v>902</v>
      </c>
      <c r="W35" s="3458">
        <v>72.290000000000006</v>
      </c>
      <c r="X35" s="3458">
        <v>902</v>
      </c>
      <c r="Y35" s="3458">
        <v>72.28</v>
      </c>
      <c r="Z35" s="3458">
        <v>902</v>
      </c>
      <c r="AA35" s="3458">
        <v>72.28</v>
      </c>
      <c r="AB35" s="3458">
        <v>902</v>
      </c>
      <c r="AC35" s="3458">
        <v>72.290000000000006</v>
      </c>
      <c r="AD35" s="3457">
        <v>-2018</v>
      </c>
      <c r="AE35" s="3457">
        <v>27.63</v>
      </c>
    </row>
    <row r="36" spans="2:31">
      <c r="B36" s="3459">
        <v>203</v>
      </c>
      <c r="C36" s="3459">
        <v>72.33</v>
      </c>
      <c r="D36" s="3455" t="s">
        <v>3500</v>
      </c>
      <c r="E36" s="3456"/>
      <c r="F36" s="3455" t="s">
        <v>3500</v>
      </c>
      <c r="G36" s="3456"/>
      <c r="H36" s="3459">
        <v>1001</v>
      </c>
      <c r="I36" s="3459">
        <v>88.5</v>
      </c>
      <c r="J36" s="3455" t="s">
        <v>3500</v>
      </c>
      <c r="K36" s="3456"/>
      <c r="L36" s="3455" t="s">
        <v>3500</v>
      </c>
      <c r="M36" s="3456"/>
      <c r="N36" s="3458">
        <v>1001</v>
      </c>
      <c r="O36" s="3458">
        <v>88.56</v>
      </c>
      <c r="P36" s="3455" t="s">
        <v>3500</v>
      </c>
      <c r="Q36" s="3456"/>
      <c r="R36" s="3455" t="s">
        <v>3500</v>
      </c>
      <c r="S36" s="3456"/>
      <c r="T36" s="3459">
        <v>1001</v>
      </c>
      <c r="U36" s="3459">
        <v>88.55</v>
      </c>
      <c r="V36" s="3459">
        <v>1001</v>
      </c>
      <c r="W36" s="3459">
        <v>88.56</v>
      </c>
      <c r="X36" s="3458">
        <v>1001</v>
      </c>
      <c r="Y36" s="3458">
        <v>98.48</v>
      </c>
      <c r="Z36" s="3458">
        <v>1001</v>
      </c>
      <c r="AA36" s="3458">
        <v>88.54</v>
      </c>
      <c r="AB36" s="3458">
        <v>1001</v>
      </c>
      <c r="AC36" s="3458">
        <v>88.56</v>
      </c>
      <c r="AD36" s="3457">
        <v>-2019</v>
      </c>
      <c r="AE36" s="3457">
        <v>27.63</v>
      </c>
    </row>
    <row r="37" spans="2:31">
      <c r="B37" s="3458">
        <v>301</v>
      </c>
      <c r="C37" s="3458">
        <v>72.27</v>
      </c>
      <c r="D37" s="3459">
        <v>101</v>
      </c>
      <c r="E37" s="3459">
        <v>78.39</v>
      </c>
      <c r="F37" s="3459">
        <v>101</v>
      </c>
      <c r="G37" s="3459">
        <v>116.28</v>
      </c>
      <c r="H37" s="3459">
        <v>1002</v>
      </c>
      <c r="I37" s="3459">
        <v>72.3</v>
      </c>
      <c r="J37" s="3459">
        <v>101</v>
      </c>
      <c r="K37" s="3459">
        <v>115.85</v>
      </c>
      <c r="L37" s="3459">
        <v>101</v>
      </c>
      <c r="M37" s="3459">
        <v>95.59</v>
      </c>
      <c r="N37" s="3458">
        <v>1002</v>
      </c>
      <c r="O37" s="3458">
        <v>72.290000000000006</v>
      </c>
      <c r="P37" s="3459">
        <v>101</v>
      </c>
      <c r="Q37" s="3459">
        <v>95.59</v>
      </c>
      <c r="R37" s="3459">
        <v>101</v>
      </c>
      <c r="S37" s="3459">
        <v>115.85</v>
      </c>
      <c r="T37" s="3459">
        <v>1002</v>
      </c>
      <c r="U37" s="3459">
        <v>72.290000000000006</v>
      </c>
      <c r="V37" s="3458">
        <v>1002</v>
      </c>
      <c r="W37" s="3458">
        <v>72.290000000000006</v>
      </c>
      <c r="X37" s="3458">
        <v>1002</v>
      </c>
      <c r="Y37" s="3458">
        <v>72.28</v>
      </c>
      <c r="Z37" s="3458">
        <v>1002</v>
      </c>
      <c r="AA37" s="3458">
        <v>72.28</v>
      </c>
      <c r="AB37" s="3458">
        <v>1002</v>
      </c>
      <c r="AC37" s="3458">
        <v>72.290000000000006</v>
      </c>
      <c r="AD37" s="3457">
        <v>-2020</v>
      </c>
      <c r="AE37" s="3457">
        <v>27.63</v>
      </c>
    </row>
    <row r="38" spans="2:31">
      <c r="B38" s="3459">
        <v>302</v>
      </c>
      <c r="C38" s="3459">
        <v>72.67</v>
      </c>
      <c r="D38" s="3459">
        <v>102</v>
      </c>
      <c r="E38" s="3459">
        <v>116.28</v>
      </c>
      <c r="F38" s="3459">
        <v>102</v>
      </c>
      <c r="G38" s="3459">
        <v>78.39</v>
      </c>
      <c r="H38" s="3459">
        <v>1101</v>
      </c>
      <c r="I38" s="3459">
        <v>88.5</v>
      </c>
      <c r="J38" s="3459">
        <v>102</v>
      </c>
      <c r="K38" s="3459">
        <v>95.59</v>
      </c>
      <c r="L38" s="3459">
        <v>102</v>
      </c>
      <c r="M38" s="3459">
        <v>115.85</v>
      </c>
      <c r="N38" s="3458">
        <v>1101</v>
      </c>
      <c r="O38" s="3458">
        <v>88.56</v>
      </c>
      <c r="P38" s="3459">
        <v>102</v>
      </c>
      <c r="Q38" s="3459">
        <v>115.85</v>
      </c>
      <c r="R38" s="3459">
        <v>102</v>
      </c>
      <c r="S38" s="3459">
        <v>95.59</v>
      </c>
      <c r="T38" s="3459">
        <v>1101</v>
      </c>
      <c r="U38" s="3459">
        <v>88.55</v>
      </c>
      <c r="V38" s="3459">
        <v>1101</v>
      </c>
      <c r="W38" s="3459">
        <v>88.56</v>
      </c>
      <c r="X38" s="3459">
        <v>1101</v>
      </c>
      <c r="Y38" s="3459">
        <v>74.260000000000005</v>
      </c>
      <c r="Z38" s="3458">
        <v>1101</v>
      </c>
      <c r="AA38" s="3458">
        <v>60.51</v>
      </c>
      <c r="AB38" s="3458">
        <v>1101</v>
      </c>
      <c r="AC38" s="3458">
        <v>88.56</v>
      </c>
      <c r="AD38" s="3457">
        <v>-2021</v>
      </c>
      <c r="AE38" s="3457">
        <v>27.63</v>
      </c>
    </row>
    <row r="39" spans="2:31">
      <c r="B39" s="3459">
        <v>303</v>
      </c>
      <c r="C39" s="3459">
        <v>72.33</v>
      </c>
      <c r="D39" s="3458">
        <v>201</v>
      </c>
      <c r="E39" s="3458">
        <v>95.99</v>
      </c>
      <c r="F39" s="3459">
        <v>201</v>
      </c>
      <c r="G39" s="3459">
        <v>116.4</v>
      </c>
      <c r="H39" s="3458">
        <v>1102</v>
      </c>
      <c r="I39" s="3458">
        <v>72.3</v>
      </c>
      <c r="J39" s="3459">
        <v>201</v>
      </c>
      <c r="K39" s="3459">
        <v>115.85</v>
      </c>
      <c r="L39" s="3459">
        <v>201</v>
      </c>
      <c r="M39" s="3459">
        <v>95.59</v>
      </c>
      <c r="N39" s="3458">
        <v>1102</v>
      </c>
      <c r="O39" s="3458">
        <v>72.290000000000006</v>
      </c>
      <c r="P39" s="3458">
        <v>201</v>
      </c>
      <c r="Q39" s="3458">
        <v>95.59</v>
      </c>
      <c r="R39" s="3459">
        <v>201</v>
      </c>
      <c r="S39" s="3459">
        <v>115.85</v>
      </c>
      <c r="T39" s="3459">
        <v>1102</v>
      </c>
      <c r="U39" s="3459">
        <v>72.290000000000006</v>
      </c>
      <c r="V39" s="3459">
        <v>1102</v>
      </c>
      <c r="W39" s="3459">
        <v>72.290000000000006</v>
      </c>
      <c r="X39" s="3455" t="s">
        <v>3500</v>
      </c>
      <c r="Y39" s="3456"/>
      <c r="Z39" s="3459">
        <v>1102</v>
      </c>
      <c r="AA39" s="3459">
        <v>106.52</v>
      </c>
      <c r="AB39" s="3458">
        <v>1102</v>
      </c>
      <c r="AC39" s="3458">
        <v>72.290000000000006</v>
      </c>
      <c r="AD39" s="3457">
        <v>-2022</v>
      </c>
      <c r="AE39" s="3457">
        <v>27.63</v>
      </c>
    </row>
    <row r="40" spans="2:31">
      <c r="B40" s="3459">
        <v>401</v>
      </c>
      <c r="C40" s="3459">
        <v>72.27</v>
      </c>
      <c r="D40" s="3459">
        <v>202</v>
      </c>
      <c r="E40" s="3459">
        <v>116.4</v>
      </c>
      <c r="F40" s="3459">
        <v>202</v>
      </c>
      <c r="G40" s="3459">
        <v>95.99</v>
      </c>
      <c r="H40" s="3455" t="s">
        <v>3500</v>
      </c>
      <c r="I40" s="3456"/>
      <c r="J40" s="3459">
        <v>202</v>
      </c>
      <c r="K40" s="3459">
        <v>95.59</v>
      </c>
      <c r="L40" s="3459">
        <v>202</v>
      </c>
      <c r="M40" s="3459">
        <v>115.85</v>
      </c>
      <c r="N40" s="3455" t="s">
        <v>3500</v>
      </c>
      <c r="O40" s="3456"/>
      <c r="P40" s="3459">
        <v>202</v>
      </c>
      <c r="Q40" s="3459">
        <v>115.85</v>
      </c>
      <c r="R40" s="3459">
        <v>202</v>
      </c>
      <c r="S40" s="3459">
        <v>95.59</v>
      </c>
      <c r="T40" s="3455" t="s">
        <v>3500</v>
      </c>
      <c r="U40" s="3456"/>
      <c r="V40" s="3455" t="s">
        <v>3500</v>
      </c>
      <c r="W40" s="3456"/>
      <c r="X40" s="3459">
        <v>101</v>
      </c>
      <c r="Y40" s="3459">
        <v>72.239999999999995</v>
      </c>
      <c r="Z40" s="3455" t="s">
        <v>3500</v>
      </c>
      <c r="AA40" s="3456"/>
      <c r="AB40" s="3455" t="s">
        <v>3500</v>
      </c>
      <c r="AC40" s="3456"/>
      <c r="AD40" s="3457">
        <v>-2023</v>
      </c>
      <c r="AE40" s="3457">
        <v>27.63</v>
      </c>
    </row>
    <row r="41" spans="2:31">
      <c r="B41" s="3458">
        <v>402</v>
      </c>
      <c r="C41" s="3458">
        <v>72.67</v>
      </c>
      <c r="D41" s="3459">
        <v>301</v>
      </c>
      <c r="E41" s="3459">
        <v>95.99</v>
      </c>
      <c r="F41" s="3459">
        <v>301</v>
      </c>
      <c r="G41" s="3459">
        <v>116.4</v>
      </c>
      <c r="H41" s="3459">
        <v>101</v>
      </c>
      <c r="I41" s="3459">
        <v>57.64</v>
      </c>
      <c r="J41" s="3459">
        <v>301</v>
      </c>
      <c r="K41" s="3459">
        <v>115.85</v>
      </c>
      <c r="L41" s="3458">
        <v>301</v>
      </c>
      <c r="M41" s="3458">
        <v>95.59</v>
      </c>
      <c r="N41" s="3458">
        <v>101</v>
      </c>
      <c r="O41" s="3458">
        <v>72.239999999999995</v>
      </c>
      <c r="P41" s="3459">
        <v>301</v>
      </c>
      <c r="Q41" s="3459">
        <v>95.59</v>
      </c>
      <c r="R41" s="3459">
        <v>301</v>
      </c>
      <c r="S41" s="3459">
        <v>115.85</v>
      </c>
      <c r="T41" s="3459">
        <v>101</v>
      </c>
      <c r="U41" s="3459">
        <v>72.239999999999995</v>
      </c>
      <c r="V41" s="3459">
        <v>101</v>
      </c>
      <c r="W41" s="3459">
        <v>72.239999999999995</v>
      </c>
      <c r="X41" s="3459">
        <v>102</v>
      </c>
      <c r="Y41" s="3459">
        <v>72.239999999999995</v>
      </c>
      <c r="Z41" s="3459">
        <v>101</v>
      </c>
      <c r="AA41" s="3459">
        <v>72.239999999999995</v>
      </c>
      <c r="AB41" s="3459">
        <v>101</v>
      </c>
      <c r="AC41" s="3459">
        <v>72.239999999999995</v>
      </c>
      <c r="AD41" s="3457">
        <v>-2024</v>
      </c>
      <c r="AE41" s="3457">
        <v>27.63</v>
      </c>
    </row>
    <row r="42" spans="2:31">
      <c r="B42" s="3459">
        <v>403</v>
      </c>
      <c r="C42" s="3459">
        <v>72.33</v>
      </c>
      <c r="D42" s="3458">
        <v>302</v>
      </c>
      <c r="E42" s="3458">
        <v>116.4</v>
      </c>
      <c r="F42" s="3459">
        <v>302</v>
      </c>
      <c r="G42" s="3459">
        <v>95.99</v>
      </c>
      <c r="H42" s="3459">
        <v>102</v>
      </c>
      <c r="I42" s="3459">
        <v>72.63</v>
      </c>
      <c r="J42" s="3458">
        <v>302</v>
      </c>
      <c r="K42" s="3458">
        <v>95.59</v>
      </c>
      <c r="L42" s="3458">
        <v>302</v>
      </c>
      <c r="M42" s="3458">
        <v>115.85</v>
      </c>
      <c r="N42" s="3459">
        <v>102</v>
      </c>
      <c r="O42" s="3459">
        <v>88.51</v>
      </c>
      <c r="P42" s="3459">
        <v>302</v>
      </c>
      <c r="Q42" s="3459">
        <v>115.85</v>
      </c>
      <c r="R42" s="3459">
        <v>302</v>
      </c>
      <c r="S42" s="3459">
        <v>95.59</v>
      </c>
      <c r="T42" s="3459">
        <v>102</v>
      </c>
      <c r="U42" s="3459">
        <v>88.5</v>
      </c>
      <c r="V42" s="3459">
        <v>102</v>
      </c>
      <c r="W42" s="3459">
        <v>88.51</v>
      </c>
      <c r="X42" s="3459">
        <v>201</v>
      </c>
      <c r="Y42" s="3459">
        <v>72.28</v>
      </c>
      <c r="Z42" s="3459">
        <v>102</v>
      </c>
      <c r="AA42" s="3459">
        <v>72.239999999999995</v>
      </c>
      <c r="AB42" s="3459">
        <v>102</v>
      </c>
      <c r="AC42" s="3459">
        <v>88.51</v>
      </c>
      <c r="AD42" s="3457">
        <v>-2025</v>
      </c>
      <c r="AE42" s="3457">
        <v>27.63</v>
      </c>
    </row>
    <row r="43" spans="2:31">
      <c r="B43" s="3458">
        <v>501</v>
      </c>
      <c r="C43" s="3458">
        <v>72.27</v>
      </c>
      <c r="D43" s="3459">
        <v>401</v>
      </c>
      <c r="E43" s="3459">
        <v>95.99</v>
      </c>
      <c r="F43" s="3459">
        <v>401</v>
      </c>
      <c r="G43" s="3459">
        <v>116.4</v>
      </c>
      <c r="H43" s="3459">
        <v>103</v>
      </c>
      <c r="I43" s="3459">
        <v>72.23</v>
      </c>
      <c r="J43" s="3459">
        <v>401</v>
      </c>
      <c r="K43" s="3459">
        <v>115.85</v>
      </c>
      <c r="L43" s="3458">
        <v>401</v>
      </c>
      <c r="M43" s="3458">
        <v>95.59</v>
      </c>
      <c r="N43" s="3458">
        <v>201</v>
      </c>
      <c r="O43" s="3458">
        <v>72.290000000000006</v>
      </c>
      <c r="P43" s="3458">
        <v>401</v>
      </c>
      <c r="Q43" s="3458">
        <v>95.59</v>
      </c>
      <c r="R43" s="3459">
        <v>401</v>
      </c>
      <c r="S43" s="3459">
        <v>115.85</v>
      </c>
      <c r="T43" s="3459">
        <v>201</v>
      </c>
      <c r="U43" s="3459">
        <v>72.290000000000006</v>
      </c>
      <c r="V43" s="3459">
        <v>201</v>
      </c>
      <c r="W43" s="3459">
        <v>72.290000000000006</v>
      </c>
      <c r="X43" s="3458">
        <v>202</v>
      </c>
      <c r="Y43" s="3458">
        <v>72.28</v>
      </c>
      <c r="Z43" s="3459">
        <v>201</v>
      </c>
      <c r="AA43" s="3459">
        <v>72.28</v>
      </c>
      <c r="AB43" s="3458">
        <v>201</v>
      </c>
      <c r="AC43" s="3458">
        <v>72.290000000000006</v>
      </c>
      <c r="AD43" s="3457">
        <v>-2026</v>
      </c>
      <c r="AE43" s="3457">
        <v>27.63</v>
      </c>
    </row>
    <row r="44" spans="2:31">
      <c r="B44" s="3458">
        <v>502</v>
      </c>
      <c r="C44" s="3458">
        <v>72.67</v>
      </c>
      <c r="D44" s="3459">
        <v>402</v>
      </c>
      <c r="E44" s="3459">
        <v>116.4</v>
      </c>
      <c r="F44" s="3459">
        <v>402</v>
      </c>
      <c r="G44" s="3459">
        <v>95.99</v>
      </c>
      <c r="H44" s="3459">
        <v>201</v>
      </c>
      <c r="I44" s="3459">
        <v>72.3</v>
      </c>
      <c r="J44" s="3459">
        <v>402</v>
      </c>
      <c r="K44" s="3459">
        <v>95.59</v>
      </c>
      <c r="L44" s="3459">
        <v>402</v>
      </c>
      <c r="M44" s="3459">
        <v>115.85</v>
      </c>
      <c r="N44" s="3459">
        <v>202</v>
      </c>
      <c r="O44" s="3459">
        <v>88.56</v>
      </c>
      <c r="P44" s="3459">
        <v>402</v>
      </c>
      <c r="Q44" s="3459">
        <v>115.85</v>
      </c>
      <c r="R44" s="3459">
        <v>402</v>
      </c>
      <c r="S44" s="3459">
        <v>95.59</v>
      </c>
      <c r="T44" s="3459">
        <v>202</v>
      </c>
      <c r="U44" s="3459">
        <v>88.55</v>
      </c>
      <c r="V44" s="3459">
        <v>202</v>
      </c>
      <c r="W44" s="3459">
        <v>88.56</v>
      </c>
      <c r="X44" s="3458">
        <v>301</v>
      </c>
      <c r="Y44" s="3458">
        <v>72.28</v>
      </c>
      <c r="Z44" s="3458">
        <v>202</v>
      </c>
      <c r="AA44" s="3458">
        <v>72.28</v>
      </c>
      <c r="AB44" s="3459">
        <v>202</v>
      </c>
      <c r="AC44" s="3459">
        <v>88.56</v>
      </c>
      <c r="AD44" s="3457">
        <v>-2027</v>
      </c>
      <c r="AE44" s="3457">
        <v>27.63</v>
      </c>
    </row>
    <row r="45" spans="2:31">
      <c r="B45" s="3458">
        <v>503</v>
      </c>
      <c r="C45" s="3458">
        <v>72.33</v>
      </c>
      <c r="D45" s="3458">
        <v>501</v>
      </c>
      <c r="E45" s="3458">
        <v>95.99</v>
      </c>
      <c r="F45" s="3459">
        <v>501</v>
      </c>
      <c r="G45" s="3459">
        <v>116.4</v>
      </c>
      <c r="H45" s="3459">
        <v>202</v>
      </c>
      <c r="I45" s="3459">
        <v>72.63</v>
      </c>
      <c r="J45" s="3459">
        <v>501</v>
      </c>
      <c r="K45" s="3459">
        <v>115.85</v>
      </c>
      <c r="L45" s="3458">
        <v>501</v>
      </c>
      <c r="M45" s="3458">
        <v>95.59</v>
      </c>
      <c r="N45" s="3459">
        <v>301</v>
      </c>
      <c r="O45" s="3459">
        <v>72.290000000000006</v>
      </c>
      <c r="P45" s="3458">
        <v>501</v>
      </c>
      <c r="Q45" s="3458">
        <v>95.59</v>
      </c>
      <c r="R45" s="3459">
        <v>501</v>
      </c>
      <c r="S45" s="3459">
        <v>115.85</v>
      </c>
      <c r="T45" s="3459">
        <v>301</v>
      </c>
      <c r="U45" s="3459">
        <v>72.290000000000006</v>
      </c>
      <c r="V45" s="3458">
        <v>301</v>
      </c>
      <c r="W45" s="3458">
        <v>72.290000000000006</v>
      </c>
      <c r="X45" s="3458">
        <v>302</v>
      </c>
      <c r="Y45" s="3458">
        <v>72.28</v>
      </c>
      <c r="Z45" s="3458">
        <v>301</v>
      </c>
      <c r="AA45" s="3458">
        <v>72.28</v>
      </c>
      <c r="AB45" s="3458">
        <v>301</v>
      </c>
      <c r="AC45" s="3458">
        <v>72.290000000000006</v>
      </c>
      <c r="AD45" s="3457">
        <v>-2028</v>
      </c>
      <c r="AE45" s="3457">
        <v>27.63</v>
      </c>
    </row>
    <row r="46" spans="2:31">
      <c r="B46" s="3458">
        <v>601</v>
      </c>
      <c r="C46" s="3458">
        <v>72.27</v>
      </c>
      <c r="D46" s="3458">
        <v>502</v>
      </c>
      <c r="E46" s="3458">
        <v>116.4</v>
      </c>
      <c r="F46" s="3459">
        <v>502</v>
      </c>
      <c r="G46" s="3459">
        <v>95.99</v>
      </c>
      <c r="H46" s="3459">
        <v>203</v>
      </c>
      <c r="I46" s="3459">
        <v>72.23</v>
      </c>
      <c r="J46" s="3458">
        <v>502</v>
      </c>
      <c r="K46" s="3458">
        <v>95.59</v>
      </c>
      <c r="L46" s="3458">
        <v>502</v>
      </c>
      <c r="M46" s="3458">
        <v>115.85</v>
      </c>
      <c r="N46" s="3458">
        <v>302</v>
      </c>
      <c r="O46" s="3458">
        <v>88.56</v>
      </c>
      <c r="P46" s="3459">
        <v>502</v>
      </c>
      <c r="Q46" s="3459">
        <v>115.85</v>
      </c>
      <c r="R46" s="3459">
        <v>502</v>
      </c>
      <c r="S46" s="3459">
        <v>95.59</v>
      </c>
      <c r="T46" s="3459">
        <v>302</v>
      </c>
      <c r="U46" s="3459">
        <v>88.55</v>
      </c>
      <c r="V46" s="3459">
        <v>302</v>
      </c>
      <c r="W46" s="3459">
        <v>88.56</v>
      </c>
      <c r="X46" s="3459">
        <v>401</v>
      </c>
      <c r="Y46" s="3459">
        <v>72.28</v>
      </c>
      <c r="Z46" s="3458">
        <v>302</v>
      </c>
      <c r="AA46" s="3458">
        <v>72.28</v>
      </c>
      <c r="AB46" s="3458">
        <v>302</v>
      </c>
      <c r="AC46" s="3458">
        <v>88.56</v>
      </c>
      <c r="AD46" s="3457">
        <v>-2029</v>
      </c>
      <c r="AE46" s="3457">
        <v>27.63</v>
      </c>
    </row>
    <row r="47" spans="2:31">
      <c r="B47" s="3458">
        <v>602</v>
      </c>
      <c r="C47" s="3458">
        <v>72.67</v>
      </c>
      <c r="D47" s="3458">
        <v>601</v>
      </c>
      <c r="E47" s="3458">
        <v>95.99</v>
      </c>
      <c r="F47" s="3459">
        <v>601</v>
      </c>
      <c r="G47" s="3459">
        <v>116.4</v>
      </c>
      <c r="H47" s="3459">
        <v>301</v>
      </c>
      <c r="I47" s="3459">
        <v>72.3</v>
      </c>
      <c r="J47" s="3459">
        <v>601</v>
      </c>
      <c r="K47" s="3459">
        <v>115.85</v>
      </c>
      <c r="L47" s="3458">
        <v>601</v>
      </c>
      <c r="M47" s="3458">
        <v>95.59</v>
      </c>
      <c r="N47" s="3458">
        <v>401</v>
      </c>
      <c r="O47" s="3458">
        <v>72.290000000000006</v>
      </c>
      <c r="P47" s="3458">
        <v>601</v>
      </c>
      <c r="Q47" s="3458">
        <v>95.59</v>
      </c>
      <c r="R47" s="3459">
        <v>601</v>
      </c>
      <c r="S47" s="3459">
        <v>115.85</v>
      </c>
      <c r="T47" s="3459">
        <v>401</v>
      </c>
      <c r="U47" s="3459">
        <v>72.290000000000006</v>
      </c>
      <c r="V47" s="3458">
        <v>401</v>
      </c>
      <c r="W47" s="3458">
        <v>72.290000000000006</v>
      </c>
      <c r="X47" s="3458">
        <v>402</v>
      </c>
      <c r="Y47" s="3458">
        <v>72.28</v>
      </c>
      <c r="Z47" s="3458">
        <v>401</v>
      </c>
      <c r="AA47" s="3458">
        <v>72.28</v>
      </c>
      <c r="AB47" s="3458">
        <v>401</v>
      </c>
      <c r="AC47" s="3458">
        <v>72.290000000000006</v>
      </c>
      <c r="AD47" s="3457">
        <v>-2030</v>
      </c>
      <c r="AE47" s="3457">
        <v>27.63</v>
      </c>
    </row>
    <row r="48" spans="2:31">
      <c r="B48" s="3458">
        <v>603</v>
      </c>
      <c r="C48" s="3458">
        <v>72.33</v>
      </c>
      <c r="D48" s="3458">
        <v>602</v>
      </c>
      <c r="E48" s="3458">
        <v>116.4</v>
      </c>
      <c r="F48" s="3459">
        <v>602</v>
      </c>
      <c r="G48" s="3459">
        <v>95.99</v>
      </c>
      <c r="H48" s="3459">
        <v>302</v>
      </c>
      <c r="I48" s="3459">
        <v>72.63</v>
      </c>
      <c r="J48" s="3458">
        <v>602</v>
      </c>
      <c r="K48" s="3458">
        <v>95.59</v>
      </c>
      <c r="L48" s="3458">
        <v>602</v>
      </c>
      <c r="M48" s="3458">
        <v>115.85</v>
      </c>
      <c r="N48" s="3459">
        <v>402</v>
      </c>
      <c r="O48" s="3459">
        <v>88.56</v>
      </c>
      <c r="P48" s="3459">
        <v>602</v>
      </c>
      <c r="Q48" s="3459">
        <v>115.85</v>
      </c>
      <c r="R48" s="3459">
        <v>602</v>
      </c>
      <c r="S48" s="3459">
        <v>95.59</v>
      </c>
      <c r="T48" s="3459">
        <v>402</v>
      </c>
      <c r="U48" s="3459">
        <v>88.55</v>
      </c>
      <c r="V48" s="3459">
        <v>402</v>
      </c>
      <c r="W48" s="3459">
        <v>88.56</v>
      </c>
      <c r="X48" s="3458">
        <v>501</v>
      </c>
      <c r="Y48" s="3458">
        <v>72.28</v>
      </c>
      <c r="Z48" s="3458">
        <v>402</v>
      </c>
      <c r="AA48" s="3458">
        <v>72.28</v>
      </c>
      <c r="AB48" s="3459">
        <v>402</v>
      </c>
      <c r="AC48" s="3459">
        <v>88.56</v>
      </c>
      <c r="AD48" s="3457">
        <v>-2031</v>
      </c>
      <c r="AE48" s="3457">
        <v>27.63</v>
      </c>
    </row>
    <row r="49" spans="2:31">
      <c r="B49" s="3458">
        <v>701</v>
      </c>
      <c r="C49" s="3458">
        <v>72.849999999999994</v>
      </c>
      <c r="D49" s="3458">
        <v>701</v>
      </c>
      <c r="E49" s="3458">
        <v>95.99</v>
      </c>
      <c r="F49" s="3459">
        <v>701</v>
      </c>
      <c r="G49" s="3459">
        <v>116.4</v>
      </c>
      <c r="H49" s="3459">
        <v>303</v>
      </c>
      <c r="I49" s="3459">
        <v>72.23</v>
      </c>
      <c r="J49" s="3459">
        <v>701</v>
      </c>
      <c r="K49" s="3459">
        <v>115.85</v>
      </c>
      <c r="L49" s="3458">
        <v>701</v>
      </c>
      <c r="M49" s="3458">
        <v>95.59</v>
      </c>
      <c r="N49" s="3458">
        <v>501</v>
      </c>
      <c r="O49" s="3458">
        <v>72.290000000000006</v>
      </c>
      <c r="P49" s="3458">
        <v>701</v>
      </c>
      <c r="Q49" s="3458">
        <v>95.59</v>
      </c>
      <c r="R49" s="3459">
        <v>701</v>
      </c>
      <c r="S49" s="3459">
        <v>115.85</v>
      </c>
      <c r="T49" s="3459">
        <v>501</v>
      </c>
      <c r="U49" s="3459">
        <v>72.290000000000006</v>
      </c>
      <c r="V49" s="3458">
        <v>501</v>
      </c>
      <c r="W49" s="3458">
        <v>72.290000000000006</v>
      </c>
      <c r="X49" s="3458">
        <v>502</v>
      </c>
      <c r="Y49" s="3458">
        <v>72.28</v>
      </c>
      <c r="Z49" s="3458">
        <v>501</v>
      </c>
      <c r="AA49" s="3458">
        <v>72.28</v>
      </c>
      <c r="AB49" s="3458">
        <v>501</v>
      </c>
      <c r="AC49" s="3458">
        <v>72.290000000000006</v>
      </c>
      <c r="AD49" s="3457">
        <v>-2032</v>
      </c>
      <c r="AE49" s="3457">
        <v>27.63</v>
      </c>
    </row>
    <row r="50" spans="2:31">
      <c r="B50" s="3458">
        <v>702</v>
      </c>
      <c r="C50" s="3458">
        <v>72.67</v>
      </c>
      <c r="D50" s="3458">
        <v>702</v>
      </c>
      <c r="E50" s="3458">
        <v>116.4</v>
      </c>
      <c r="F50" s="3459">
        <v>702</v>
      </c>
      <c r="G50" s="3459">
        <v>95.99</v>
      </c>
      <c r="H50" s="3459">
        <v>401</v>
      </c>
      <c r="I50" s="3459">
        <v>72.3</v>
      </c>
      <c r="J50" s="3459">
        <v>702</v>
      </c>
      <c r="K50" s="3459">
        <v>95.59</v>
      </c>
      <c r="L50" s="3458">
        <v>702</v>
      </c>
      <c r="M50" s="3458">
        <v>115.85</v>
      </c>
      <c r="N50" s="3458">
        <v>502</v>
      </c>
      <c r="O50" s="3458">
        <v>88.56</v>
      </c>
      <c r="P50" s="3459">
        <v>702</v>
      </c>
      <c r="Q50" s="3459">
        <v>115.85</v>
      </c>
      <c r="R50" s="3459">
        <v>702</v>
      </c>
      <c r="S50" s="3459">
        <v>95.59</v>
      </c>
      <c r="T50" s="3459">
        <v>502</v>
      </c>
      <c r="U50" s="3459">
        <v>88.55</v>
      </c>
      <c r="V50" s="3459">
        <v>502</v>
      </c>
      <c r="W50" s="3459">
        <v>88.56</v>
      </c>
      <c r="X50" s="3458">
        <v>601</v>
      </c>
      <c r="Y50" s="3458">
        <v>72.28</v>
      </c>
      <c r="Z50" s="3458">
        <v>502</v>
      </c>
      <c r="AA50" s="3458">
        <v>72.28</v>
      </c>
      <c r="AB50" s="3459">
        <v>502</v>
      </c>
      <c r="AC50" s="3459">
        <v>88.56</v>
      </c>
      <c r="AD50" s="3457">
        <v>-2033</v>
      </c>
      <c r="AE50" s="3457">
        <v>27.63</v>
      </c>
    </row>
    <row r="51" spans="2:31">
      <c r="B51" s="3458">
        <v>703</v>
      </c>
      <c r="C51" s="3458">
        <v>72.33</v>
      </c>
      <c r="D51" s="3458">
        <v>801</v>
      </c>
      <c r="E51" s="3458">
        <v>95.99</v>
      </c>
      <c r="F51" s="3459">
        <v>801</v>
      </c>
      <c r="G51" s="3459">
        <v>116.4</v>
      </c>
      <c r="H51" s="3459">
        <v>402</v>
      </c>
      <c r="I51" s="3459">
        <v>72.63</v>
      </c>
      <c r="J51" s="3459">
        <v>801</v>
      </c>
      <c r="K51" s="3459">
        <v>115.85</v>
      </c>
      <c r="L51" s="3458">
        <v>801</v>
      </c>
      <c r="M51" s="3458">
        <v>95.59</v>
      </c>
      <c r="N51" s="3458">
        <v>601</v>
      </c>
      <c r="O51" s="3458">
        <v>72.290000000000006</v>
      </c>
      <c r="P51" s="3458">
        <v>801</v>
      </c>
      <c r="Q51" s="3458">
        <v>95.59</v>
      </c>
      <c r="R51" s="3459">
        <v>801</v>
      </c>
      <c r="S51" s="3459">
        <v>115.85</v>
      </c>
      <c r="T51" s="3459">
        <v>601</v>
      </c>
      <c r="U51" s="3459">
        <v>72.290000000000006</v>
      </c>
      <c r="V51" s="3459">
        <v>601</v>
      </c>
      <c r="W51" s="3459">
        <v>72.290000000000006</v>
      </c>
      <c r="X51" s="3458">
        <v>602</v>
      </c>
      <c r="Y51" s="3458">
        <v>72.28</v>
      </c>
      <c r="Z51" s="3458">
        <v>601</v>
      </c>
      <c r="AA51" s="3458">
        <v>72.28</v>
      </c>
      <c r="AB51" s="3458">
        <v>601</v>
      </c>
      <c r="AC51" s="3458">
        <v>72.290000000000006</v>
      </c>
      <c r="AD51" s="3457">
        <v>-2034</v>
      </c>
      <c r="AE51" s="3457">
        <v>27.63</v>
      </c>
    </row>
    <row r="52" spans="2:31">
      <c r="B52" s="3459">
        <v>801</v>
      </c>
      <c r="C52" s="3459">
        <v>72.849999999999994</v>
      </c>
      <c r="D52" s="3459">
        <v>802</v>
      </c>
      <c r="E52" s="3459">
        <v>116.4</v>
      </c>
      <c r="F52" s="3459">
        <v>802</v>
      </c>
      <c r="G52" s="3459">
        <v>95.99</v>
      </c>
      <c r="H52" s="3459">
        <v>403</v>
      </c>
      <c r="I52" s="3459">
        <v>72.23</v>
      </c>
      <c r="J52" s="3459">
        <v>802</v>
      </c>
      <c r="K52" s="3459">
        <v>95.59</v>
      </c>
      <c r="L52" s="3458">
        <v>802</v>
      </c>
      <c r="M52" s="3458">
        <v>115.85</v>
      </c>
      <c r="N52" s="3459">
        <v>602</v>
      </c>
      <c r="O52" s="3459">
        <v>88.56</v>
      </c>
      <c r="P52" s="3459">
        <v>802</v>
      </c>
      <c r="Q52" s="3459">
        <v>115.85</v>
      </c>
      <c r="R52" s="3459">
        <v>802</v>
      </c>
      <c r="S52" s="3459">
        <v>95.59</v>
      </c>
      <c r="T52" s="3459">
        <v>602</v>
      </c>
      <c r="U52" s="3459">
        <v>88.55</v>
      </c>
      <c r="V52" s="3458">
        <v>602</v>
      </c>
      <c r="W52" s="3458">
        <v>88.56</v>
      </c>
      <c r="X52" s="3458">
        <v>701</v>
      </c>
      <c r="Y52" s="3458">
        <v>72.28</v>
      </c>
      <c r="Z52" s="3458">
        <v>602</v>
      </c>
      <c r="AA52" s="3458">
        <v>72.28</v>
      </c>
      <c r="AB52" s="3458">
        <v>602</v>
      </c>
      <c r="AC52" s="3458">
        <v>88.56</v>
      </c>
      <c r="AD52" s="3457">
        <v>-2035</v>
      </c>
      <c r="AE52" s="3457">
        <v>27.63</v>
      </c>
    </row>
    <row r="53" spans="2:31">
      <c r="B53" s="3459">
        <v>802</v>
      </c>
      <c r="C53" s="3459">
        <v>72.67</v>
      </c>
      <c r="D53" s="3459">
        <v>901</v>
      </c>
      <c r="E53" s="3459">
        <v>95.99</v>
      </c>
      <c r="F53" s="3459">
        <v>901</v>
      </c>
      <c r="G53" s="3459">
        <v>116.4</v>
      </c>
      <c r="H53" s="3458">
        <v>501</v>
      </c>
      <c r="I53" s="3458">
        <v>72.3</v>
      </c>
      <c r="J53" s="3459">
        <v>901</v>
      </c>
      <c r="K53" s="3459">
        <v>115.85</v>
      </c>
      <c r="L53" s="3459">
        <v>901</v>
      </c>
      <c r="M53" s="3459">
        <v>95.59</v>
      </c>
      <c r="N53" s="3459">
        <v>701</v>
      </c>
      <c r="O53" s="3459">
        <v>72.290000000000006</v>
      </c>
      <c r="P53" s="3458">
        <v>901</v>
      </c>
      <c r="Q53" s="3458">
        <v>95.59</v>
      </c>
      <c r="R53" s="3459">
        <v>901</v>
      </c>
      <c r="S53" s="3459">
        <v>115.85</v>
      </c>
      <c r="T53" s="3459">
        <v>701</v>
      </c>
      <c r="U53" s="3459">
        <v>72.290000000000006</v>
      </c>
      <c r="V53" s="3458">
        <v>701</v>
      </c>
      <c r="W53" s="3458">
        <v>72.290000000000006</v>
      </c>
      <c r="X53" s="3458">
        <v>702</v>
      </c>
      <c r="Y53" s="3458">
        <v>72.28</v>
      </c>
      <c r="Z53" s="3458">
        <v>701</v>
      </c>
      <c r="AA53" s="3458">
        <v>72.28</v>
      </c>
      <c r="AB53" s="3458">
        <v>701</v>
      </c>
      <c r="AC53" s="3458">
        <v>72.290000000000006</v>
      </c>
      <c r="AD53" s="3457">
        <v>-2036</v>
      </c>
      <c r="AE53" s="3457">
        <v>27.63</v>
      </c>
    </row>
    <row r="54" spans="2:31">
      <c r="B54" s="3458">
        <v>803</v>
      </c>
      <c r="C54" s="3458">
        <v>72.33</v>
      </c>
      <c r="D54" s="3459">
        <v>902</v>
      </c>
      <c r="E54" s="3459">
        <v>116.4</v>
      </c>
      <c r="F54" s="3459">
        <v>902</v>
      </c>
      <c r="G54" s="3459">
        <v>95.99</v>
      </c>
      <c r="H54" s="3459">
        <v>502</v>
      </c>
      <c r="I54" s="3459">
        <v>72.63</v>
      </c>
      <c r="J54" s="3459">
        <v>902</v>
      </c>
      <c r="K54" s="3459">
        <v>95.59</v>
      </c>
      <c r="L54" s="3458">
        <v>902</v>
      </c>
      <c r="M54" s="3458">
        <v>115.85</v>
      </c>
      <c r="N54" s="3458">
        <v>702</v>
      </c>
      <c r="O54" s="3458">
        <v>88.56</v>
      </c>
      <c r="P54" s="3459">
        <v>902</v>
      </c>
      <c r="Q54" s="3459">
        <v>115.85</v>
      </c>
      <c r="R54" s="3459">
        <v>902</v>
      </c>
      <c r="S54" s="3459">
        <v>95.59</v>
      </c>
      <c r="T54" s="3459">
        <v>702</v>
      </c>
      <c r="U54" s="3459">
        <v>88.55</v>
      </c>
      <c r="V54" s="3459">
        <v>702</v>
      </c>
      <c r="W54" s="3459">
        <v>88.56</v>
      </c>
      <c r="X54" s="3458">
        <v>801</v>
      </c>
      <c r="Y54" s="3458">
        <v>72.28</v>
      </c>
      <c r="Z54" s="3458">
        <v>702</v>
      </c>
      <c r="AA54" s="3458">
        <v>72.28</v>
      </c>
      <c r="AB54" s="3459">
        <v>702</v>
      </c>
      <c r="AC54" s="3459">
        <v>88.56</v>
      </c>
      <c r="AD54" s="3457">
        <v>-2037</v>
      </c>
      <c r="AE54" s="3457">
        <v>27.63</v>
      </c>
    </row>
    <row r="55" spans="2:31">
      <c r="B55" s="3458">
        <v>901</v>
      </c>
      <c r="C55" s="3458">
        <v>72.849999999999994</v>
      </c>
      <c r="D55" s="3455" t="s">
        <v>3501</v>
      </c>
      <c r="E55" s="3456"/>
      <c r="F55" s="3455" t="s">
        <v>3501</v>
      </c>
      <c r="G55" s="3456"/>
      <c r="H55" s="3459">
        <v>503</v>
      </c>
      <c r="I55" s="3459">
        <v>72.23</v>
      </c>
      <c r="J55" s="3455" t="s">
        <v>3501</v>
      </c>
      <c r="K55" s="3456"/>
      <c r="L55" s="3455" t="s">
        <v>3501</v>
      </c>
      <c r="M55" s="3456"/>
      <c r="N55" s="3458">
        <v>801</v>
      </c>
      <c r="O55" s="3458">
        <v>72.290000000000006</v>
      </c>
      <c r="P55" s="3455" t="s">
        <v>3501</v>
      </c>
      <c r="Q55" s="3456"/>
      <c r="R55" s="3455" t="s">
        <v>3501</v>
      </c>
      <c r="S55" s="3456"/>
      <c r="T55" s="3459">
        <v>801</v>
      </c>
      <c r="U55" s="3459">
        <v>72.290000000000006</v>
      </c>
      <c r="V55" s="3459">
        <v>801</v>
      </c>
      <c r="W55" s="3459">
        <v>72.290000000000006</v>
      </c>
      <c r="X55" s="3459">
        <v>802</v>
      </c>
      <c r="Y55" s="3459">
        <v>72.28</v>
      </c>
      <c r="Z55" s="3459">
        <v>801</v>
      </c>
      <c r="AA55" s="3459">
        <v>72.28</v>
      </c>
      <c r="AB55" s="3458">
        <v>801</v>
      </c>
      <c r="AC55" s="3458">
        <v>72.290000000000006</v>
      </c>
      <c r="AD55" s="3457">
        <v>-2038</v>
      </c>
      <c r="AE55" s="3457">
        <v>27.63</v>
      </c>
    </row>
    <row r="56" spans="2:31">
      <c r="B56" s="3458">
        <v>902</v>
      </c>
      <c r="C56" s="3458">
        <v>72.67</v>
      </c>
      <c r="D56" s="3459">
        <v>101</v>
      </c>
      <c r="E56" s="3459">
        <v>116.28</v>
      </c>
      <c r="F56" s="3459">
        <v>101</v>
      </c>
      <c r="G56" s="3459">
        <v>78.430000000000007</v>
      </c>
      <c r="H56" s="3459">
        <v>601</v>
      </c>
      <c r="I56" s="3459">
        <v>72.3</v>
      </c>
      <c r="J56" s="3459">
        <v>101</v>
      </c>
      <c r="K56" s="3459">
        <v>95.63</v>
      </c>
      <c r="L56" s="3459">
        <v>101</v>
      </c>
      <c r="M56" s="3459">
        <v>115.85</v>
      </c>
      <c r="N56" s="3458">
        <v>802</v>
      </c>
      <c r="O56" s="3458">
        <v>88.56</v>
      </c>
      <c r="P56" s="3459">
        <v>101</v>
      </c>
      <c r="Q56" s="3459">
        <v>115.85</v>
      </c>
      <c r="R56" s="3459">
        <v>101</v>
      </c>
      <c r="S56" s="3459">
        <v>95.63</v>
      </c>
      <c r="T56" s="3459">
        <v>802</v>
      </c>
      <c r="U56" s="3459">
        <v>88.55</v>
      </c>
      <c r="V56" s="3459">
        <v>802</v>
      </c>
      <c r="W56" s="3459">
        <v>88.56</v>
      </c>
      <c r="X56" s="3459">
        <v>901</v>
      </c>
      <c r="Y56" s="3459">
        <v>72.28</v>
      </c>
      <c r="Z56" s="3458">
        <v>802</v>
      </c>
      <c r="AA56" s="3458">
        <v>72.28</v>
      </c>
      <c r="AB56" s="3458">
        <v>802</v>
      </c>
      <c r="AC56" s="3458">
        <v>88.56</v>
      </c>
      <c r="AD56" s="3457">
        <v>-2039</v>
      </c>
      <c r="AE56" s="3457">
        <v>27.63</v>
      </c>
    </row>
    <row r="57" spans="2:31">
      <c r="B57" s="3458">
        <v>903</v>
      </c>
      <c r="C57" s="3458">
        <v>72.33</v>
      </c>
      <c r="D57" s="3459">
        <v>102</v>
      </c>
      <c r="E57" s="3459">
        <v>78.87</v>
      </c>
      <c r="F57" s="3459">
        <v>102</v>
      </c>
      <c r="G57" s="3459">
        <v>96.47</v>
      </c>
      <c r="H57" s="3458">
        <v>602</v>
      </c>
      <c r="I57" s="3458">
        <v>72.63</v>
      </c>
      <c r="J57" s="3459">
        <v>102</v>
      </c>
      <c r="K57" s="3459">
        <v>96.11</v>
      </c>
      <c r="L57" s="3459">
        <v>102</v>
      </c>
      <c r="M57" s="3459">
        <v>96.08</v>
      </c>
      <c r="N57" s="3458">
        <v>901</v>
      </c>
      <c r="O57" s="3458">
        <v>72.290000000000006</v>
      </c>
      <c r="P57" s="3459">
        <v>102</v>
      </c>
      <c r="Q57" s="3459">
        <v>96.08</v>
      </c>
      <c r="R57" s="3459">
        <v>102</v>
      </c>
      <c r="S57" s="3459">
        <v>96.11</v>
      </c>
      <c r="T57" s="3459">
        <v>901</v>
      </c>
      <c r="U57" s="3459">
        <v>72.290000000000006</v>
      </c>
      <c r="V57" s="3458">
        <v>901</v>
      </c>
      <c r="W57" s="3458">
        <v>72.290000000000006</v>
      </c>
      <c r="X57" s="3458">
        <v>902</v>
      </c>
      <c r="Y57" s="3458">
        <v>72.28</v>
      </c>
      <c r="Z57" s="3458">
        <v>901</v>
      </c>
      <c r="AA57" s="3458">
        <v>72.28</v>
      </c>
      <c r="AB57" s="3458">
        <v>901</v>
      </c>
      <c r="AC57" s="3458">
        <v>72.290000000000006</v>
      </c>
      <c r="AD57" s="3457">
        <v>-2040</v>
      </c>
      <c r="AE57" s="3457">
        <v>27.63</v>
      </c>
    </row>
    <row r="58" spans="2:31">
      <c r="B58" s="3458">
        <v>1001</v>
      </c>
      <c r="C58" s="3458">
        <v>72.849999999999994</v>
      </c>
      <c r="D58" s="3459">
        <v>201</v>
      </c>
      <c r="E58" s="3459">
        <v>116.4</v>
      </c>
      <c r="F58" s="3459">
        <v>201</v>
      </c>
      <c r="G58" s="3459">
        <v>96.02</v>
      </c>
      <c r="H58" s="3459">
        <v>603</v>
      </c>
      <c r="I58" s="3459">
        <v>72.819999999999993</v>
      </c>
      <c r="J58" s="3459">
        <v>201</v>
      </c>
      <c r="K58" s="3459">
        <v>95.63</v>
      </c>
      <c r="L58" s="3459">
        <v>201</v>
      </c>
      <c r="M58" s="3459">
        <v>115.85</v>
      </c>
      <c r="N58" s="3458">
        <v>902</v>
      </c>
      <c r="O58" s="3458">
        <v>88.56</v>
      </c>
      <c r="P58" s="3459">
        <v>201</v>
      </c>
      <c r="Q58" s="3459">
        <v>115.85</v>
      </c>
      <c r="R58" s="3459">
        <v>201</v>
      </c>
      <c r="S58" s="3459">
        <v>95.63</v>
      </c>
      <c r="T58" s="3459">
        <v>902</v>
      </c>
      <c r="U58" s="3459">
        <v>88.55</v>
      </c>
      <c r="V58" s="3459">
        <v>902</v>
      </c>
      <c r="W58" s="3459">
        <v>88.56</v>
      </c>
      <c r="X58" s="3458">
        <v>1001</v>
      </c>
      <c r="Y58" s="3458">
        <v>72.28</v>
      </c>
      <c r="Z58" s="3458">
        <v>902</v>
      </c>
      <c r="AA58" s="3458">
        <v>72.28</v>
      </c>
      <c r="AB58" s="3458">
        <v>902</v>
      </c>
      <c r="AC58" s="3458">
        <v>88.56</v>
      </c>
      <c r="AD58" s="3457">
        <v>-2041</v>
      </c>
      <c r="AE58" s="3457">
        <v>27.63</v>
      </c>
    </row>
    <row r="59" spans="2:31">
      <c r="B59" s="3458">
        <v>1002</v>
      </c>
      <c r="C59" s="3458">
        <v>72.67</v>
      </c>
      <c r="D59" s="3459">
        <v>202</v>
      </c>
      <c r="E59" s="3459">
        <v>96.47</v>
      </c>
      <c r="F59" s="3459">
        <v>202</v>
      </c>
      <c r="G59" s="3459">
        <v>96.51</v>
      </c>
      <c r="H59" s="3459">
        <v>701</v>
      </c>
      <c r="I59" s="3459">
        <v>72.3</v>
      </c>
      <c r="J59" s="3459">
        <v>202</v>
      </c>
      <c r="K59" s="3459">
        <v>96.11</v>
      </c>
      <c r="L59" s="3459">
        <v>202</v>
      </c>
      <c r="M59" s="3459">
        <v>96.08</v>
      </c>
      <c r="N59" s="3458">
        <v>1001</v>
      </c>
      <c r="O59" s="3458">
        <v>72.290000000000006</v>
      </c>
      <c r="P59" s="3459">
        <v>202</v>
      </c>
      <c r="Q59" s="3459">
        <v>96.08</v>
      </c>
      <c r="R59" s="3459">
        <v>202</v>
      </c>
      <c r="S59" s="3459">
        <v>96.11</v>
      </c>
      <c r="T59" s="3459">
        <v>1001</v>
      </c>
      <c r="U59" s="3459">
        <v>72.290000000000006</v>
      </c>
      <c r="V59" s="3459">
        <v>1001</v>
      </c>
      <c r="W59" s="3459">
        <v>72.290000000000006</v>
      </c>
      <c r="X59" s="3458">
        <v>1002</v>
      </c>
      <c r="Y59" s="3458">
        <v>72.28</v>
      </c>
      <c r="Z59" s="3458">
        <v>1001</v>
      </c>
      <c r="AA59" s="3458">
        <v>72.28</v>
      </c>
      <c r="AB59" s="3458">
        <v>1001</v>
      </c>
      <c r="AC59" s="3458">
        <v>72.290000000000006</v>
      </c>
      <c r="AD59" s="3457">
        <v>-2042</v>
      </c>
      <c r="AE59" s="3457">
        <v>27.63</v>
      </c>
    </row>
    <row r="60" spans="2:31">
      <c r="B60" s="3459">
        <v>1003</v>
      </c>
      <c r="C60" s="3459">
        <v>72.33</v>
      </c>
      <c r="D60" s="3458">
        <v>301</v>
      </c>
      <c r="E60" s="3458">
        <v>116.4</v>
      </c>
      <c r="F60" s="3459">
        <v>301</v>
      </c>
      <c r="G60" s="3459">
        <v>96.02</v>
      </c>
      <c r="H60" s="3459">
        <v>702</v>
      </c>
      <c r="I60" s="3459">
        <v>72.63</v>
      </c>
      <c r="J60" s="3458">
        <v>301</v>
      </c>
      <c r="K60" s="3458">
        <v>95.63</v>
      </c>
      <c r="L60" s="3458">
        <v>301</v>
      </c>
      <c r="M60" s="3458">
        <v>115.85</v>
      </c>
      <c r="N60" s="3458">
        <v>1002</v>
      </c>
      <c r="O60" s="3458">
        <v>88.56</v>
      </c>
      <c r="P60" s="3458">
        <v>301</v>
      </c>
      <c r="Q60" s="3458">
        <v>115.85</v>
      </c>
      <c r="R60" s="3459">
        <v>301</v>
      </c>
      <c r="S60" s="3459">
        <v>95.63</v>
      </c>
      <c r="T60" s="3459">
        <v>1002</v>
      </c>
      <c r="U60" s="3459">
        <v>88.55</v>
      </c>
      <c r="V60" s="3459">
        <v>1002</v>
      </c>
      <c r="W60" s="3459">
        <v>88.56</v>
      </c>
      <c r="X60" s="3459">
        <v>1101</v>
      </c>
      <c r="Y60" s="3459">
        <v>103.81</v>
      </c>
      <c r="Z60" s="3458">
        <v>1002</v>
      </c>
      <c r="AA60" s="3458">
        <v>72.28</v>
      </c>
      <c r="AB60" s="3459">
        <v>1002</v>
      </c>
      <c r="AC60" s="3459">
        <v>88.56</v>
      </c>
      <c r="AD60" s="3457">
        <v>-2043</v>
      </c>
      <c r="AE60" s="3457">
        <v>27.63</v>
      </c>
    </row>
    <row r="61" spans="2:31">
      <c r="B61" s="3459">
        <v>1101</v>
      </c>
      <c r="C61" s="3459">
        <v>72.849999999999994</v>
      </c>
      <c r="D61" s="3458">
        <v>302</v>
      </c>
      <c r="E61" s="3458">
        <v>96.47</v>
      </c>
      <c r="F61" s="3459">
        <v>302</v>
      </c>
      <c r="G61" s="3459">
        <v>96.51</v>
      </c>
      <c r="H61" s="3459">
        <v>703</v>
      </c>
      <c r="I61" s="3459">
        <v>72.819999999999993</v>
      </c>
      <c r="J61" s="3459">
        <v>302</v>
      </c>
      <c r="K61" s="3459">
        <v>96.11</v>
      </c>
      <c r="L61" s="3458">
        <v>302</v>
      </c>
      <c r="M61" s="3458">
        <v>96.08</v>
      </c>
      <c r="N61" s="3459">
        <v>1101</v>
      </c>
      <c r="O61" s="3459">
        <v>72.290000000000006</v>
      </c>
      <c r="P61" s="3458">
        <v>302</v>
      </c>
      <c r="Q61" s="3458">
        <v>96.08</v>
      </c>
      <c r="R61" s="3459">
        <v>302</v>
      </c>
      <c r="S61" s="3459">
        <v>96.11</v>
      </c>
      <c r="T61" s="3459">
        <v>1101</v>
      </c>
      <c r="U61" s="3459">
        <v>72.290000000000006</v>
      </c>
      <c r="V61" s="3459">
        <v>1101</v>
      </c>
      <c r="W61" s="3459">
        <v>72.290000000000006</v>
      </c>
      <c r="X61" s="3455" t="s">
        <v>3501</v>
      </c>
      <c r="Y61" s="3456"/>
      <c r="Z61" s="3459">
        <v>1101</v>
      </c>
      <c r="AA61" s="3459">
        <v>106.52</v>
      </c>
      <c r="AB61" s="3458">
        <v>1101</v>
      </c>
      <c r="AC61" s="3458">
        <v>72.290000000000006</v>
      </c>
      <c r="AD61" s="3457">
        <v>-2044</v>
      </c>
      <c r="AE61" s="3457">
        <v>27.63</v>
      </c>
    </row>
    <row r="62" spans="2:31">
      <c r="B62" s="3459">
        <v>1102</v>
      </c>
      <c r="C62" s="3459">
        <v>72.67</v>
      </c>
      <c r="D62" s="3459">
        <v>401</v>
      </c>
      <c r="E62" s="3459">
        <v>116.4</v>
      </c>
      <c r="F62" s="3459">
        <v>401</v>
      </c>
      <c r="G62" s="3459">
        <v>96.02</v>
      </c>
      <c r="H62" s="3458">
        <v>801</v>
      </c>
      <c r="I62" s="3458">
        <v>72.3</v>
      </c>
      <c r="J62" s="3459">
        <v>401</v>
      </c>
      <c r="K62" s="3459">
        <v>95.63</v>
      </c>
      <c r="L62" s="3459">
        <v>401</v>
      </c>
      <c r="M62" s="3459">
        <v>115.85</v>
      </c>
      <c r="N62" s="3459">
        <v>1102</v>
      </c>
      <c r="O62" s="3459">
        <v>88.56</v>
      </c>
      <c r="P62" s="3459">
        <v>401</v>
      </c>
      <c r="Q62" s="3459">
        <v>115.85</v>
      </c>
      <c r="R62" s="3459">
        <v>401</v>
      </c>
      <c r="S62" s="3459">
        <v>95.63</v>
      </c>
      <c r="T62" s="3459">
        <v>1102</v>
      </c>
      <c r="U62" s="3459">
        <v>88.55</v>
      </c>
      <c r="V62" s="3459">
        <v>1102</v>
      </c>
      <c r="W62" s="3459">
        <v>88.56</v>
      </c>
      <c r="X62" s="3459">
        <v>101</v>
      </c>
      <c r="Y62" s="3459">
        <v>72.239999999999995</v>
      </c>
      <c r="Z62" s="3455" t="s">
        <v>3501</v>
      </c>
      <c r="AA62" s="3456"/>
      <c r="AB62" s="3458">
        <v>1102</v>
      </c>
      <c r="AC62" s="3458">
        <v>88.56</v>
      </c>
      <c r="AD62" s="3457">
        <v>-2045</v>
      </c>
      <c r="AE62" s="3457">
        <v>27.63</v>
      </c>
    </row>
    <row r="63" spans="2:31">
      <c r="B63" s="3459">
        <v>1103</v>
      </c>
      <c r="C63" s="3459">
        <v>72.33</v>
      </c>
      <c r="D63" s="3459">
        <v>402</v>
      </c>
      <c r="E63" s="3459">
        <v>96.47</v>
      </c>
      <c r="F63" s="3459">
        <v>402</v>
      </c>
      <c r="G63" s="3459">
        <v>96.51</v>
      </c>
      <c r="H63" s="3459">
        <v>802</v>
      </c>
      <c r="I63" s="3459">
        <v>72.63</v>
      </c>
      <c r="J63" s="3459">
        <v>402</v>
      </c>
      <c r="K63" s="3459">
        <v>96.11</v>
      </c>
      <c r="L63" s="3458">
        <v>402</v>
      </c>
      <c r="M63" s="3458">
        <v>96.08</v>
      </c>
      <c r="P63" s="3458">
        <v>402</v>
      </c>
      <c r="Q63" s="3458">
        <v>96.08</v>
      </c>
      <c r="R63" s="3459">
        <v>402</v>
      </c>
      <c r="S63" s="3459">
        <v>96.11</v>
      </c>
      <c r="T63" s="3455" t="s">
        <v>3507</v>
      </c>
      <c r="U63" s="3456"/>
      <c r="X63" s="3459">
        <v>102</v>
      </c>
      <c r="Y63" s="3459">
        <v>72.239999999999995</v>
      </c>
      <c r="Z63" s="3459">
        <v>101</v>
      </c>
      <c r="AA63" s="3459">
        <v>72.239999999999995</v>
      </c>
      <c r="AD63" s="3457">
        <v>-2046</v>
      </c>
      <c r="AE63" s="3457">
        <v>27.63</v>
      </c>
    </row>
    <row r="64" spans="2:31">
      <c r="B64" s="3455" t="s">
        <v>3501</v>
      </c>
      <c r="C64" s="3456"/>
      <c r="D64" s="3459">
        <v>501</v>
      </c>
      <c r="E64" s="3459">
        <v>116.4</v>
      </c>
      <c r="F64" s="3459">
        <v>501</v>
      </c>
      <c r="G64" s="3459">
        <v>96.02</v>
      </c>
      <c r="H64" s="3459">
        <v>803</v>
      </c>
      <c r="I64" s="3459">
        <v>72.819999999999993</v>
      </c>
      <c r="J64" s="3458">
        <v>501</v>
      </c>
      <c r="K64" s="3458">
        <v>95.63</v>
      </c>
      <c r="L64" s="3458">
        <v>501</v>
      </c>
      <c r="M64" s="3458">
        <v>115.85</v>
      </c>
      <c r="P64" s="3458">
        <v>501</v>
      </c>
      <c r="Q64" s="3458">
        <v>115.85</v>
      </c>
      <c r="R64" s="3459">
        <v>501</v>
      </c>
      <c r="S64" s="3459">
        <v>95.63</v>
      </c>
      <c r="T64" s="3457">
        <v>-201</v>
      </c>
      <c r="U64" s="3457">
        <v>51.31</v>
      </c>
      <c r="X64" s="3459">
        <v>201</v>
      </c>
      <c r="Y64" s="3459">
        <v>72.28</v>
      </c>
      <c r="Z64" s="3459">
        <v>102</v>
      </c>
      <c r="AA64" s="3459">
        <v>72.239999999999995</v>
      </c>
      <c r="AD64" s="3457">
        <v>-2047</v>
      </c>
      <c r="AE64" s="3457">
        <v>27.63</v>
      </c>
    </row>
    <row r="65" spans="2:31">
      <c r="B65" s="3459">
        <v>101</v>
      </c>
      <c r="C65" s="3459">
        <v>72.28</v>
      </c>
      <c r="D65" s="3458">
        <v>502</v>
      </c>
      <c r="E65" s="3458">
        <v>96.47</v>
      </c>
      <c r="F65" s="3459">
        <v>502</v>
      </c>
      <c r="G65" s="3459">
        <v>96.51</v>
      </c>
      <c r="H65" s="3459">
        <v>901</v>
      </c>
      <c r="I65" s="3459">
        <v>72.3</v>
      </c>
      <c r="J65" s="3459">
        <v>502</v>
      </c>
      <c r="K65" s="3459">
        <v>96.11</v>
      </c>
      <c r="L65" s="3458">
        <v>502</v>
      </c>
      <c r="M65" s="3458">
        <v>96.08</v>
      </c>
      <c r="P65" s="3458">
        <v>502</v>
      </c>
      <c r="Q65" s="3458">
        <v>96.08</v>
      </c>
      <c r="R65" s="3459">
        <v>502</v>
      </c>
      <c r="S65" s="3459">
        <v>96.11</v>
      </c>
      <c r="T65" s="3457">
        <v>-202</v>
      </c>
      <c r="U65" s="3457">
        <v>39.340000000000003</v>
      </c>
      <c r="X65" s="3459">
        <v>202</v>
      </c>
      <c r="Y65" s="3459">
        <v>72.28</v>
      </c>
      <c r="Z65" s="3459">
        <v>201</v>
      </c>
      <c r="AA65" s="3459">
        <v>72.28</v>
      </c>
      <c r="AD65" s="3457">
        <v>-2048</v>
      </c>
      <c r="AE65" s="3457">
        <v>27.63</v>
      </c>
    </row>
    <row r="66" spans="2:31">
      <c r="B66" s="3459">
        <v>102</v>
      </c>
      <c r="C66" s="3459">
        <v>88.49</v>
      </c>
      <c r="D66" s="3458">
        <v>601</v>
      </c>
      <c r="E66" s="3458">
        <v>116.4</v>
      </c>
      <c r="F66" s="3459">
        <v>601</v>
      </c>
      <c r="G66" s="3459">
        <v>96.02</v>
      </c>
      <c r="H66" s="3459">
        <v>902</v>
      </c>
      <c r="I66" s="3459">
        <v>72.63</v>
      </c>
      <c r="J66" s="3459">
        <v>601</v>
      </c>
      <c r="K66" s="3459">
        <v>95.63</v>
      </c>
      <c r="L66" s="3458">
        <v>601</v>
      </c>
      <c r="M66" s="3458">
        <v>115.85</v>
      </c>
      <c r="P66" s="3458">
        <v>601</v>
      </c>
      <c r="Q66" s="3458">
        <v>115.85</v>
      </c>
      <c r="R66" s="3459">
        <v>601</v>
      </c>
      <c r="S66" s="3459">
        <v>95.63</v>
      </c>
      <c r="T66" s="3457">
        <v>-203</v>
      </c>
      <c r="U66" s="3457">
        <v>54.79</v>
      </c>
      <c r="X66" s="3459">
        <v>301</v>
      </c>
      <c r="Y66" s="3459">
        <v>72.28</v>
      </c>
      <c r="Z66" s="3459">
        <v>202</v>
      </c>
      <c r="AA66" s="3459">
        <v>72.28</v>
      </c>
      <c r="AD66" s="3457">
        <v>-2049</v>
      </c>
      <c r="AE66" s="3457">
        <v>27.63</v>
      </c>
    </row>
    <row r="67" spans="2:31">
      <c r="B67" s="3459">
        <v>201</v>
      </c>
      <c r="C67" s="3459">
        <v>72.33</v>
      </c>
      <c r="D67" s="3458">
        <v>602</v>
      </c>
      <c r="E67" s="3458">
        <v>96.47</v>
      </c>
      <c r="F67" s="3459">
        <v>602</v>
      </c>
      <c r="G67" s="3459">
        <v>96.51</v>
      </c>
      <c r="H67" s="3459">
        <v>903</v>
      </c>
      <c r="I67" s="3459">
        <v>72.819999999999993</v>
      </c>
      <c r="J67" s="3459">
        <v>602</v>
      </c>
      <c r="K67" s="3459">
        <v>96.11</v>
      </c>
      <c r="L67" s="3458">
        <v>602</v>
      </c>
      <c r="M67" s="3458">
        <v>96.08</v>
      </c>
      <c r="P67" s="3459">
        <v>602</v>
      </c>
      <c r="Q67" s="3459">
        <v>96.08</v>
      </c>
      <c r="R67" s="3459">
        <v>602</v>
      </c>
      <c r="S67" s="3459">
        <v>96.11</v>
      </c>
      <c r="T67" s="3457">
        <v>-204</v>
      </c>
      <c r="U67" s="3457">
        <v>68.3</v>
      </c>
      <c r="X67" s="3458">
        <v>302</v>
      </c>
      <c r="Y67" s="3458">
        <v>72.28</v>
      </c>
      <c r="Z67" s="3459">
        <v>301</v>
      </c>
      <c r="AA67" s="3459">
        <v>72.28</v>
      </c>
      <c r="AD67" s="3457">
        <v>-2050</v>
      </c>
      <c r="AE67" s="3457">
        <v>27.63</v>
      </c>
    </row>
    <row r="68" spans="2:31">
      <c r="B68" s="3458">
        <v>202</v>
      </c>
      <c r="C68" s="3458">
        <v>88.54</v>
      </c>
      <c r="D68" s="3458">
        <v>701</v>
      </c>
      <c r="E68" s="3458">
        <v>116.4</v>
      </c>
      <c r="F68" s="3459">
        <v>701</v>
      </c>
      <c r="G68" s="3459">
        <v>96.02</v>
      </c>
      <c r="H68" s="3459">
        <v>1001</v>
      </c>
      <c r="I68" s="3459">
        <v>72.3</v>
      </c>
      <c r="J68" s="3459">
        <v>701</v>
      </c>
      <c r="K68" s="3459">
        <v>95.63</v>
      </c>
      <c r="L68" s="3458">
        <v>701</v>
      </c>
      <c r="M68" s="3458">
        <v>115.85</v>
      </c>
      <c r="P68" s="3458">
        <v>701</v>
      </c>
      <c r="Q68" s="3458">
        <v>115.85</v>
      </c>
      <c r="R68" s="3459">
        <v>701</v>
      </c>
      <c r="S68" s="3459">
        <v>95.63</v>
      </c>
      <c r="X68" s="3458">
        <v>401</v>
      </c>
      <c r="Y68" s="3458">
        <v>72.28</v>
      </c>
      <c r="Z68" s="3458">
        <v>302</v>
      </c>
      <c r="AA68" s="3458">
        <v>72.28</v>
      </c>
      <c r="AD68" s="3457">
        <v>-2051</v>
      </c>
      <c r="AE68" s="3457">
        <v>27.63</v>
      </c>
    </row>
    <row r="69" spans="2:31">
      <c r="B69" s="3458">
        <v>301</v>
      </c>
      <c r="C69" s="3458">
        <v>72.33</v>
      </c>
      <c r="D69" s="3459">
        <v>702</v>
      </c>
      <c r="E69" s="3459">
        <v>96.47</v>
      </c>
      <c r="F69" s="3459">
        <v>702</v>
      </c>
      <c r="G69" s="3459">
        <v>96.51</v>
      </c>
      <c r="H69" s="3459">
        <v>1002</v>
      </c>
      <c r="I69" s="3459">
        <v>72.63</v>
      </c>
      <c r="J69" s="3459">
        <v>702</v>
      </c>
      <c r="K69" s="3459">
        <v>96.11</v>
      </c>
      <c r="L69" s="3459">
        <v>702</v>
      </c>
      <c r="M69" s="3459">
        <v>96.08</v>
      </c>
      <c r="P69" s="3459">
        <v>702</v>
      </c>
      <c r="Q69" s="3459">
        <v>96.08</v>
      </c>
      <c r="R69" s="3459">
        <v>702</v>
      </c>
      <c r="S69" s="3459">
        <v>96.11</v>
      </c>
      <c r="X69" s="3458">
        <v>402</v>
      </c>
      <c r="Y69" s="3458">
        <v>72.28</v>
      </c>
      <c r="Z69" s="3458">
        <v>401</v>
      </c>
      <c r="AA69" s="3458">
        <v>72.28</v>
      </c>
      <c r="AD69" s="3457">
        <v>-2052</v>
      </c>
      <c r="AE69" s="3457">
        <v>27.63</v>
      </c>
    </row>
    <row r="70" spans="2:31">
      <c r="B70" s="3458">
        <v>302</v>
      </c>
      <c r="C70" s="3458">
        <v>88.54</v>
      </c>
      <c r="D70" s="3459">
        <v>801</v>
      </c>
      <c r="E70" s="3459">
        <v>116.4</v>
      </c>
      <c r="F70" s="3459">
        <v>801</v>
      </c>
      <c r="G70" s="3459">
        <v>96.02</v>
      </c>
      <c r="H70" s="3459">
        <v>1003</v>
      </c>
      <c r="I70" s="3459">
        <v>72.819999999999993</v>
      </c>
      <c r="J70" s="3459">
        <v>801</v>
      </c>
      <c r="K70" s="3459">
        <v>95.63</v>
      </c>
      <c r="L70" s="3458">
        <v>801</v>
      </c>
      <c r="M70" s="3458">
        <v>115.85</v>
      </c>
      <c r="P70" s="3458">
        <v>801</v>
      </c>
      <c r="Q70" s="3458">
        <v>115.85</v>
      </c>
      <c r="R70" s="3459">
        <v>801</v>
      </c>
      <c r="S70" s="3459">
        <v>95.63</v>
      </c>
      <c r="X70" s="3459">
        <v>501</v>
      </c>
      <c r="Y70" s="3459">
        <v>72.28</v>
      </c>
      <c r="Z70" s="3459">
        <v>402</v>
      </c>
      <c r="AA70" s="3459">
        <v>72.28</v>
      </c>
      <c r="AD70" s="3457">
        <v>-2053</v>
      </c>
      <c r="AE70" s="3457">
        <v>27.63</v>
      </c>
    </row>
    <row r="71" spans="2:31">
      <c r="B71" s="3458">
        <v>401</v>
      </c>
      <c r="C71" s="3458">
        <v>72.33</v>
      </c>
      <c r="D71" s="3458">
        <v>802</v>
      </c>
      <c r="E71" s="3458">
        <v>96.47</v>
      </c>
      <c r="F71" s="3459">
        <v>802</v>
      </c>
      <c r="G71" s="3459">
        <v>96.51</v>
      </c>
      <c r="H71" s="3459">
        <v>1101</v>
      </c>
      <c r="I71" s="3459">
        <v>72.3</v>
      </c>
      <c r="J71" s="3459">
        <v>802</v>
      </c>
      <c r="K71" s="3459">
        <v>96.11</v>
      </c>
      <c r="L71" s="3459">
        <v>802</v>
      </c>
      <c r="M71" s="3459">
        <v>96.08</v>
      </c>
      <c r="P71" s="3458">
        <v>802</v>
      </c>
      <c r="Q71" s="3458">
        <v>96.08</v>
      </c>
      <c r="R71" s="3459">
        <v>802</v>
      </c>
      <c r="S71" s="3459">
        <v>96.11</v>
      </c>
      <c r="X71" s="3458">
        <v>502</v>
      </c>
      <c r="Y71" s="3458">
        <v>72.28</v>
      </c>
      <c r="Z71" s="3458">
        <v>501</v>
      </c>
      <c r="AA71" s="3458">
        <v>72.28</v>
      </c>
      <c r="AD71" s="3457">
        <v>-2054</v>
      </c>
      <c r="AE71" s="3457">
        <v>27.63</v>
      </c>
    </row>
    <row r="72" spans="2:31">
      <c r="B72" s="3458">
        <v>402</v>
      </c>
      <c r="C72" s="3458">
        <v>88.54</v>
      </c>
      <c r="D72" s="3458">
        <v>901</v>
      </c>
      <c r="E72" s="3458">
        <v>116.4</v>
      </c>
      <c r="F72" s="3459">
        <v>901</v>
      </c>
      <c r="G72" s="3459">
        <v>96.02</v>
      </c>
      <c r="H72" s="3459">
        <v>1102</v>
      </c>
      <c r="I72" s="3459">
        <v>72.63</v>
      </c>
      <c r="J72" s="3459">
        <v>901</v>
      </c>
      <c r="K72" s="3459">
        <v>95.63</v>
      </c>
      <c r="L72" s="3459">
        <v>901</v>
      </c>
      <c r="M72" s="3459">
        <v>115.85</v>
      </c>
      <c r="P72" s="3459">
        <v>901</v>
      </c>
      <c r="Q72" s="3459">
        <v>115.85</v>
      </c>
      <c r="R72" s="3459">
        <v>901</v>
      </c>
      <c r="S72" s="3459">
        <v>95.63</v>
      </c>
      <c r="X72" s="3458">
        <v>601</v>
      </c>
      <c r="Y72" s="3458">
        <v>72.28</v>
      </c>
      <c r="Z72" s="3458">
        <v>502</v>
      </c>
      <c r="AA72" s="3458">
        <v>72.28</v>
      </c>
      <c r="AD72" s="3457">
        <v>-2055</v>
      </c>
      <c r="AE72" s="3457">
        <v>27.63</v>
      </c>
    </row>
    <row r="73" spans="2:31">
      <c r="B73" s="3458">
        <v>501</v>
      </c>
      <c r="C73" s="3458">
        <v>72.33</v>
      </c>
      <c r="D73" s="3458">
        <v>902</v>
      </c>
      <c r="E73" s="3458">
        <v>96.47</v>
      </c>
      <c r="F73" s="3459">
        <v>902</v>
      </c>
      <c r="G73" s="3459">
        <v>96.51</v>
      </c>
      <c r="H73" s="3459">
        <v>1103</v>
      </c>
      <c r="I73" s="3459">
        <v>72.819999999999993</v>
      </c>
      <c r="J73" s="3459">
        <v>902</v>
      </c>
      <c r="K73" s="3459">
        <v>96.11</v>
      </c>
      <c r="L73" s="3458">
        <v>902</v>
      </c>
      <c r="M73" s="3458">
        <v>96.08</v>
      </c>
      <c r="P73" s="3458">
        <v>902</v>
      </c>
      <c r="Q73" s="3458">
        <v>96.08</v>
      </c>
      <c r="R73" s="3459">
        <v>902</v>
      </c>
      <c r="S73" s="3459">
        <v>96.11</v>
      </c>
      <c r="X73" s="3458">
        <v>602</v>
      </c>
      <c r="Y73" s="3458">
        <v>72.28</v>
      </c>
      <c r="Z73" s="3458">
        <v>601</v>
      </c>
      <c r="AA73" s="3458">
        <v>72.28</v>
      </c>
      <c r="AD73" s="3457">
        <v>-2056</v>
      </c>
      <c r="AE73" s="3457">
        <v>27.63</v>
      </c>
    </row>
    <row r="74" spans="2:31">
      <c r="B74" s="3458">
        <v>502</v>
      </c>
      <c r="C74" s="3458">
        <v>88.54</v>
      </c>
      <c r="D74" s="3455" t="s">
        <v>3504</v>
      </c>
      <c r="E74" s="3456"/>
      <c r="F74" s="3455" t="s">
        <v>3504</v>
      </c>
      <c r="G74" s="3456"/>
      <c r="H74" s="3455" t="s">
        <v>3501</v>
      </c>
      <c r="I74" s="3456"/>
      <c r="J74" s="3455" t="s">
        <v>3507</v>
      </c>
      <c r="K74" s="3456"/>
      <c r="L74" s="3455" t="s">
        <v>3507</v>
      </c>
      <c r="M74" s="3456"/>
      <c r="P74" s="3455" t="s">
        <v>3507</v>
      </c>
      <c r="Q74" s="3456"/>
      <c r="R74" s="3455" t="s">
        <v>3507</v>
      </c>
      <c r="S74" s="3456"/>
      <c r="X74" s="3458">
        <v>701</v>
      </c>
      <c r="Y74" s="3458">
        <v>72.28</v>
      </c>
      <c r="Z74" s="3458">
        <v>602</v>
      </c>
      <c r="AA74" s="3458">
        <v>72.28</v>
      </c>
      <c r="AD74" s="3457">
        <v>-2057</v>
      </c>
      <c r="AE74" s="3457">
        <v>27.63</v>
      </c>
    </row>
    <row r="75" spans="2:31">
      <c r="B75" s="3458">
        <v>601</v>
      </c>
      <c r="C75" s="3458">
        <v>72.33</v>
      </c>
      <c r="D75" s="3457">
        <v>-101</v>
      </c>
      <c r="E75" s="3457">
        <v>109.85</v>
      </c>
      <c r="F75" s="3457">
        <v>-101</v>
      </c>
      <c r="G75" s="3457">
        <v>90.12</v>
      </c>
      <c r="H75" s="3459">
        <v>101</v>
      </c>
      <c r="I75" s="3459">
        <v>72.349999999999994</v>
      </c>
      <c r="J75" s="3457">
        <v>-201</v>
      </c>
      <c r="K75" s="3457">
        <v>34.56</v>
      </c>
      <c r="L75" s="3457">
        <v>-201</v>
      </c>
      <c r="M75" s="3457">
        <v>13.22</v>
      </c>
      <c r="P75" s="3457">
        <v>-201</v>
      </c>
      <c r="Q75" s="3457">
        <v>11.3</v>
      </c>
      <c r="R75" s="3457">
        <v>-201</v>
      </c>
      <c r="S75" s="3457">
        <v>30.4</v>
      </c>
      <c r="X75" s="3459">
        <v>702</v>
      </c>
      <c r="Y75" s="3459">
        <v>72.28</v>
      </c>
      <c r="Z75" s="3458">
        <v>701</v>
      </c>
      <c r="AA75" s="3458">
        <v>72.28</v>
      </c>
      <c r="AD75" s="3457">
        <v>-2058</v>
      </c>
      <c r="AE75" s="3457">
        <v>27.63</v>
      </c>
    </row>
    <row r="76" spans="2:31">
      <c r="B76" s="3459">
        <v>602</v>
      </c>
      <c r="C76" s="3459">
        <v>88.54</v>
      </c>
      <c r="D76" s="3457">
        <v>-102</v>
      </c>
      <c r="E76" s="3457">
        <v>27.7</v>
      </c>
      <c r="F76" s="3457">
        <v>-102</v>
      </c>
      <c r="G76" s="3457">
        <v>43.17</v>
      </c>
      <c r="H76" s="3459">
        <v>102</v>
      </c>
      <c r="I76" s="3459">
        <v>72.930000000000007</v>
      </c>
      <c r="J76" s="3457">
        <v>-202</v>
      </c>
      <c r="K76" s="3457">
        <v>16.38</v>
      </c>
      <c r="L76" s="3457">
        <v>-202</v>
      </c>
      <c r="M76" s="3457">
        <v>19.73</v>
      </c>
      <c r="P76" s="3457">
        <v>-202</v>
      </c>
      <c r="Q76" s="3457">
        <v>9.68</v>
      </c>
      <c r="R76" s="3457">
        <v>-202</v>
      </c>
      <c r="S76" s="3457">
        <v>14.41</v>
      </c>
      <c r="X76" s="3458">
        <v>801</v>
      </c>
      <c r="Y76" s="3458">
        <v>72.28</v>
      </c>
      <c r="Z76" s="3458">
        <v>702</v>
      </c>
      <c r="AA76" s="3458">
        <v>72.28</v>
      </c>
      <c r="AD76" s="3457">
        <v>-2059</v>
      </c>
      <c r="AE76" s="3457">
        <v>27.63</v>
      </c>
    </row>
    <row r="77" spans="2:31">
      <c r="B77" s="3458">
        <v>701</v>
      </c>
      <c r="C77" s="3458">
        <v>72.33</v>
      </c>
      <c r="D77" s="3457">
        <v>-103</v>
      </c>
      <c r="E77" s="3457">
        <v>27.7</v>
      </c>
      <c r="F77" s="3457">
        <v>-103</v>
      </c>
      <c r="G77" s="3457">
        <v>43.17</v>
      </c>
      <c r="H77" s="3458">
        <v>201</v>
      </c>
      <c r="I77" s="3458">
        <v>72.38</v>
      </c>
      <c r="J77" s="3457">
        <v>-203</v>
      </c>
      <c r="K77" s="3457">
        <v>10.029999999999999</v>
      </c>
      <c r="L77" s="3457">
        <v>-203</v>
      </c>
      <c r="M77" s="3457">
        <v>19.73</v>
      </c>
      <c r="P77" s="3457">
        <v>-203</v>
      </c>
      <c r="Q77" s="3457">
        <v>7.29</v>
      </c>
      <c r="R77" s="3457">
        <v>-203</v>
      </c>
      <c r="S77" s="3457">
        <v>8.83</v>
      </c>
      <c r="X77" s="3458">
        <v>802</v>
      </c>
      <c r="Y77" s="3458">
        <v>72.28</v>
      </c>
      <c r="Z77" s="3458">
        <v>801</v>
      </c>
      <c r="AA77" s="3458">
        <v>72.28</v>
      </c>
      <c r="AD77" s="3457">
        <v>-2060</v>
      </c>
      <c r="AE77" s="3457">
        <v>27.63</v>
      </c>
    </row>
    <row r="78" spans="2:31">
      <c r="B78" s="3459">
        <v>702</v>
      </c>
      <c r="C78" s="3459">
        <v>88.54</v>
      </c>
      <c r="D78" s="3457">
        <v>-104</v>
      </c>
      <c r="E78" s="3457">
        <v>43.14</v>
      </c>
      <c r="F78" s="3457">
        <v>-104</v>
      </c>
      <c r="G78" s="3457">
        <v>27.72</v>
      </c>
      <c r="H78" s="3459">
        <v>202</v>
      </c>
      <c r="I78" s="3459">
        <v>72.97</v>
      </c>
      <c r="J78" s="3457">
        <v>-204</v>
      </c>
      <c r="K78" s="3457">
        <v>16.38</v>
      </c>
      <c r="L78" s="3457">
        <v>-204</v>
      </c>
      <c r="M78" s="3457">
        <v>13.32</v>
      </c>
      <c r="P78" s="3457">
        <v>-204</v>
      </c>
      <c r="Q78" s="3457">
        <v>11.48</v>
      </c>
      <c r="R78" s="3457">
        <v>-204</v>
      </c>
      <c r="S78" s="3457">
        <v>14.41</v>
      </c>
      <c r="X78" s="3458">
        <v>901</v>
      </c>
      <c r="Y78" s="3458">
        <v>72.28</v>
      </c>
      <c r="Z78" s="3459">
        <v>802</v>
      </c>
      <c r="AA78" s="3459">
        <v>72.28</v>
      </c>
      <c r="AD78" s="3457">
        <v>-2061</v>
      </c>
      <c r="AE78" s="3457">
        <v>27.63</v>
      </c>
    </row>
    <row r="79" spans="2:31">
      <c r="B79" s="3458">
        <v>801</v>
      </c>
      <c r="C79" s="3458">
        <v>72.33</v>
      </c>
      <c r="D79" s="3457">
        <v>-105</v>
      </c>
      <c r="E79" s="3457">
        <v>43.14</v>
      </c>
      <c r="F79" s="3457">
        <v>-105</v>
      </c>
      <c r="G79" s="3457">
        <v>27.72</v>
      </c>
      <c r="H79" s="3459">
        <v>301</v>
      </c>
      <c r="I79" s="3459">
        <v>72.38</v>
      </c>
      <c r="J79" s="3457">
        <v>-205</v>
      </c>
      <c r="K79" s="3457">
        <v>34.56</v>
      </c>
      <c r="L79" s="3457">
        <v>-205</v>
      </c>
      <c r="M79" s="3457">
        <v>13.32</v>
      </c>
      <c r="P79" s="3457">
        <v>-205</v>
      </c>
      <c r="Q79" s="3457">
        <v>11.48</v>
      </c>
      <c r="R79" s="3457">
        <v>-205</v>
      </c>
      <c r="S79" s="3457">
        <v>30.4</v>
      </c>
      <c r="X79" s="3458">
        <v>902</v>
      </c>
      <c r="Y79" s="3458">
        <v>72.28</v>
      </c>
      <c r="Z79" s="3459">
        <v>901</v>
      </c>
      <c r="AA79" s="3459">
        <v>72.28</v>
      </c>
      <c r="AD79" s="3457">
        <v>-2062</v>
      </c>
      <c r="AE79" s="3457">
        <v>27.63</v>
      </c>
    </row>
    <row r="80" spans="2:31">
      <c r="B80" s="3458">
        <v>802</v>
      </c>
      <c r="C80" s="3458">
        <v>88.54</v>
      </c>
      <c r="D80" s="3457">
        <v>-106</v>
      </c>
      <c r="E80" s="3457">
        <v>90.05</v>
      </c>
      <c r="F80" s="3457">
        <v>-106</v>
      </c>
      <c r="G80" s="3457">
        <v>109.93</v>
      </c>
      <c r="H80" s="3459">
        <v>302</v>
      </c>
      <c r="I80" s="3459">
        <v>72.97</v>
      </c>
      <c r="J80" s="3457">
        <v>-206</v>
      </c>
      <c r="K80" s="3457">
        <v>19.54</v>
      </c>
      <c r="L80" s="3457">
        <v>-206</v>
      </c>
      <c r="M80" s="3457">
        <v>9.7899999999999991</v>
      </c>
      <c r="P80" s="3457">
        <v>-206</v>
      </c>
      <c r="Q80" s="3457">
        <v>30.15</v>
      </c>
      <c r="R80" s="3457">
        <v>-206</v>
      </c>
      <c r="S80" s="3457">
        <v>11.58</v>
      </c>
      <c r="X80" s="3459">
        <v>1001</v>
      </c>
      <c r="Y80" s="3459">
        <v>72.28</v>
      </c>
      <c r="Z80" s="3459">
        <v>902</v>
      </c>
      <c r="AA80" s="3459">
        <v>72.28</v>
      </c>
      <c r="AD80" s="3457">
        <v>-2063</v>
      </c>
      <c r="AE80" s="3457">
        <v>27.63</v>
      </c>
    </row>
    <row r="81" spans="2:31">
      <c r="B81" s="3458">
        <v>901</v>
      </c>
      <c r="C81" s="3458">
        <v>72.33</v>
      </c>
      <c r="D81" s="3457">
        <v>-107</v>
      </c>
      <c r="E81" s="3457">
        <v>72.63</v>
      </c>
      <c r="F81" s="3457">
        <v>-107</v>
      </c>
      <c r="G81" s="3457">
        <v>48.95</v>
      </c>
      <c r="H81" s="3459">
        <v>401</v>
      </c>
      <c r="I81" s="3459">
        <v>72.38</v>
      </c>
      <c r="J81" s="3457">
        <v>-207</v>
      </c>
      <c r="K81" s="3457">
        <v>13.2</v>
      </c>
      <c r="L81" s="3457">
        <v>-207</v>
      </c>
      <c r="M81" s="3457">
        <v>35.06</v>
      </c>
      <c r="P81" s="3457">
        <v>-207</v>
      </c>
      <c r="Q81" s="3457">
        <v>14.29</v>
      </c>
      <c r="R81" s="3457">
        <v>-207</v>
      </c>
      <c r="S81" s="3457">
        <v>42.69</v>
      </c>
      <c r="X81" s="3458">
        <v>1002</v>
      </c>
      <c r="Y81" s="3458">
        <v>72.28</v>
      </c>
      <c r="Z81" s="3458">
        <v>1001</v>
      </c>
      <c r="AA81" s="3458">
        <v>72.28</v>
      </c>
      <c r="AD81" s="3457">
        <v>-2064</v>
      </c>
      <c r="AE81" s="3457">
        <v>27.63</v>
      </c>
    </row>
    <row r="82" spans="2:31">
      <c r="B82" s="3459">
        <v>902</v>
      </c>
      <c r="C82" s="3459">
        <v>88.54</v>
      </c>
      <c r="D82" s="3457">
        <v>-108</v>
      </c>
      <c r="E82" s="3457">
        <v>72.63</v>
      </c>
      <c r="F82" s="3457">
        <v>-108</v>
      </c>
      <c r="G82" s="3457">
        <v>49.19</v>
      </c>
      <c r="H82" s="3459">
        <v>402</v>
      </c>
      <c r="I82" s="3459">
        <v>72.97</v>
      </c>
      <c r="J82" s="3457">
        <v>-208</v>
      </c>
      <c r="K82" s="3457">
        <v>13.2</v>
      </c>
      <c r="L82" s="3457">
        <v>-208</v>
      </c>
      <c r="M82" s="3457">
        <v>16.579999999999998</v>
      </c>
      <c r="P82" s="3457">
        <v>-208</v>
      </c>
      <c r="Q82" s="3457">
        <v>8.76</v>
      </c>
      <c r="R82" s="3457">
        <v>-208</v>
      </c>
      <c r="S82" s="3457">
        <v>24.36</v>
      </c>
      <c r="X82" s="3459">
        <v>1101</v>
      </c>
      <c r="Y82" s="3459">
        <v>106.52</v>
      </c>
      <c r="Z82" s="3458">
        <v>1002</v>
      </c>
      <c r="AA82" s="3458">
        <v>72.28</v>
      </c>
      <c r="AD82" s="3457">
        <v>-2065</v>
      </c>
      <c r="AE82" s="3457">
        <v>27.63</v>
      </c>
    </row>
    <row r="83" spans="2:31">
      <c r="B83" s="3459">
        <v>1001</v>
      </c>
      <c r="C83" s="3459">
        <v>72.33</v>
      </c>
      <c r="D83" s="3457">
        <v>-109</v>
      </c>
      <c r="E83" s="3457">
        <v>49.16</v>
      </c>
      <c r="F83" s="3457">
        <v>-109</v>
      </c>
      <c r="G83" s="3457">
        <v>72.680000000000007</v>
      </c>
      <c r="H83" s="3459">
        <v>501</v>
      </c>
      <c r="I83" s="3459">
        <v>72.38</v>
      </c>
      <c r="J83" s="3457">
        <v>-209</v>
      </c>
      <c r="K83" s="3457">
        <v>19.54</v>
      </c>
      <c r="L83" s="3457">
        <v>-209</v>
      </c>
      <c r="M83" s="3457">
        <v>10.18</v>
      </c>
      <c r="P83" s="3457">
        <v>-209</v>
      </c>
      <c r="Q83" s="3457">
        <v>14.29</v>
      </c>
      <c r="R83" s="3457">
        <v>-209</v>
      </c>
      <c r="S83" s="3457">
        <v>20.56</v>
      </c>
      <c r="X83" s="3455" t="s">
        <v>3513</v>
      </c>
      <c r="Y83" s="3456"/>
      <c r="Z83" s="3459">
        <v>1101</v>
      </c>
      <c r="AA83" s="3459">
        <v>103.81</v>
      </c>
      <c r="AD83" s="3457">
        <v>-2066</v>
      </c>
      <c r="AE83" s="3457">
        <v>27.63</v>
      </c>
    </row>
    <row r="84" spans="2:31">
      <c r="B84" s="3458">
        <v>1002</v>
      </c>
      <c r="C84" s="3458">
        <v>88.54</v>
      </c>
      <c r="D84" s="3457">
        <v>-110</v>
      </c>
      <c r="E84" s="3457">
        <v>48.91</v>
      </c>
      <c r="F84" s="3457">
        <v>-110</v>
      </c>
      <c r="G84" s="3457">
        <v>72.680000000000007</v>
      </c>
      <c r="H84" s="3459">
        <v>502</v>
      </c>
      <c r="I84" s="3459">
        <v>72.97</v>
      </c>
      <c r="J84" s="3455" t="s">
        <v>3504</v>
      </c>
      <c r="K84" s="3456"/>
      <c r="L84" s="3457">
        <v>-210</v>
      </c>
      <c r="M84" s="3457">
        <v>16.579999999999998</v>
      </c>
      <c r="P84" s="3457">
        <v>-210</v>
      </c>
      <c r="Q84" s="3457">
        <v>30.15</v>
      </c>
      <c r="R84" s="3457">
        <v>-210</v>
      </c>
      <c r="S84" s="3457">
        <v>24.94</v>
      </c>
      <c r="X84" s="3459">
        <v>101</v>
      </c>
      <c r="Y84" s="3459">
        <v>72.23</v>
      </c>
      <c r="Z84" s="3455" t="s">
        <v>3513</v>
      </c>
      <c r="AA84" s="3456"/>
      <c r="AD84" s="3457">
        <v>-2067</v>
      </c>
      <c r="AE84" s="3457">
        <v>27.63</v>
      </c>
    </row>
    <row r="85" spans="2:31">
      <c r="B85" s="3459">
        <v>1101</v>
      </c>
      <c r="C85" s="3459">
        <v>72.33</v>
      </c>
      <c r="H85" s="3455" t="s">
        <v>3504</v>
      </c>
      <c r="I85" s="3456"/>
      <c r="J85" s="3457">
        <v>-101</v>
      </c>
      <c r="K85" s="3457">
        <v>50.85</v>
      </c>
      <c r="L85" s="3457">
        <v>-211</v>
      </c>
      <c r="M85" s="3457">
        <v>35.06</v>
      </c>
      <c r="P85" s="3457">
        <v>-211</v>
      </c>
      <c r="Q85" s="3457">
        <v>25.5</v>
      </c>
      <c r="R85" s="3457">
        <v>-211</v>
      </c>
      <c r="S85" s="3457">
        <v>25.71</v>
      </c>
      <c r="X85" s="3459">
        <v>102</v>
      </c>
      <c r="Y85" s="3459">
        <v>88.5</v>
      </c>
      <c r="Z85" s="3459">
        <v>101</v>
      </c>
      <c r="AA85" s="3459">
        <v>72.28</v>
      </c>
      <c r="AD85" s="3457">
        <v>-2068</v>
      </c>
      <c r="AE85" s="3457">
        <v>27.63</v>
      </c>
    </row>
    <row r="86" spans="2:31">
      <c r="B86" s="3458">
        <v>1102</v>
      </c>
      <c r="C86" s="3458">
        <v>88.54</v>
      </c>
      <c r="H86" s="3457">
        <v>-101</v>
      </c>
      <c r="I86" s="3457">
        <v>37.93</v>
      </c>
      <c r="J86" s="3457">
        <v>-102</v>
      </c>
      <c r="K86" s="3457">
        <v>50.85</v>
      </c>
      <c r="L86" s="3455" t="s">
        <v>3504</v>
      </c>
      <c r="M86" s="3456"/>
      <c r="P86" s="3457">
        <v>-212</v>
      </c>
      <c r="Q86" s="3457">
        <v>24.15</v>
      </c>
      <c r="R86" s="3457">
        <v>-212</v>
      </c>
      <c r="S86" s="3457">
        <v>24.36</v>
      </c>
      <c r="X86" s="3459">
        <v>201</v>
      </c>
      <c r="Y86" s="3459">
        <v>72.28</v>
      </c>
      <c r="Z86" s="3459">
        <v>102</v>
      </c>
      <c r="AA86" s="3459">
        <v>98.48</v>
      </c>
      <c r="AD86" s="3457">
        <v>-2069</v>
      </c>
      <c r="AE86" s="3457">
        <v>27.63</v>
      </c>
    </row>
    <row r="87" spans="2:31">
      <c r="H87" s="3457">
        <v>-102</v>
      </c>
      <c r="I87" s="3457">
        <v>33.049999999999997</v>
      </c>
      <c r="J87" s="3457">
        <v>-103</v>
      </c>
      <c r="K87" s="3457">
        <v>13.16</v>
      </c>
      <c r="L87" s="3457">
        <v>-101</v>
      </c>
      <c r="M87" s="3457">
        <v>13.32</v>
      </c>
      <c r="P87" s="3457">
        <v>-213</v>
      </c>
      <c r="Q87" s="3457">
        <v>26.42</v>
      </c>
      <c r="R87" s="3457">
        <v>-213</v>
      </c>
      <c r="S87" s="3457">
        <v>26.65</v>
      </c>
      <c r="X87" s="3458">
        <v>202</v>
      </c>
      <c r="Y87" s="3458">
        <v>88.54</v>
      </c>
      <c r="Z87" s="3459">
        <v>201</v>
      </c>
      <c r="AA87" s="3459">
        <v>72.28</v>
      </c>
      <c r="AD87" s="3457">
        <v>-2070</v>
      </c>
      <c r="AE87" s="3457">
        <v>27.63</v>
      </c>
    </row>
    <row r="88" spans="2:31">
      <c r="H88" s="3457">
        <v>-103</v>
      </c>
      <c r="I88" s="3457">
        <v>33.049999999999997</v>
      </c>
      <c r="J88" s="3457">
        <v>-104</v>
      </c>
      <c r="K88" s="3457">
        <v>13.16</v>
      </c>
      <c r="L88" s="3457">
        <v>-102</v>
      </c>
      <c r="M88" s="3457">
        <v>13.32</v>
      </c>
      <c r="P88" s="3457">
        <v>-214</v>
      </c>
      <c r="Q88" s="3457">
        <v>26.42</v>
      </c>
      <c r="R88" s="3457">
        <v>-214</v>
      </c>
      <c r="S88" s="3457">
        <v>26.65</v>
      </c>
      <c r="X88" s="3458">
        <v>301</v>
      </c>
      <c r="Y88" s="3458">
        <v>72.28</v>
      </c>
      <c r="Z88" s="3458">
        <v>202</v>
      </c>
      <c r="AA88" s="3458">
        <v>98.48</v>
      </c>
      <c r="AD88" s="3457">
        <v>-2071</v>
      </c>
      <c r="AE88" s="3457">
        <v>27.63</v>
      </c>
    </row>
    <row r="89" spans="2:31">
      <c r="H89" s="3457">
        <v>-104</v>
      </c>
      <c r="I89" s="3457">
        <v>38.6</v>
      </c>
      <c r="J89" s="3457">
        <v>-105</v>
      </c>
      <c r="K89" s="3457">
        <v>130.13999999999999</v>
      </c>
      <c r="L89" s="3457">
        <v>-103</v>
      </c>
      <c r="M89" s="3457">
        <v>51.4</v>
      </c>
      <c r="P89" s="3457">
        <v>-215</v>
      </c>
      <c r="Q89" s="3457">
        <v>24.15</v>
      </c>
      <c r="R89" s="3457">
        <v>-215</v>
      </c>
      <c r="S89" s="3457">
        <v>24.36</v>
      </c>
      <c r="X89" s="3458">
        <v>302</v>
      </c>
      <c r="Y89" s="3458">
        <v>88.54</v>
      </c>
      <c r="Z89" s="3458">
        <v>301</v>
      </c>
      <c r="AA89" s="3458">
        <v>72.28</v>
      </c>
      <c r="AD89" s="3457">
        <v>-2072</v>
      </c>
      <c r="AE89" s="3457">
        <v>27.63</v>
      </c>
    </row>
    <row r="90" spans="2:31">
      <c r="H90" s="3457">
        <v>-105</v>
      </c>
      <c r="I90" s="3457">
        <v>19.62</v>
      </c>
      <c r="J90" s="3457">
        <v>-106</v>
      </c>
      <c r="K90" s="3457">
        <v>79.650000000000006</v>
      </c>
      <c r="L90" s="3457">
        <v>-104</v>
      </c>
      <c r="M90" s="3457">
        <v>51.4</v>
      </c>
      <c r="P90" s="3457">
        <v>-216</v>
      </c>
      <c r="Q90" s="3457">
        <v>25.5</v>
      </c>
      <c r="R90" s="3457">
        <v>-216</v>
      </c>
      <c r="S90" s="3457">
        <v>25.71</v>
      </c>
      <c r="X90" s="3458">
        <v>401</v>
      </c>
      <c r="Y90" s="3458">
        <v>72.28</v>
      </c>
      <c r="Z90" s="3458">
        <v>302</v>
      </c>
      <c r="AA90" s="3458">
        <v>98.48</v>
      </c>
      <c r="AD90" s="3457">
        <v>-2073</v>
      </c>
      <c r="AE90" s="3457">
        <v>27.63</v>
      </c>
    </row>
    <row r="91" spans="2:31">
      <c r="H91" s="3457">
        <v>-106</v>
      </c>
      <c r="I91" s="3457">
        <v>33.630000000000003</v>
      </c>
      <c r="J91" s="3457">
        <v>-107</v>
      </c>
      <c r="K91" s="3457">
        <v>79.650000000000006</v>
      </c>
      <c r="L91" s="3457">
        <v>-105</v>
      </c>
      <c r="M91" s="3457">
        <v>106.78</v>
      </c>
      <c r="P91" s="3457">
        <v>-217</v>
      </c>
      <c r="Q91" s="3457">
        <v>20.97</v>
      </c>
      <c r="R91" s="3457">
        <v>-217</v>
      </c>
      <c r="S91" s="3457">
        <v>16.579999999999998</v>
      </c>
      <c r="X91" s="3459">
        <v>402</v>
      </c>
      <c r="Y91" s="3459">
        <v>88.54</v>
      </c>
      <c r="Z91" s="3459">
        <v>401</v>
      </c>
      <c r="AA91" s="3459">
        <v>72.28</v>
      </c>
      <c r="AD91" s="3457">
        <v>-2074</v>
      </c>
      <c r="AE91" s="3457">
        <v>27.63</v>
      </c>
    </row>
    <row r="92" spans="2:31">
      <c r="H92" s="3457">
        <v>-107</v>
      </c>
      <c r="I92" s="3457">
        <v>22.53</v>
      </c>
      <c r="J92" s="3457">
        <v>-108</v>
      </c>
      <c r="K92" s="3457">
        <v>87.45</v>
      </c>
      <c r="L92" s="3457">
        <v>-106</v>
      </c>
      <c r="M92" s="3457">
        <v>88.27</v>
      </c>
      <c r="P92" s="3457">
        <v>-218</v>
      </c>
      <c r="Q92" s="3457">
        <v>24.15</v>
      </c>
      <c r="R92" s="3457">
        <v>-218</v>
      </c>
      <c r="S92" s="3457">
        <v>17.510000000000002</v>
      </c>
      <c r="X92" s="3459">
        <v>501</v>
      </c>
      <c r="Y92" s="3459">
        <v>72.28</v>
      </c>
      <c r="Z92" s="3459">
        <v>402</v>
      </c>
      <c r="AA92" s="3459">
        <v>98.48</v>
      </c>
      <c r="AD92" s="3457">
        <v>-2075</v>
      </c>
      <c r="AE92" s="3457">
        <v>27.63</v>
      </c>
    </row>
    <row r="93" spans="2:31">
      <c r="H93" s="3457">
        <v>-108</v>
      </c>
      <c r="I93" s="3457">
        <v>22.53</v>
      </c>
      <c r="J93" s="3457">
        <v>-109</v>
      </c>
      <c r="K93" s="3457">
        <v>87.45</v>
      </c>
      <c r="L93" s="3457">
        <v>-107</v>
      </c>
      <c r="M93" s="3457">
        <v>88.27</v>
      </c>
      <c r="P93" s="3457">
        <v>-219</v>
      </c>
      <c r="Q93" s="3457">
        <v>24.15</v>
      </c>
      <c r="R93" s="3457">
        <v>-219</v>
      </c>
      <c r="S93" s="3457">
        <v>42.35</v>
      </c>
      <c r="X93" s="3458">
        <v>502</v>
      </c>
      <c r="Y93" s="3458">
        <v>88.54</v>
      </c>
      <c r="Z93" s="3458">
        <v>501</v>
      </c>
      <c r="AA93" s="3458">
        <v>72.28</v>
      </c>
      <c r="AD93" s="3457">
        <v>-2076</v>
      </c>
      <c r="AE93" s="3457">
        <v>27.63</v>
      </c>
    </row>
    <row r="94" spans="2:31">
      <c r="J94" s="3457">
        <v>-110</v>
      </c>
      <c r="K94" s="3457">
        <v>105.79</v>
      </c>
      <c r="L94" s="3457">
        <v>-108</v>
      </c>
      <c r="M94" s="3457">
        <v>80.39</v>
      </c>
      <c r="P94" s="3457">
        <v>-220</v>
      </c>
      <c r="Q94" s="3457">
        <v>24.15</v>
      </c>
      <c r="R94" s="3455" t="s">
        <v>3504</v>
      </c>
      <c r="S94" s="3456"/>
      <c r="X94" s="3458">
        <v>601</v>
      </c>
      <c r="Y94" s="3458">
        <v>72.28</v>
      </c>
      <c r="Z94" s="3458">
        <v>502</v>
      </c>
      <c r="AA94" s="3458">
        <v>98.48</v>
      </c>
      <c r="AD94" s="3457">
        <v>-2077</v>
      </c>
      <c r="AE94" s="3457">
        <v>27.63</v>
      </c>
    </row>
    <row r="95" spans="2:31">
      <c r="L95" s="3457">
        <v>-109</v>
      </c>
      <c r="M95" s="3457">
        <v>80.39</v>
      </c>
      <c r="P95" s="3457">
        <v>-221</v>
      </c>
      <c r="Q95" s="3457">
        <v>24.15</v>
      </c>
      <c r="R95" s="3457">
        <v>-101</v>
      </c>
      <c r="S95" s="3457">
        <v>45.13</v>
      </c>
      <c r="X95" s="3458">
        <v>602</v>
      </c>
      <c r="Y95" s="3458">
        <v>88.54</v>
      </c>
      <c r="Z95" s="3458">
        <v>601</v>
      </c>
      <c r="AA95" s="3458">
        <v>72.28</v>
      </c>
      <c r="AD95" s="3457">
        <v>-2078</v>
      </c>
      <c r="AE95" s="3457">
        <v>27.63</v>
      </c>
    </row>
    <row r="96" spans="2:31">
      <c r="L96" s="3457">
        <v>-110</v>
      </c>
      <c r="M96" s="3457">
        <v>131.44999999999999</v>
      </c>
      <c r="P96" s="3457">
        <v>-222</v>
      </c>
      <c r="Q96" s="3457">
        <v>20.97</v>
      </c>
      <c r="R96" s="3457">
        <v>-102</v>
      </c>
      <c r="S96" s="3457">
        <v>45.13</v>
      </c>
      <c r="X96" s="3458">
        <v>701</v>
      </c>
      <c r="Y96" s="3458">
        <v>72.28</v>
      </c>
      <c r="Z96" s="3458">
        <v>602</v>
      </c>
      <c r="AA96" s="3458">
        <v>98.48</v>
      </c>
      <c r="AD96" s="3457">
        <v>-2079</v>
      </c>
      <c r="AE96" s="3457">
        <v>27.63</v>
      </c>
    </row>
    <row r="97" spans="16:31">
      <c r="P97" s="3457">
        <v>-223</v>
      </c>
      <c r="Q97" s="3457">
        <v>20.97</v>
      </c>
      <c r="R97" s="3457">
        <v>-103</v>
      </c>
      <c r="S97" s="3457">
        <v>11.7</v>
      </c>
      <c r="X97" s="3458">
        <v>702</v>
      </c>
      <c r="Y97" s="3458">
        <v>88.54</v>
      </c>
      <c r="Z97" s="3458">
        <v>701</v>
      </c>
      <c r="AA97" s="3458">
        <v>72.28</v>
      </c>
      <c r="AD97" s="3457">
        <v>-2080</v>
      </c>
      <c r="AE97" s="3457">
        <v>27.63</v>
      </c>
    </row>
    <row r="98" spans="16:31">
      <c r="P98" s="3457">
        <v>-224</v>
      </c>
      <c r="Q98" s="3457">
        <v>24.15</v>
      </c>
      <c r="R98" s="3457">
        <v>-104</v>
      </c>
      <c r="S98" s="3457">
        <v>11.7</v>
      </c>
      <c r="X98" s="3458">
        <v>801</v>
      </c>
      <c r="Y98" s="3458">
        <v>72.28</v>
      </c>
      <c r="Z98" s="3458">
        <v>702</v>
      </c>
      <c r="AA98" s="3458">
        <v>98.48</v>
      </c>
      <c r="AD98" s="3457">
        <v>-2081</v>
      </c>
      <c r="AE98" s="3457">
        <v>27.63</v>
      </c>
    </row>
    <row r="99" spans="16:31">
      <c r="P99" s="3457">
        <v>-225</v>
      </c>
      <c r="Q99" s="3457">
        <v>23.78</v>
      </c>
      <c r="R99" s="3457">
        <v>-105</v>
      </c>
      <c r="S99" s="3457">
        <v>115.29</v>
      </c>
      <c r="X99" s="3458">
        <v>802</v>
      </c>
      <c r="Y99" s="3458">
        <v>88.54</v>
      </c>
      <c r="Z99" s="3458">
        <v>801</v>
      </c>
      <c r="AA99" s="3458">
        <v>72.28</v>
      </c>
      <c r="AD99" s="3457">
        <v>-2082</v>
      </c>
      <c r="AE99" s="3457">
        <v>27.63</v>
      </c>
    </row>
    <row r="100" spans="16:31">
      <c r="P100" s="3455" t="s">
        <v>3504</v>
      </c>
      <c r="Q100" s="3456"/>
      <c r="R100" s="3457">
        <v>-106</v>
      </c>
      <c r="S100" s="3457">
        <v>70.58</v>
      </c>
      <c r="X100" s="3458">
        <v>901</v>
      </c>
      <c r="Y100" s="3458">
        <v>72.28</v>
      </c>
      <c r="Z100" s="3459">
        <v>802</v>
      </c>
      <c r="AA100" s="3459">
        <v>98.48</v>
      </c>
      <c r="AD100" s="3457">
        <v>-2083</v>
      </c>
      <c r="AE100" s="3457">
        <v>27.63</v>
      </c>
    </row>
    <row r="101" spans="16:31">
      <c r="P101" s="3457">
        <v>-101</v>
      </c>
      <c r="Q101" s="3457">
        <v>11.6</v>
      </c>
      <c r="R101" s="3457">
        <v>-107</v>
      </c>
      <c r="S101" s="3457">
        <v>70.58</v>
      </c>
      <c r="X101" s="3458">
        <v>902</v>
      </c>
      <c r="Y101" s="3458">
        <v>88.54</v>
      </c>
      <c r="Z101" s="3458">
        <v>901</v>
      </c>
      <c r="AA101" s="3458">
        <v>72.28</v>
      </c>
      <c r="AD101" s="3457">
        <v>-2084</v>
      </c>
      <c r="AE101" s="3457">
        <v>27.63</v>
      </c>
    </row>
    <row r="102" spans="16:31">
      <c r="P102" s="3457">
        <v>-102</v>
      </c>
      <c r="Q102" s="3457">
        <v>11.6</v>
      </c>
      <c r="R102" s="3457">
        <v>-108</v>
      </c>
      <c r="S102" s="3457">
        <v>77.5</v>
      </c>
      <c r="X102" s="3459">
        <v>1001</v>
      </c>
      <c r="Y102" s="3459">
        <v>72.28</v>
      </c>
      <c r="Z102" s="3459">
        <v>902</v>
      </c>
      <c r="AA102" s="3459">
        <v>98.48</v>
      </c>
      <c r="AD102" s="3457">
        <v>-2085</v>
      </c>
      <c r="AE102" s="3457">
        <v>27.63</v>
      </c>
    </row>
    <row r="103" spans="16:31">
      <c r="P103" s="3457">
        <v>-103</v>
      </c>
      <c r="Q103" s="3457">
        <v>44.75</v>
      </c>
      <c r="R103" s="3457">
        <v>-109</v>
      </c>
      <c r="S103" s="3457">
        <v>77.5</v>
      </c>
      <c r="X103" s="3459">
        <v>1002</v>
      </c>
      <c r="Y103" s="3459">
        <v>88.54</v>
      </c>
      <c r="Z103" s="3458">
        <v>1001</v>
      </c>
      <c r="AA103" s="3458">
        <v>72.28</v>
      </c>
      <c r="AD103" s="3457">
        <v>-2086</v>
      </c>
      <c r="AE103" s="3457">
        <v>27.63</v>
      </c>
    </row>
    <row r="104" spans="16:31">
      <c r="P104" s="3457">
        <v>-104</v>
      </c>
      <c r="Q104" s="3457">
        <v>44.75</v>
      </c>
      <c r="R104" s="3457">
        <v>-110</v>
      </c>
      <c r="S104" s="3457">
        <v>94.07</v>
      </c>
      <c r="X104" s="3459">
        <v>1101</v>
      </c>
      <c r="Y104" s="3459">
        <v>106.52</v>
      </c>
      <c r="Z104" s="3459">
        <v>1002</v>
      </c>
      <c r="AA104" s="3459">
        <v>98.48</v>
      </c>
      <c r="AD104" s="3457">
        <v>-2087</v>
      </c>
      <c r="AE104" s="3457">
        <v>27.63</v>
      </c>
    </row>
    <row r="105" spans="16:31">
      <c r="P105" s="3457">
        <v>-105</v>
      </c>
      <c r="Q105" s="3457">
        <v>93.36</v>
      </c>
      <c r="X105" s="3459">
        <v>1102</v>
      </c>
      <c r="Y105" s="3459">
        <v>60.51</v>
      </c>
      <c r="Z105" s="3459">
        <v>1101</v>
      </c>
      <c r="AA105" s="3459">
        <v>74.260000000000005</v>
      </c>
      <c r="AD105" s="3457">
        <v>-2088</v>
      </c>
      <c r="AE105" s="3457">
        <v>27.63</v>
      </c>
    </row>
    <row r="106" spans="16:31">
      <c r="P106" s="3457">
        <v>-106</v>
      </c>
      <c r="Q106" s="3457">
        <v>75.45</v>
      </c>
      <c r="X106" s="3455" t="s">
        <v>3504</v>
      </c>
      <c r="Y106" s="3456"/>
      <c r="Z106" s="3455" t="s">
        <v>3504</v>
      </c>
      <c r="AA106" s="3456"/>
      <c r="AD106" s="3457">
        <v>-2089</v>
      </c>
      <c r="AE106" s="3457">
        <v>27.63</v>
      </c>
    </row>
    <row r="107" spans="16:31">
      <c r="P107" s="3457">
        <v>-107</v>
      </c>
      <c r="Q107" s="3457">
        <v>75.45</v>
      </c>
      <c r="X107" s="3457">
        <v>-101</v>
      </c>
      <c r="Y107" s="3457">
        <v>37.270000000000003</v>
      </c>
      <c r="Z107" s="3457">
        <v>-101</v>
      </c>
      <c r="AA107" s="3457">
        <v>32.79</v>
      </c>
      <c r="AD107" s="3457">
        <v>-2090</v>
      </c>
      <c r="AE107" s="3457">
        <v>27.63</v>
      </c>
    </row>
    <row r="108" spans="16:31">
      <c r="P108" s="3457">
        <v>-108</v>
      </c>
      <c r="Q108" s="3457">
        <v>69.989999999999995</v>
      </c>
      <c r="X108" s="3457">
        <v>-102</v>
      </c>
      <c r="Y108" s="3457">
        <v>26.78</v>
      </c>
      <c r="Z108" s="3457">
        <v>-102</v>
      </c>
      <c r="AA108" s="3457">
        <v>23.56</v>
      </c>
      <c r="AD108" s="3457">
        <v>-2091</v>
      </c>
      <c r="AE108" s="3457">
        <v>27.63</v>
      </c>
    </row>
    <row r="109" spans="16:31">
      <c r="P109" s="3457">
        <v>-109</v>
      </c>
      <c r="Q109" s="3457">
        <v>69.989999999999995</v>
      </c>
      <c r="X109" s="3457">
        <v>-103</v>
      </c>
      <c r="Y109" s="3457">
        <v>37.270000000000003</v>
      </c>
      <c r="Z109" s="3457">
        <v>-103</v>
      </c>
      <c r="AA109" s="3457">
        <v>23.56</v>
      </c>
      <c r="AD109" s="3457">
        <v>-2092</v>
      </c>
      <c r="AE109" s="3457">
        <v>27.63</v>
      </c>
    </row>
    <row r="110" spans="16:31">
      <c r="P110" s="3457">
        <v>-110</v>
      </c>
      <c r="Q110" s="3457">
        <v>114.44</v>
      </c>
      <c r="X110" s="3457">
        <v>-104</v>
      </c>
      <c r="Y110" s="3457">
        <v>37.270000000000003</v>
      </c>
      <c r="Z110" s="3457">
        <v>-104</v>
      </c>
      <c r="AA110" s="3457">
        <v>23.56</v>
      </c>
      <c r="AD110" s="3457">
        <v>-2093</v>
      </c>
      <c r="AE110" s="3457">
        <v>27.63</v>
      </c>
    </row>
    <row r="111" spans="16:31">
      <c r="X111" s="3457">
        <v>-105</v>
      </c>
      <c r="Y111" s="3457">
        <v>26.78</v>
      </c>
      <c r="Z111" s="3457">
        <v>-105</v>
      </c>
      <c r="AA111" s="3457">
        <v>32.79</v>
      </c>
      <c r="AD111" s="3457">
        <v>-2094</v>
      </c>
      <c r="AE111" s="3457">
        <v>27.63</v>
      </c>
    </row>
    <row r="112" spans="16:31">
      <c r="X112" s="3457">
        <v>-106</v>
      </c>
      <c r="Y112" s="3457">
        <v>26.78</v>
      </c>
      <c r="Z112" s="3457">
        <v>-106</v>
      </c>
      <c r="AA112" s="3457">
        <v>32.79</v>
      </c>
      <c r="AD112" s="3457">
        <v>-2095</v>
      </c>
      <c r="AE112" s="3457">
        <v>27.63</v>
      </c>
    </row>
    <row r="113" spans="24:31">
      <c r="X113" s="3457">
        <v>-107</v>
      </c>
      <c r="Y113" s="3457">
        <v>26.78</v>
      </c>
      <c r="Z113" s="3457">
        <v>-107</v>
      </c>
      <c r="AA113" s="3457">
        <v>23.56</v>
      </c>
      <c r="AD113" s="3457">
        <v>-2096</v>
      </c>
      <c r="AE113" s="3457">
        <v>27.63</v>
      </c>
    </row>
    <row r="114" spans="24:31">
      <c r="X114" s="3457">
        <v>-108</v>
      </c>
      <c r="Y114" s="3457">
        <v>37.270000000000003</v>
      </c>
      <c r="Z114" s="3457">
        <v>-108</v>
      </c>
      <c r="AA114" s="3457">
        <v>32.79</v>
      </c>
      <c r="AD114" s="3457">
        <v>-2097</v>
      </c>
      <c r="AE114" s="3457">
        <v>27.63</v>
      </c>
    </row>
    <row r="115" spans="24:31">
      <c r="Z115" s="3457">
        <v>-109</v>
      </c>
      <c r="AA115" s="3457">
        <v>57.51</v>
      </c>
      <c r="AD115" s="3457">
        <v>-2098</v>
      </c>
      <c r="AE115" s="3457">
        <v>27.63</v>
      </c>
    </row>
    <row r="116" spans="24:31">
      <c r="AD116" s="3457">
        <v>-2099</v>
      </c>
      <c r="AE116" s="3457">
        <v>27.63</v>
      </c>
    </row>
    <row r="117" spans="24:31">
      <c r="AD117" s="3457">
        <v>-2100</v>
      </c>
      <c r="AE117" s="3457">
        <v>27.63</v>
      </c>
    </row>
    <row r="118" spans="24:31">
      <c r="AD118" s="3457">
        <v>-2101</v>
      </c>
      <c r="AE118" s="3457">
        <v>27.63</v>
      </c>
    </row>
    <row r="119" spans="24:31">
      <c r="AD119" s="3457">
        <v>-2102</v>
      </c>
      <c r="AE119" s="3457">
        <v>27.63</v>
      </c>
    </row>
    <row r="120" spans="24:31">
      <c r="AD120" s="3457">
        <v>-2103</v>
      </c>
      <c r="AE120" s="3457">
        <v>27.63</v>
      </c>
    </row>
    <row r="121" spans="24:31">
      <c r="AD121" s="3457">
        <v>-2104</v>
      </c>
      <c r="AE121" s="3457">
        <v>27.63</v>
      </c>
    </row>
    <row r="122" spans="24:31">
      <c r="AD122" s="3457">
        <v>-2105</v>
      </c>
      <c r="AE122" s="3457">
        <v>27.63</v>
      </c>
    </row>
    <row r="123" spans="24:31">
      <c r="AD123" s="3457">
        <v>-2106</v>
      </c>
      <c r="AE123" s="3457">
        <v>27.63</v>
      </c>
    </row>
    <row r="124" spans="24:31">
      <c r="AD124" s="3457">
        <v>-2107</v>
      </c>
      <c r="AE124" s="3457">
        <v>27.63</v>
      </c>
    </row>
    <row r="125" spans="24:31">
      <c r="AD125" s="3457">
        <v>-2108</v>
      </c>
      <c r="AE125" s="3457">
        <v>27.63</v>
      </c>
    </row>
    <row r="126" spans="24:31">
      <c r="AD126" s="3457">
        <v>-2109</v>
      </c>
      <c r="AE126" s="3457">
        <v>27.63</v>
      </c>
    </row>
    <row r="127" spans="24:31">
      <c r="AD127" s="3457">
        <v>-2110</v>
      </c>
      <c r="AE127" s="3457">
        <v>27.63</v>
      </c>
    </row>
    <row r="128" spans="24:31">
      <c r="AD128" s="3457">
        <v>-2111</v>
      </c>
      <c r="AE128" s="3457">
        <v>27.63</v>
      </c>
    </row>
    <row r="129" spans="30:31">
      <c r="AD129" s="3457">
        <v>-2112</v>
      </c>
      <c r="AE129" s="3457">
        <v>27.63</v>
      </c>
    </row>
    <row r="130" spans="30:31">
      <c r="AD130" s="3457">
        <v>-2113</v>
      </c>
      <c r="AE130" s="3457">
        <v>27.63</v>
      </c>
    </row>
    <row r="131" spans="30:31">
      <c r="AD131" s="3457">
        <v>-2114</v>
      </c>
      <c r="AE131" s="3457">
        <v>27.63</v>
      </c>
    </row>
    <row r="132" spans="30:31">
      <c r="AD132" s="3457">
        <v>-2115</v>
      </c>
      <c r="AE132" s="3457">
        <v>27.63</v>
      </c>
    </row>
    <row r="133" spans="30:31">
      <c r="AD133" s="3457">
        <v>-2116</v>
      </c>
      <c r="AE133" s="3457">
        <v>27.63</v>
      </c>
    </row>
    <row r="134" spans="30:31">
      <c r="AD134" s="3457">
        <v>-2117</v>
      </c>
      <c r="AE134" s="3457">
        <v>27.63</v>
      </c>
    </row>
    <row r="135" spans="30:31">
      <c r="AD135" s="3457">
        <v>-2118</v>
      </c>
      <c r="AE135" s="3457">
        <v>27.63</v>
      </c>
    </row>
    <row r="136" spans="30:31">
      <c r="AD136" s="3457">
        <v>-2119</v>
      </c>
      <c r="AE136" s="3457">
        <v>27.63</v>
      </c>
    </row>
    <row r="137" spans="30:31">
      <c r="AD137" s="3457">
        <v>-2120</v>
      </c>
      <c r="AE137" s="3457">
        <v>27.63</v>
      </c>
    </row>
    <row r="138" spans="30:31">
      <c r="AD138" s="3457">
        <v>-2121</v>
      </c>
      <c r="AE138" s="3457">
        <v>27.63</v>
      </c>
    </row>
    <row r="139" spans="30:31">
      <c r="AD139" s="3457">
        <v>-2122</v>
      </c>
      <c r="AE139" s="3457">
        <v>27.63</v>
      </c>
    </row>
    <row r="140" spans="30:31">
      <c r="AD140" s="3457">
        <v>-2123</v>
      </c>
      <c r="AE140" s="3457">
        <v>27.63</v>
      </c>
    </row>
    <row r="141" spans="30:31">
      <c r="AD141" s="3457">
        <v>-2124</v>
      </c>
      <c r="AE141" s="3457">
        <v>27.63</v>
      </c>
    </row>
    <row r="142" spans="30:31">
      <c r="AD142" s="3457">
        <v>-2125</v>
      </c>
      <c r="AE142" s="3457">
        <v>27.63</v>
      </c>
    </row>
    <row r="143" spans="30:31">
      <c r="AD143" s="3457">
        <v>-2126</v>
      </c>
      <c r="AE143" s="3457">
        <v>27.63</v>
      </c>
    </row>
    <row r="144" spans="30:31">
      <c r="AD144" s="3457">
        <v>-2127</v>
      </c>
      <c r="AE144" s="3457">
        <v>27.63</v>
      </c>
    </row>
    <row r="145" spans="30:31">
      <c r="AD145" s="3457">
        <v>-2128</v>
      </c>
      <c r="AE145" s="3457">
        <v>27.63</v>
      </c>
    </row>
    <row r="146" spans="30:31">
      <c r="AD146" s="3457">
        <v>-2129</v>
      </c>
      <c r="AE146" s="3457">
        <v>27.63</v>
      </c>
    </row>
    <row r="147" spans="30:31">
      <c r="AD147" s="3457">
        <v>-2130</v>
      </c>
      <c r="AE147" s="3457">
        <v>27.63</v>
      </c>
    </row>
    <row r="148" spans="30:31">
      <c r="AD148" s="3457">
        <v>-2131</v>
      </c>
      <c r="AE148" s="3457">
        <v>27.63</v>
      </c>
    </row>
    <row r="149" spans="30:31">
      <c r="AD149" s="3457">
        <v>-2132</v>
      </c>
      <c r="AE149" s="3457">
        <v>27.63</v>
      </c>
    </row>
    <row r="150" spans="30:31">
      <c r="AD150" s="3457">
        <v>-2133</v>
      </c>
      <c r="AE150" s="3457">
        <v>27.63</v>
      </c>
    </row>
    <row r="151" spans="30:31">
      <c r="AD151" s="3457">
        <v>-2134</v>
      </c>
      <c r="AE151" s="3457">
        <v>27.63</v>
      </c>
    </row>
    <row r="152" spans="30:31">
      <c r="AD152" s="3457">
        <v>-2135</v>
      </c>
      <c r="AE152" s="3457">
        <v>27.63</v>
      </c>
    </row>
    <row r="153" spans="30:31">
      <c r="AD153" s="3457">
        <v>-2136</v>
      </c>
      <c r="AE153" s="3457">
        <v>27.63</v>
      </c>
    </row>
    <row r="154" spans="30:31">
      <c r="AD154" s="3457">
        <v>-2137</v>
      </c>
      <c r="AE154" s="3457">
        <v>27.63</v>
      </c>
    </row>
    <row r="155" spans="30:31">
      <c r="AD155" s="3457">
        <v>-2138</v>
      </c>
      <c r="AE155" s="3457">
        <v>27.63</v>
      </c>
    </row>
    <row r="156" spans="30:31">
      <c r="AD156" s="3457">
        <v>-2139</v>
      </c>
      <c r="AE156" s="3457">
        <v>27.63</v>
      </c>
    </row>
    <row r="157" spans="30:31">
      <c r="AD157" s="3457">
        <v>-2140</v>
      </c>
      <c r="AE157" s="3457">
        <v>27.63</v>
      </c>
    </row>
    <row r="158" spans="30:31">
      <c r="AD158" s="3457">
        <v>-2141</v>
      </c>
      <c r="AE158" s="3457">
        <v>27.63</v>
      </c>
    </row>
    <row r="159" spans="30:31">
      <c r="AD159" s="3457">
        <v>-2142</v>
      </c>
      <c r="AE159" s="3457">
        <v>27.63</v>
      </c>
    </row>
    <row r="160" spans="30:31">
      <c r="AD160" s="3457">
        <v>-2143</v>
      </c>
      <c r="AE160" s="3457">
        <v>27.63</v>
      </c>
    </row>
    <row r="161" spans="30:31">
      <c r="AD161" s="3457">
        <v>-2144</v>
      </c>
      <c r="AE161" s="3457">
        <v>27.63</v>
      </c>
    </row>
    <row r="162" spans="30:31">
      <c r="AD162" s="3457">
        <v>-2145</v>
      </c>
      <c r="AE162" s="3457">
        <v>27.63</v>
      </c>
    </row>
    <row r="163" spans="30:31">
      <c r="AD163" s="3457">
        <v>-2146</v>
      </c>
      <c r="AE163" s="3457">
        <v>27.63</v>
      </c>
    </row>
    <row r="164" spans="30:31">
      <c r="AD164" s="3457">
        <v>-2147</v>
      </c>
      <c r="AE164" s="3457">
        <v>27.63</v>
      </c>
    </row>
    <row r="165" spans="30:31">
      <c r="AD165" s="3457">
        <v>-2148</v>
      </c>
      <c r="AE165" s="3457">
        <v>27.63</v>
      </c>
    </row>
    <row r="166" spans="30:31">
      <c r="AD166" s="3457">
        <v>-2149</v>
      </c>
      <c r="AE166" s="3457">
        <v>27.63</v>
      </c>
    </row>
    <row r="167" spans="30:31">
      <c r="AD167" s="3457">
        <v>-2150</v>
      </c>
      <c r="AE167" s="3457">
        <v>27.63</v>
      </c>
    </row>
    <row r="168" spans="30:31">
      <c r="AD168" s="3457">
        <v>-2151</v>
      </c>
      <c r="AE168" s="3457">
        <v>27.63</v>
      </c>
    </row>
    <row r="169" spans="30:31">
      <c r="AD169" s="3457">
        <v>-2152</v>
      </c>
      <c r="AE169" s="3457">
        <v>27.63</v>
      </c>
    </row>
    <row r="170" spans="30:31">
      <c r="AD170" s="3457">
        <v>-2153</v>
      </c>
      <c r="AE170" s="3457">
        <v>27.63</v>
      </c>
    </row>
    <row r="171" spans="30:31">
      <c r="AD171" s="3457">
        <v>-2154</v>
      </c>
      <c r="AE171" s="3457">
        <v>27.63</v>
      </c>
    </row>
    <row r="172" spans="30:31">
      <c r="AD172" s="3457">
        <v>-2155</v>
      </c>
      <c r="AE172" s="3457">
        <v>27.63</v>
      </c>
    </row>
    <row r="173" spans="30:31">
      <c r="AD173" s="3457">
        <v>-2156</v>
      </c>
      <c r="AE173" s="3457">
        <v>27.63</v>
      </c>
    </row>
    <row r="174" spans="30:31">
      <c r="AD174" s="3457">
        <v>-2157</v>
      </c>
      <c r="AE174" s="3457">
        <v>27.63</v>
      </c>
    </row>
    <row r="175" spans="30:31">
      <c r="AD175" s="3457">
        <v>-2158</v>
      </c>
      <c r="AE175" s="3457">
        <v>27.63</v>
      </c>
    </row>
    <row r="176" spans="30:31">
      <c r="AD176" s="3457">
        <v>-2159</v>
      </c>
      <c r="AE176" s="3457">
        <v>27.63</v>
      </c>
    </row>
    <row r="177" spans="30:31">
      <c r="AD177" s="3457">
        <v>-2160</v>
      </c>
      <c r="AE177" s="3457">
        <v>27.63</v>
      </c>
    </row>
    <row r="178" spans="30:31">
      <c r="AD178" s="3457">
        <v>-2161</v>
      </c>
      <c r="AE178" s="3457">
        <v>27.63</v>
      </c>
    </row>
    <row r="179" spans="30:31">
      <c r="AD179" s="3457">
        <v>-2162</v>
      </c>
      <c r="AE179" s="3457">
        <v>27.63</v>
      </c>
    </row>
    <row r="180" spans="30:31">
      <c r="AD180" s="3457">
        <v>-2163</v>
      </c>
      <c r="AE180" s="3457">
        <v>27.63</v>
      </c>
    </row>
    <row r="181" spans="30:31">
      <c r="AD181" s="3457">
        <v>-2164</v>
      </c>
      <c r="AE181" s="3457">
        <v>27.63</v>
      </c>
    </row>
    <row r="182" spans="30:31">
      <c r="AD182" s="3457">
        <v>-2165</v>
      </c>
      <c r="AE182" s="3457">
        <v>27.63</v>
      </c>
    </row>
    <row r="183" spans="30:31">
      <c r="AD183" s="3457">
        <v>-2166</v>
      </c>
      <c r="AE183" s="3457">
        <v>27.63</v>
      </c>
    </row>
    <row r="184" spans="30:31">
      <c r="AD184" s="3457">
        <v>-2167</v>
      </c>
      <c r="AE184" s="3457">
        <v>27.63</v>
      </c>
    </row>
    <row r="185" spans="30:31">
      <c r="AD185" s="3457">
        <v>-2168</v>
      </c>
      <c r="AE185" s="3457">
        <v>27.63</v>
      </c>
    </row>
    <row r="186" spans="30:31">
      <c r="AD186" s="3457">
        <v>-2169</v>
      </c>
      <c r="AE186" s="3457">
        <v>27.63</v>
      </c>
    </row>
    <row r="187" spans="30:31">
      <c r="AD187" s="3457">
        <v>-2170</v>
      </c>
      <c r="AE187" s="3457">
        <v>27.63</v>
      </c>
    </row>
    <row r="188" spans="30:31">
      <c r="AD188" s="3457">
        <v>-2171</v>
      </c>
      <c r="AE188" s="3457">
        <v>27.63</v>
      </c>
    </row>
    <row r="189" spans="30:31">
      <c r="AD189" s="3457">
        <v>-2172</v>
      </c>
      <c r="AE189" s="3457">
        <v>27.63</v>
      </c>
    </row>
    <row r="190" spans="30:31">
      <c r="AD190" s="3457">
        <v>-2173</v>
      </c>
      <c r="AE190" s="3457">
        <v>27.63</v>
      </c>
    </row>
    <row r="191" spans="30:31">
      <c r="AD191" s="3457">
        <v>-2174</v>
      </c>
      <c r="AE191" s="3457">
        <v>27.63</v>
      </c>
    </row>
    <row r="192" spans="30:31">
      <c r="AD192" s="3457">
        <v>-2175</v>
      </c>
      <c r="AE192" s="3457">
        <v>27.63</v>
      </c>
    </row>
    <row r="193" spans="30:31">
      <c r="AD193" s="3457">
        <v>-2176</v>
      </c>
      <c r="AE193" s="3457">
        <v>27.63</v>
      </c>
    </row>
    <row r="194" spans="30:31">
      <c r="AD194" s="3457">
        <v>-2177</v>
      </c>
      <c r="AE194" s="3457">
        <v>27.63</v>
      </c>
    </row>
    <row r="195" spans="30:31">
      <c r="AD195" s="3457">
        <v>-2178</v>
      </c>
      <c r="AE195" s="3457">
        <v>27.63</v>
      </c>
    </row>
    <row r="196" spans="30:31">
      <c r="AD196" s="3457">
        <v>-2179</v>
      </c>
      <c r="AE196" s="3457">
        <v>27.63</v>
      </c>
    </row>
    <row r="197" spans="30:31">
      <c r="AD197" s="3457">
        <v>-2180</v>
      </c>
      <c r="AE197" s="3457">
        <v>27.63</v>
      </c>
    </row>
    <row r="198" spans="30:31">
      <c r="AD198" s="3457">
        <v>-2181</v>
      </c>
      <c r="AE198" s="3457">
        <v>27.63</v>
      </c>
    </row>
    <row r="199" spans="30:31">
      <c r="AD199" s="3457">
        <v>-2182</v>
      </c>
      <c r="AE199" s="3457">
        <v>27.63</v>
      </c>
    </row>
    <row r="200" spans="30:31">
      <c r="AD200" s="3457">
        <v>-2183</v>
      </c>
      <c r="AE200" s="3457">
        <v>27.63</v>
      </c>
    </row>
    <row r="201" spans="30:31">
      <c r="AD201" s="3457">
        <v>-2184</v>
      </c>
      <c r="AE201" s="3457">
        <v>27.63</v>
      </c>
    </row>
    <row r="202" spans="30:31">
      <c r="AD202" s="3457">
        <v>-2185</v>
      </c>
      <c r="AE202" s="3457">
        <v>27.63</v>
      </c>
    </row>
    <row r="203" spans="30:31">
      <c r="AD203" s="3457">
        <v>-2186</v>
      </c>
      <c r="AE203" s="3457">
        <v>20.55</v>
      </c>
    </row>
    <row r="204" spans="30:31">
      <c r="AD204" s="3457">
        <v>-2187</v>
      </c>
      <c r="AE204" s="3457">
        <v>27.63</v>
      </c>
    </row>
    <row r="205" spans="30:31">
      <c r="AD205" s="3455" t="s">
        <v>3504</v>
      </c>
      <c r="AE205" s="3456"/>
    </row>
    <row r="206" spans="30:31">
      <c r="AD206" s="3457">
        <v>-1001</v>
      </c>
      <c r="AE206" s="3457">
        <v>27.63</v>
      </c>
    </row>
    <row r="207" spans="30:31">
      <c r="AD207" s="3457">
        <v>-1002</v>
      </c>
      <c r="AE207" s="3457">
        <v>27.63</v>
      </c>
    </row>
    <row r="208" spans="30:31">
      <c r="AD208" s="3457">
        <v>-1003</v>
      </c>
      <c r="AE208" s="3457">
        <v>27.63</v>
      </c>
    </row>
    <row r="209" spans="30:31">
      <c r="AD209" s="3457">
        <v>-1004</v>
      </c>
      <c r="AE209" s="3457">
        <v>27.63</v>
      </c>
    </row>
    <row r="210" spans="30:31">
      <c r="AD210" s="3457">
        <v>-1005</v>
      </c>
      <c r="AE210" s="3457">
        <v>27.63</v>
      </c>
    </row>
    <row r="211" spans="30:31">
      <c r="AD211" s="3457">
        <v>-1006</v>
      </c>
      <c r="AE211" s="3457">
        <v>27.63</v>
      </c>
    </row>
    <row r="212" spans="30:31">
      <c r="AD212" s="3457">
        <v>-1007</v>
      </c>
      <c r="AE212" s="3457">
        <v>27.63</v>
      </c>
    </row>
    <row r="213" spans="30:31">
      <c r="AD213" s="3457">
        <v>-1008</v>
      </c>
      <c r="AE213" s="3457">
        <v>27.63</v>
      </c>
    </row>
    <row r="214" spans="30:31">
      <c r="AD214" s="3457">
        <v>-1009</v>
      </c>
      <c r="AE214" s="3457">
        <v>27.46</v>
      </c>
    </row>
    <row r="215" spans="30:31">
      <c r="AD215" s="3457">
        <v>-1010</v>
      </c>
      <c r="AE215" s="3457">
        <v>27.63</v>
      </c>
    </row>
    <row r="216" spans="30:31">
      <c r="AD216" s="3457">
        <v>-1011</v>
      </c>
      <c r="AE216" s="3457">
        <v>27.63</v>
      </c>
    </row>
    <row r="217" spans="30:31">
      <c r="AD217" s="3457">
        <v>-1012</v>
      </c>
      <c r="AE217" s="3457">
        <v>27.63</v>
      </c>
    </row>
    <row r="218" spans="30:31">
      <c r="AD218" s="3457">
        <v>-1013</v>
      </c>
      <c r="AE218" s="3457">
        <v>27.63</v>
      </c>
    </row>
    <row r="219" spans="30:31">
      <c r="AD219" s="3457">
        <v>-1014</v>
      </c>
      <c r="AE219" s="3457">
        <v>27.63</v>
      </c>
    </row>
    <row r="220" spans="30:31">
      <c r="AD220" s="3457">
        <v>-1015</v>
      </c>
      <c r="AE220" s="3457">
        <v>27.63</v>
      </c>
    </row>
    <row r="221" spans="30:31">
      <c r="AD221" s="3457">
        <v>-1016</v>
      </c>
      <c r="AE221" s="3457">
        <v>27.63</v>
      </c>
    </row>
    <row r="222" spans="30:31">
      <c r="AD222" s="3457">
        <v>-1017</v>
      </c>
      <c r="AE222" s="3457">
        <v>27.63</v>
      </c>
    </row>
    <row r="223" spans="30:31">
      <c r="AD223" s="3457">
        <v>-1018</v>
      </c>
      <c r="AE223" s="3457">
        <v>27.63</v>
      </c>
    </row>
    <row r="224" spans="30:31">
      <c r="AD224" s="3457">
        <v>-1019</v>
      </c>
      <c r="AE224" s="3457">
        <v>27.63</v>
      </c>
    </row>
    <row r="225" spans="30:31">
      <c r="AD225" s="3457">
        <v>-1020</v>
      </c>
      <c r="AE225" s="3457">
        <v>27.63</v>
      </c>
    </row>
    <row r="226" spans="30:31">
      <c r="AD226" s="3457">
        <v>-1021</v>
      </c>
      <c r="AE226" s="3457">
        <v>27.63</v>
      </c>
    </row>
    <row r="227" spans="30:31">
      <c r="AD227" s="3457">
        <v>-1022</v>
      </c>
      <c r="AE227" s="3457">
        <v>27.63</v>
      </c>
    </row>
    <row r="228" spans="30:31">
      <c r="AD228" s="3457">
        <v>-1023</v>
      </c>
      <c r="AE228" s="3457">
        <v>27.63</v>
      </c>
    </row>
    <row r="229" spans="30:31">
      <c r="AD229" s="3457">
        <v>-1024</v>
      </c>
      <c r="AE229" s="3457">
        <v>27.63</v>
      </c>
    </row>
    <row r="230" spans="30:31">
      <c r="AD230" s="3457">
        <v>-1025</v>
      </c>
      <c r="AE230" s="3457">
        <v>27.63</v>
      </c>
    </row>
    <row r="231" spans="30:31">
      <c r="AD231" s="3457">
        <v>-1026</v>
      </c>
      <c r="AE231" s="3457">
        <v>27.63</v>
      </c>
    </row>
    <row r="232" spans="30:31">
      <c r="AD232" s="3457">
        <v>-1027</v>
      </c>
      <c r="AE232" s="3457">
        <v>27.63</v>
      </c>
    </row>
    <row r="233" spans="30:31">
      <c r="AD233" s="3457">
        <v>-1028</v>
      </c>
      <c r="AE233" s="3457">
        <v>27.63</v>
      </c>
    </row>
    <row r="234" spans="30:31">
      <c r="AD234" s="3457">
        <v>-1029</v>
      </c>
      <c r="AE234" s="3457">
        <v>27.63</v>
      </c>
    </row>
    <row r="235" spans="30:31">
      <c r="AD235" s="3457">
        <v>-1030</v>
      </c>
      <c r="AE235" s="3457">
        <v>27.63</v>
      </c>
    </row>
    <row r="236" spans="30:31">
      <c r="AD236" s="3457">
        <v>-1031</v>
      </c>
      <c r="AE236" s="3457">
        <v>27.63</v>
      </c>
    </row>
    <row r="237" spans="30:31">
      <c r="AD237" s="3457">
        <v>-1032</v>
      </c>
      <c r="AE237" s="3457">
        <v>27.63</v>
      </c>
    </row>
    <row r="238" spans="30:31">
      <c r="AD238" s="3457">
        <v>-1033</v>
      </c>
      <c r="AE238" s="3457">
        <v>27.63</v>
      </c>
    </row>
    <row r="239" spans="30:31">
      <c r="AD239" s="3457">
        <v>-1034</v>
      </c>
      <c r="AE239" s="3457">
        <v>27.63</v>
      </c>
    </row>
    <row r="240" spans="30:31">
      <c r="AD240" s="3457">
        <v>-1035</v>
      </c>
      <c r="AE240" s="3457">
        <v>27.63</v>
      </c>
    </row>
    <row r="241" spans="30:31">
      <c r="AD241" s="3457">
        <v>-1036</v>
      </c>
      <c r="AE241" s="3457">
        <v>27.63</v>
      </c>
    </row>
    <row r="242" spans="30:31">
      <c r="AD242" s="3457">
        <v>-1037</v>
      </c>
      <c r="AE242" s="3457">
        <v>27.63</v>
      </c>
    </row>
    <row r="243" spans="30:31">
      <c r="AD243" s="3457">
        <v>-1038</v>
      </c>
      <c r="AE243" s="3457">
        <v>27.63</v>
      </c>
    </row>
    <row r="244" spans="30:31">
      <c r="AD244" s="3457">
        <v>-1039</v>
      </c>
      <c r="AE244" s="3457">
        <v>27.63</v>
      </c>
    </row>
    <row r="245" spans="30:31">
      <c r="AD245" s="3457">
        <v>-1040</v>
      </c>
      <c r="AE245" s="3457">
        <v>27.63</v>
      </c>
    </row>
    <row r="246" spans="30:31">
      <c r="AD246" s="3457">
        <v>-1041</v>
      </c>
      <c r="AE246" s="3457">
        <v>27.63</v>
      </c>
    </row>
    <row r="247" spans="30:31">
      <c r="AD247" s="3457">
        <v>-1042</v>
      </c>
      <c r="AE247" s="3457">
        <v>27.63</v>
      </c>
    </row>
    <row r="248" spans="30:31">
      <c r="AD248" s="3457">
        <v>-1043</v>
      </c>
      <c r="AE248" s="3457">
        <v>27.63</v>
      </c>
    </row>
    <row r="249" spans="30:31">
      <c r="AD249" s="3457">
        <v>-1044</v>
      </c>
      <c r="AE249" s="3457">
        <v>27.63</v>
      </c>
    </row>
    <row r="250" spans="30:31">
      <c r="AD250" s="3457">
        <v>-1045</v>
      </c>
      <c r="AE250" s="3457">
        <v>27.63</v>
      </c>
    </row>
    <row r="251" spans="30:31">
      <c r="AD251" s="3457">
        <v>-1046</v>
      </c>
      <c r="AE251" s="3457">
        <v>27.63</v>
      </c>
    </row>
    <row r="252" spans="30:31">
      <c r="AD252" s="3457">
        <v>-1047</v>
      </c>
      <c r="AE252" s="3457">
        <v>27.63</v>
      </c>
    </row>
    <row r="253" spans="30:31">
      <c r="AD253" s="3457">
        <v>-1048</v>
      </c>
      <c r="AE253" s="3457">
        <v>27.63</v>
      </c>
    </row>
    <row r="254" spans="30:31">
      <c r="AD254" s="3457">
        <v>-1049</v>
      </c>
      <c r="AE254" s="3457">
        <v>27.63</v>
      </c>
    </row>
    <row r="255" spans="30:31">
      <c r="AD255" s="3457">
        <v>-1050</v>
      </c>
      <c r="AE255" s="3457">
        <v>27.63</v>
      </c>
    </row>
    <row r="256" spans="30:31">
      <c r="AD256" s="3457">
        <v>-1051</v>
      </c>
      <c r="AE256" s="3457">
        <v>27.63</v>
      </c>
    </row>
    <row r="257" spans="30:31">
      <c r="AD257" s="3457">
        <v>-1052</v>
      </c>
      <c r="AE257" s="3457">
        <v>27.63</v>
      </c>
    </row>
    <row r="258" spans="30:31">
      <c r="AD258" s="3457">
        <v>-1053</v>
      </c>
      <c r="AE258" s="3457">
        <v>20.55</v>
      </c>
    </row>
    <row r="259" spans="30:31">
      <c r="AD259" s="3457">
        <v>-1054</v>
      </c>
      <c r="AE259" s="3457">
        <v>27.63</v>
      </c>
    </row>
    <row r="260" spans="30:31">
      <c r="AD260" s="3457">
        <v>-1055</v>
      </c>
      <c r="AE260" s="3457">
        <v>27.63</v>
      </c>
    </row>
    <row r="261" spans="30:31">
      <c r="AD261" s="3457">
        <v>-1056</v>
      </c>
      <c r="AE261" s="3457">
        <v>27.63</v>
      </c>
    </row>
    <row r="262" spans="30:31">
      <c r="AD262" s="3457">
        <v>-1057</v>
      </c>
      <c r="AE262" s="3457">
        <v>27.63</v>
      </c>
    </row>
    <row r="263" spans="30:31">
      <c r="AD263" s="3457">
        <v>-1058</v>
      </c>
      <c r="AE263" s="3457">
        <v>27.63</v>
      </c>
    </row>
    <row r="264" spans="30:31">
      <c r="AD264" s="3457">
        <v>-1059</v>
      </c>
      <c r="AE264" s="3457">
        <v>27.63</v>
      </c>
    </row>
    <row r="265" spans="30:31">
      <c r="AD265" s="3457">
        <v>-1060</v>
      </c>
      <c r="AE265" s="3457">
        <v>27.63</v>
      </c>
    </row>
    <row r="266" spans="30:31">
      <c r="AD266" s="3457">
        <v>-1061</v>
      </c>
      <c r="AE266" s="3457">
        <v>27.63</v>
      </c>
    </row>
    <row r="267" spans="30:31">
      <c r="AD267" s="3457">
        <v>-1062</v>
      </c>
      <c r="AE267" s="3457">
        <v>27.63</v>
      </c>
    </row>
    <row r="268" spans="30:31">
      <c r="AD268" s="3457">
        <v>-1063</v>
      </c>
      <c r="AE268" s="3457">
        <v>27.63</v>
      </c>
    </row>
    <row r="269" spans="30:31">
      <c r="AD269" s="3457">
        <v>-1064</v>
      </c>
      <c r="AE269" s="3457">
        <v>27.63</v>
      </c>
    </row>
    <row r="270" spans="30:31">
      <c r="AD270" s="3457">
        <v>-1065</v>
      </c>
      <c r="AE270" s="3457">
        <v>27.63</v>
      </c>
    </row>
    <row r="271" spans="30:31">
      <c r="AD271" s="3457">
        <v>-1066</v>
      </c>
      <c r="AE271" s="3457">
        <v>27.63</v>
      </c>
    </row>
    <row r="272" spans="30:31">
      <c r="AD272" s="3457">
        <v>-1067</v>
      </c>
      <c r="AE272" s="3457">
        <v>27.63</v>
      </c>
    </row>
    <row r="273" spans="30:31">
      <c r="AD273" s="3457">
        <v>-1068</v>
      </c>
      <c r="AE273" s="3457">
        <v>27.63</v>
      </c>
    </row>
    <row r="274" spans="30:31">
      <c r="AD274" s="3457">
        <v>-1069</v>
      </c>
      <c r="AE274" s="3457">
        <v>27.63</v>
      </c>
    </row>
    <row r="275" spans="30:31">
      <c r="AD275" s="3457">
        <v>-1070</v>
      </c>
      <c r="AE275" s="3457">
        <v>27.63</v>
      </c>
    </row>
    <row r="276" spans="30:31">
      <c r="AD276" s="3457">
        <v>-1071</v>
      </c>
      <c r="AE276" s="3457">
        <v>27.63</v>
      </c>
    </row>
    <row r="277" spans="30:31">
      <c r="AD277" s="3457">
        <v>-1072</v>
      </c>
      <c r="AE277" s="3457">
        <v>27.63</v>
      </c>
    </row>
    <row r="278" spans="30:31">
      <c r="AD278" s="3457">
        <v>-1073</v>
      </c>
      <c r="AE278" s="3457">
        <v>27.63</v>
      </c>
    </row>
    <row r="279" spans="30:31">
      <c r="AD279" s="3457">
        <v>-1074</v>
      </c>
      <c r="AE279" s="3457">
        <v>27.63</v>
      </c>
    </row>
    <row r="280" spans="30:31">
      <c r="AD280" s="3457">
        <v>-1075</v>
      </c>
      <c r="AE280" s="3457">
        <v>27.63</v>
      </c>
    </row>
    <row r="281" spans="30:31">
      <c r="AD281" s="3457">
        <v>-1076</v>
      </c>
      <c r="AE281" s="3457">
        <v>27.63</v>
      </c>
    </row>
    <row r="282" spans="30:31">
      <c r="AD282" s="3457">
        <v>-1077</v>
      </c>
      <c r="AE282" s="3457">
        <v>27.63</v>
      </c>
    </row>
    <row r="283" spans="30:31">
      <c r="AD283" s="3457">
        <v>-1078</v>
      </c>
      <c r="AE283" s="3457">
        <v>27.63</v>
      </c>
    </row>
    <row r="284" spans="30:31">
      <c r="AD284" s="3457">
        <v>-1079</v>
      </c>
      <c r="AE284" s="3457">
        <v>27.63</v>
      </c>
    </row>
    <row r="285" spans="30:31">
      <c r="AD285" s="3457">
        <v>-1080</v>
      </c>
      <c r="AE285" s="3457">
        <v>27.63</v>
      </c>
    </row>
    <row r="286" spans="30:31">
      <c r="AD286" s="3457">
        <v>-1081</v>
      </c>
      <c r="AE286" s="3457">
        <v>27.63</v>
      </c>
    </row>
    <row r="287" spans="30:31">
      <c r="AD287" s="3457">
        <v>-1082</v>
      </c>
      <c r="AE287" s="3457">
        <v>27.63</v>
      </c>
    </row>
    <row r="288" spans="30:31">
      <c r="AD288" s="3457">
        <v>-1083</v>
      </c>
      <c r="AE288" s="3457">
        <v>27.63</v>
      </c>
    </row>
    <row r="289" spans="30:31">
      <c r="AD289" s="3457">
        <v>-1084</v>
      </c>
      <c r="AE289" s="3457">
        <v>27.63</v>
      </c>
    </row>
    <row r="290" spans="30:31">
      <c r="AD290" s="3457">
        <v>-1085</v>
      </c>
      <c r="AE290" s="3457">
        <v>27.63</v>
      </c>
    </row>
    <row r="291" spans="30:31">
      <c r="AD291" s="3457">
        <v>-1086</v>
      </c>
      <c r="AE291" s="3457">
        <v>27.63</v>
      </c>
    </row>
    <row r="292" spans="30:31">
      <c r="AD292" s="3457">
        <v>-1087</v>
      </c>
      <c r="AE292" s="3457">
        <v>27.63</v>
      </c>
    </row>
    <row r="293" spans="30:31">
      <c r="AD293" s="3457">
        <v>-1088</v>
      </c>
      <c r="AE293" s="3457">
        <v>27.63</v>
      </c>
    </row>
    <row r="294" spans="30:31">
      <c r="AD294" s="3457">
        <v>-1089</v>
      </c>
      <c r="AE294" s="3457">
        <v>27.63</v>
      </c>
    </row>
    <row r="295" spans="30:31">
      <c r="AD295" s="3457">
        <v>-1090</v>
      </c>
      <c r="AE295" s="3457">
        <v>27.63</v>
      </c>
    </row>
    <row r="296" spans="30:31">
      <c r="AD296" s="3457">
        <v>-1091</v>
      </c>
      <c r="AE296" s="3457">
        <v>27.63</v>
      </c>
    </row>
    <row r="297" spans="30:31">
      <c r="AD297" s="3457">
        <v>-1092</v>
      </c>
      <c r="AE297" s="3457">
        <v>27.63</v>
      </c>
    </row>
    <row r="298" spans="30:31">
      <c r="AD298" s="3457">
        <v>-1093</v>
      </c>
      <c r="AE298" s="3457">
        <v>27.63</v>
      </c>
    </row>
    <row r="299" spans="30:31">
      <c r="AD299" s="3457">
        <v>-1094</v>
      </c>
      <c r="AE299" s="3457">
        <v>27.63</v>
      </c>
    </row>
    <row r="300" spans="30:31">
      <c r="AD300" s="3457">
        <v>-1095</v>
      </c>
      <c r="AE300" s="3457">
        <v>27.63</v>
      </c>
    </row>
    <row r="301" spans="30:31">
      <c r="AD301" s="3457">
        <v>-1096</v>
      </c>
      <c r="AE301" s="3457">
        <v>27.63</v>
      </c>
    </row>
    <row r="302" spans="30:31">
      <c r="AD302" s="3457">
        <v>-1097</v>
      </c>
      <c r="AE302" s="3457">
        <v>27.63</v>
      </c>
    </row>
    <row r="303" spans="30:31">
      <c r="AD303" s="3457">
        <v>-1098</v>
      </c>
      <c r="AE303" s="3457">
        <v>27.63</v>
      </c>
    </row>
    <row r="304" spans="30:31">
      <c r="AD304" s="3457">
        <v>-1099</v>
      </c>
      <c r="AE304" s="3457">
        <v>27.63</v>
      </c>
    </row>
    <row r="305" spans="30:31">
      <c r="AD305" s="3457">
        <v>-1100</v>
      </c>
      <c r="AE305" s="3457">
        <v>27.63</v>
      </c>
    </row>
    <row r="306" spans="30:31">
      <c r="AD306" s="3457">
        <v>-1101</v>
      </c>
      <c r="AE306" s="3457">
        <v>27.63</v>
      </c>
    </row>
    <row r="307" spans="30:31">
      <c r="AD307" s="3457">
        <v>-1102</v>
      </c>
      <c r="AE307" s="3457">
        <v>27.63</v>
      </c>
    </row>
    <row r="308" spans="30:31">
      <c r="AD308" s="3457">
        <v>-1103</v>
      </c>
      <c r="AE308" s="3457">
        <v>27.63</v>
      </c>
    </row>
    <row r="309" spans="30:31">
      <c r="AD309" s="3457">
        <v>-1104</v>
      </c>
      <c r="AE309" s="3457">
        <v>27.63</v>
      </c>
    </row>
    <row r="310" spans="30:31">
      <c r="AD310" s="3457">
        <v>-1105</v>
      </c>
      <c r="AE310" s="3457">
        <v>27.63</v>
      </c>
    </row>
    <row r="311" spans="30:31">
      <c r="AD311" s="3457">
        <v>-1106</v>
      </c>
      <c r="AE311" s="3457">
        <v>27.63</v>
      </c>
    </row>
    <row r="312" spans="30:31">
      <c r="AD312" s="3457">
        <v>-1107</v>
      </c>
      <c r="AE312" s="3457">
        <v>27.63</v>
      </c>
    </row>
    <row r="313" spans="30:31">
      <c r="AD313" s="3457">
        <v>-1108</v>
      </c>
      <c r="AE313" s="3457">
        <v>27.63</v>
      </c>
    </row>
    <row r="314" spans="30:31">
      <c r="AD314" s="3457">
        <v>-1109</v>
      </c>
      <c r="AE314" s="3457">
        <v>27.63</v>
      </c>
    </row>
    <row r="315" spans="30:31">
      <c r="AD315" s="3457">
        <v>-1110</v>
      </c>
      <c r="AE315" s="3457">
        <v>20.55</v>
      </c>
    </row>
    <row r="316" spans="30:31">
      <c r="AD316" s="3457">
        <v>-1111</v>
      </c>
      <c r="AE316" s="3457">
        <v>27.63</v>
      </c>
    </row>
    <row r="317" spans="30:31">
      <c r="AD317" s="3457">
        <v>-1112</v>
      </c>
      <c r="AE317" s="3457">
        <v>27.63</v>
      </c>
    </row>
    <row r="318" spans="30:31">
      <c r="AD318" s="3457">
        <v>-1113</v>
      </c>
      <c r="AE318" s="3457">
        <v>27.63</v>
      </c>
    </row>
    <row r="319" spans="30:31">
      <c r="AD319" s="3457">
        <v>-1114</v>
      </c>
      <c r="AE319" s="3457">
        <v>27.63</v>
      </c>
    </row>
    <row r="320" spans="30:31">
      <c r="AD320" s="3457">
        <v>-1115</v>
      </c>
      <c r="AE320" s="3457">
        <v>27.63</v>
      </c>
    </row>
    <row r="321" spans="30:31">
      <c r="AD321" s="3457">
        <v>-1116</v>
      </c>
      <c r="AE321" s="3457">
        <v>27.63</v>
      </c>
    </row>
    <row r="322" spans="30:31">
      <c r="AD322" s="3457">
        <v>-1117</v>
      </c>
      <c r="AE322" s="3457">
        <v>27.63</v>
      </c>
    </row>
    <row r="323" spans="30:31">
      <c r="AD323" s="3457">
        <v>-1118</v>
      </c>
      <c r="AE323" s="3457">
        <v>27.63</v>
      </c>
    </row>
    <row r="324" spans="30:31">
      <c r="AD324" s="3457">
        <v>-1119</v>
      </c>
      <c r="AE324" s="3457">
        <v>27.63</v>
      </c>
    </row>
    <row r="325" spans="30:31">
      <c r="AD325" s="3457">
        <v>-1120</v>
      </c>
      <c r="AE325" s="3457">
        <v>27.63</v>
      </c>
    </row>
    <row r="326" spans="30:31">
      <c r="AD326" s="3457">
        <v>-1121</v>
      </c>
      <c r="AE326" s="3457">
        <v>27.63</v>
      </c>
    </row>
    <row r="327" spans="30:31">
      <c r="AD327" s="3457">
        <v>-1122</v>
      </c>
      <c r="AE327" s="3457">
        <v>27.63</v>
      </c>
    </row>
    <row r="328" spans="30:31">
      <c r="AD328" s="3457">
        <v>-1123</v>
      </c>
      <c r="AE328" s="3457">
        <v>27.63</v>
      </c>
    </row>
    <row r="329" spans="30:31">
      <c r="AD329" s="3457">
        <v>-1124</v>
      </c>
      <c r="AE329" s="3457">
        <v>27.63</v>
      </c>
    </row>
    <row r="330" spans="30:31">
      <c r="AD330" s="3457">
        <v>-1125</v>
      </c>
      <c r="AE330" s="3457">
        <v>27.63</v>
      </c>
    </row>
    <row r="331" spans="30:31">
      <c r="AD331" s="3457">
        <v>-1126</v>
      </c>
      <c r="AE331" s="3457">
        <v>27.63</v>
      </c>
    </row>
    <row r="332" spans="30:31">
      <c r="AD332" s="3457">
        <v>-1127</v>
      </c>
      <c r="AE332" s="3457">
        <v>27.63</v>
      </c>
    </row>
    <row r="333" spans="30:31">
      <c r="AD333" s="3457">
        <v>-1128</v>
      </c>
      <c r="AE333" s="3457">
        <v>27.63</v>
      </c>
    </row>
    <row r="334" spans="30:31">
      <c r="AD334" s="3457">
        <v>-1129</v>
      </c>
      <c r="AE334" s="3457">
        <v>27.63</v>
      </c>
    </row>
    <row r="335" spans="30:31">
      <c r="AD335" s="3457">
        <v>-1130</v>
      </c>
      <c r="AE335" s="3457">
        <v>27.63</v>
      </c>
    </row>
    <row r="336" spans="30:31">
      <c r="AD336" s="3457">
        <v>-1131</v>
      </c>
      <c r="AE336" s="3457">
        <v>27.63</v>
      </c>
    </row>
    <row r="337" spans="30:31">
      <c r="AD337" s="3457">
        <v>-1132</v>
      </c>
      <c r="AE337" s="3457">
        <v>27.63</v>
      </c>
    </row>
    <row r="338" spans="30:31">
      <c r="AD338" s="3457">
        <v>-1133</v>
      </c>
      <c r="AE338" s="3457">
        <v>27.63</v>
      </c>
    </row>
    <row r="339" spans="30:31">
      <c r="AD339" s="3457">
        <v>-1134</v>
      </c>
      <c r="AE339" s="3457">
        <v>27.63</v>
      </c>
    </row>
    <row r="340" spans="30:31">
      <c r="AD340" s="3457">
        <v>-1135</v>
      </c>
      <c r="AE340" s="3457">
        <v>27.63</v>
      </c>
    </row>
    <row r="341" spans="30:31">
      <c r="AD341" s="3457">
        <v>-1136</v>
      </c>
      <c r="AE341" s="3457">
        <v>27.63</v>
      </c>
    </row>
    <row r="342" spans="30:31">
      <c r="AD342" s="3457">
        <v>-1137</v>
      </c>
      <c r="AE342" s="3457">
        <v>27.63</v>
      </c>
    </row>
    <row r="343" spans="30:31">
      <c r="AD343" s="3457">
        <v>-1138</v>
      </c>
      <c r="AE343" s="3457">
        <v>27.63</v>
      </c>
    </row>
    <row r="344" spans="30:31">
      <c r="AD344" s="3457">
        <v>-1139</v>
      </c>
      <c r="AE344" s="3457">
        <v>27.63</v>
      </c>
    </row>
    <row r="345" spans="30:31">
      <c r="AD345" s="3457">
        <v>-1140</v>
      </c>
      <c r="AE345" s="3457">
        <v>27.63</v>
      </c>
    </row>
    <row r="346" spans="30:31">
      <c r="AD346" s="3457">
        <v>-1141</v>
      </c>
      <c r="AE346" s="3457">
        <v>27.63</v>
      </c>
    </row>
    <row r="347" spans="30:31">
      <c r="AD347" s="3457">
        <v>-1142</v>
      </c>
      <c r="AE347" s="3457">
        <v>27.63</v>
      </c>
    </row>
    <row r="348" spans="30:31">
      <c r="AD348" s="3457">
        <v>-1143</v>
      </c>
      <c r="AE348" s="3457">
        <v>27.63</v>
      </c>
    </row>
    <row r="349" spans="30:31">
      <c r="AD349" s="3457">
        <v>-1144</v>
      </c>
      <c r="AE349" s="3457">
        <v>27.63</v>
      </c>
    </row>
    <row r="350" spans="30:31">
      <c r="AD350" s="3457">
        <v>-1145</v>
      </c>
      <c r="AE350" s="3457">
        <v>27.63</v>
      </c>
    </row>
    <row r="351" spans="30:31">
      <c r="AD351" s="3457">
        <v>-1146</v>
      </c>
      <c r="AE351" s="3457">
        <v>27.63</v>
      </c>
    </row>
    <row r="352" spans="30:31">
      <c r="AD352" s="3457">
        <v>-1147</v>
      </c>
      <c r="AE352" s="3457">
        <v>27.63</v>
      </c>
    </row>
    <row r="353" spans="30:31">
      <c r="AD353" s="3457">
        <v>-1148</v>
      </c>
      <c r="AE353" s="3457">
        <v>27.63</v>
      </c>
    </row>
    <row r="354" spans="30:31">
      <c r="AD354" s="3457">
        <v>-1149</v>
      </c>
      <c r="AE354" s="3457">
        <v>27.63</v>
      </c>
    </row>
    <row r="355" spans="30:31">
      <c r="AD355" s="3457">
        <v>-1150</v>
      </c>
      <c r="AE355" s="3457">
        <v>27.63</v>
      </c>
    </row>
    <row r="356" spans="30:31">
      <c r="AD356" s="3457">
        <v>-1151</v>
      </c>
      <c r="AE356" s="3457">
        <v>27.63</v>
      </c>
    </row>
    <row r="357" spans="30:31">
      <c r="AD357" s="3457">
        <v>-1152</v>
      </c>
      <c r="AE357" s="3457">
        <v>27.63</v>
      </c>
    </row>
    <row r="358" spans="30:31">
      <c r="AD358" s="3457">
        <v>-1153</v>
      </c>
      <c r="AE358" s="3457">
        <v>27.63</v>
      </c>
    </row>
    <row r="359" spans="30:31">
      <c r="AD359" s="3457">
        <v>-1154</v>
      </c>
      <c r="AE359" s="3457">
        <v>27.63</v>
      </c>
    </row>
    <row r="360" spans="30:31">
      <c r="AD360" s="3457">
        <v>-1155</v>
      </c>
      <c r="AE360" s="3457">
        <v>27.63</v>
      </c>
    </row>
    <row r="361" spans="30:31">
      <c r="AD361" s="3457">
        <v>-1156</v>
      </c>
      <c r="AE361" s="3457">
        <v>27.63</v>
      </c>
    </row>
    <row r="362" spans="30:31">
      <c r="AD362" s="3457">
        <v>-1157</v>
      </c>
      <c r="AE362" s="3457">
        <v>27.63</v>
      </c>
    </row>
    <row r="363" spans="30:31">
      <c r="AD363" s="3457">
        <v>-1158</v>
      </c>
      <c r="AE363" s="3457">
        <v>27.63</v>
      </c>
    </row>
    <row r="364" spans="30:31">
      <c r="AD364" s="3457">
        <v>-1159</v>
      </c>
      <c r="AE364" s="3457">
        <v>27.63</v>
      </c>
    </row>
    <row r="365" spans="30:31">
      <c r="AD365" s="3457">
        <v>-1160</v>
      </c>
      <c r="AE365" s="3457">
        <v>27.63</v>
      </c>
    </row>
    <row r="366" spans="30:31">
      <c r="AD366" s="3457">
        <v>-1161</v>
      </c>
      <c r="AE366" s="3457">
        <v>27.63</v>
      </c>
    </row>
    <row r="367" spans="30:31">
      <c r="AD367" s="3457">
        <v>-1162</v>
      </c>
      <c r="AE367" s="3457">
        <v>27.63</v>
      </c>
    </row>
    <row r="368" spans="30:31">
      <c r="AD368" s="3457">
        <v>-1163</v>
      </c>
      <c r="AE368" s="3457">
        <v>27.63</v>
      </c>
    </row>
    <row r="369" spans="30:31">
      <c r="AD369" s="3457">
        <v>-1164</v>
      </c>
      <c r="AE369" s="3457">
        <v>27.63</v>
      </c>
    </row>
    <row r="370" spans="30:31">
      <c r="AD370" s="3457">
        <v>-1165</v>
      </c>
      <c r="AE370" s="3457">
        <v>27.63</v>
      </c>
    </row>
    <row r="371" spans="30:31">
      <c r="AD371" s="3457">
        <v>-1166</v>
      </c>
      <c r="AE371" s="3457">
        <v>27.63</v>
      </c>
    </row>
    <row r="372" spans="30:31">
      <c r="AD372" s="3457">
        <v>-1167</v>
      </c>
      <c r="AE372" s="3457">
        <v>27.63</v>
      </c>
    </row>
    <row r="373" spans="30:31">
      <c r="AD373" s="3457">
        <v>-1168</v>
      </c>
      <c r="AE373" s="3457">
        <v>27.63</v>
      </c>
    </row>
    <row r="374" spans="30:31">
      <c r="AD374" s="3457">
        <v>-1169</v>
      </c>
      <c r="AE374" s="3457">
        <v>27.63</v>
      </c>
    </row>
    <row r="375" spans="30:31">
      <c r="AD375" s="3457">
        <v>-1170</v>
      </c>
      <c r="AE375" s="3457">
        <v>27.63</v>
      </c>
    </row>
    <row r="376" spans="30:31">
      <c r="AD376" s="3457">
        <v>-1171</v>
      </c>
      <c r="AE376" s="3457">
        <v>27.63</v>
      </c>
    </row>
    <row r="377" spans="30:31">
      <c r="AD377" s="3457">
        <v>-1172</v>
      </c>
      <c r="AE377" s="3457">
        <v>27.63</v>
      </c>
    </row>
    <row r="378" spans="30:31">
      <c r="AD378" s="3457">
        <v>-1173</v>
      </c>
      <c r="AE378" s="3457">
        <v>27.63</v>
      </c>
    </row>
    <row r="379" spans="30:31">
      <c r="AD379" s="3457">
        <v>-1174</v>
      </c>
      <c r="AE379" s="3457">
        <v>27.63</v>
      </c>
    </row>
    <row r="380" spans="30:31">
      <c r="AD380" s="3457">
        <v>-1175</v>
      </c>
      <c r="AE380" s="3457">
        <v>27.63</v>
      </c>
    </row>
    <row r="381" spans="30:31">
      <c r="AD381" s="3457">
        <v>-1176</v>
      </c>
      <c r="AE381" s="3457">
        <v>27.06</v>
      </c>
    </row>
    <row r="382" spans="30:31">
      <c r="AD382" s="3457">
        <v>-1177</v>
      </c>
      <c r="AE382" s="3457">
        <v>27.63</v>
      </c>
    </row>
    <row r="383" spans="30:31">
      <c r="AD383" s="3457">
        <v>-1178</v>
      </c>
      <c r="AE383" s="3457">
        <v>27.63</v>
      </c>
    </row>
    <row r="384" spans="30:31">
      <c r="AD384" s="3457">
        <v>-1179</v>
      </c>
      <c r="AE384" s="3457">
        <v>27.63</v>
      </c>
    </row>
    <row r="385" spans="30:31">
      <c r="AD385" s="3457">
        <v>-1180</v>
      </c>
      <c r="AE385" s="3457">
        <v>27.63</v>
      </c>
    </row>
    <row r="386" spans="30:31">
      <c r="AD386" s="3457">
        <v>-1181</v>
      </c>
      <c r="AE386" s="3457">
        <v>48.22</v>
      </c>
    </row>
    <row r="387" spans="30:31">
      <c r="AD387" s="3457">
        <v>-1182</v>
      </c>
      <c r="AE387" s="3457">
        <v>27.63</v>
      </c>
    </row>
    <row r="388" spans="30:31">
      <c r="AD388" s="3457">
        <v>-1183</v>
      </c>
      <c r="AE388" s="3457">
        <v>27.63</v>
      </c>
    </row>
    <row r="389" spans="30:31">
      <c r="AD389" s="3457">
        <v>-1184</v>
      </c>
      <c r="AE389" s="3457">
        <v>27.63</v>
      </c>
    </row>
    <row r="390" spans="30:31">
      <c r="AD390" s="3457">
        <v>-1185</v>
      </c>
      <c r="AE390" s="3457">
        <v>27.63</v>
      </c>
    </row>
    <row r="391" spans="30:31">
      <c r="AD391" s="3457">
        <v>-1186</v>
      </c>
      <c r="AE391" s="3457">
        <v>27.63</v>
      </c>
    </row>
    <row r="392" spans="30:31">
      <c r="AD392" s="3457">
        <v>-1187</v>
      </c>
      <c r="AE392" s="3457">
        <v>27.63</v>
      </c>
    </row>
    <row r="393" spans="30:31">
      <c r="AD393" s="3457">
        <v>-1188</v>
      </c>
      <c r="AE393" s="3457">
        <v>27.63</v>
      </c>
    </row>
    <row r="394" spans="30:31">
      <c r="AD394" s="3457">
        <v>-1189</v>
      </c>
      <c r="AE394" s="3457">
        <v>27.63</v>
      </c>
    </row>
    <row r="395" spans="30:31">
      <c r="AD395" s="3457">
        <v>-1190</v>
      </c>
      <c r="AE395" s="3457">
        <v>27.63</v>
      </c>
    </row>
    <row r="396" spans="30:31">
      <c r="AD396" s="3457">
        <v>-1191</v>
      </c>
      <c r="AE396" s="3457">
        <v>27.63</v>
      </c>
    </row>
    <row r="397" spans="30:31">
      <c r="AD397" s="3457">
        <v>-1192</v>
      </c>
      <c r="AE397" s="3457">
        <v>27.63</v>
      </c>
    </row>
    <row r="398" spans="30:31">
      <c r="AD398" s="3457">
        <v>-1193</v>
      </c>
      <c r="AE398" s="3457">
        <v>27.63</v>
      </c>
    </row>
    <row r="399" spans="30:31">
      <c r="AD399" s="3457">
        <v>-1194</v>
      </c>
      <c r="AE399" s="3457">
        <v>27.63</v>
      </c>
    </row>
    <row r="400" spans="30:31">
      <c r="AD400" s="3457">
        <v>-1195</v>
      </c>
      <c r="AE400" s="3457">
        <v>27.63</v>
      </c>
    </row>
    <row r="401" spans="30:31">
      <c r="AD401" s="3457">
        <v>-1196</v>
      </c>
      <c r="AE401" s="3457">
        <v>27.63</v>
      </c>
    </row>
    <row r="402" spans="30:31">
      <c r="AD402" s="3457">
        <v>-1197</v>
      </c>
      <c r="AE402" s="3457">
        <v>27.63</v>
      </c>
    </row>
    <row r="403" spans="30:31">
      <c r="AD403" s="3457">
        <v>-1198</v>
      </c>
      <c r="AE403" s="3457">
        <v>27.63</v>
      </c>
    </row>
    <row r="404" spans="30:31">
      <c r="AD404" s="3457">
        <v>-1199</v>
      </c>
      <c r="AE404" s="3457">
        <v>27.63</v>
      </c>
    </row>
    <row r="405" spans="30:31">
      <c r="AD405" s="3457">
        <v>-1200</v>
      </c>
      <c r="AE405" s="3457">
        <v>27.63</v>
      </c>
    </row>
    <row r="406" spans="30:31">
      <c r="AD406" s="3457">
        <v>-1201</v>
      </c>
      <c r="AE406" s="3457">
        <v>27.63</v>
      </c>
    </row>
    <row r="407" spans="30:31">
      <c r="AD407" s="3457">
        <v>-1202</v>
      </c>
      <c r="AE407" s="3457">
        <v>27.63</v>
      </c>
    </row>
    <row r="408" spans="30:31">
      <c r="AD408" s="3457">
        <v>-1203</v>
      </c>
      <c r="AE408" s="3457">
        <v>27.63</v>
      </c>
    </row>
    <row r="409" spans="30:31">
      <c r="AD409" s="3457">
        <v>-1204</v>
      </c>
      <c r="AE409" s="3457">
        <v>27.63</v>
      </c>
    </row>
    <row r="410" spans="30:31">
      <c r="AD410" s="3457">
        <v>-1205</v>
      </c>
      <c r="AE410" s="3457">
        <v>27.63</v>
      </c>
    </row>
    <row r="411" spans="30:31">
      <c r="AD411" s="3457">
        <v>-1206</v>
      </c>
      <c r="AE411" s="3457">
        <v>27.63</v>
      </c>
    </row>
    <row r="412" spans="30:31">
      <c r="AD412" s="3457">
        <v>-1207</v>
      </c>
      <c r="AE412" s="3457">
        <v>27.63</v>
      </c>
    </row>
    <row r="413" spans="30:31">
      <c r="AD413" s="3457">
        <v>-1208</v>
      </c>
      <c r="AE413" s="3457">
        <v>27.63</v>
      </c>
    </row>
    <row r="414" spans="30:31">
      <c r="AD414" s="3457">
        <v>-1209</v>
      </c>
      <c r="AE414" s="3457">
        <v>27.63</v>
      </c>
    </row>
    <row r="415" spans="30:31">
      <c r="AD415" s="3457">
        <v>-1210</v>
      </c>
      <c r="AE415" s="3457">
        <v>27.63</v>
      </c>
    </row>
    <row r="416" spans="30:31">
      <c r="AD416" s="3457">
        <v>-1211</v>
      </c>
      <c r="AE416" s="3457">
        <v>27.63</v>
      </c>
    </row>
    <row r="417" spans="30:31">
      <c r="AD417" s="3457">
        <v>-1212</v>
      </c>
      <c r="AE417" s="3457">
        <v>27.63</v>
      </c>
    </row>
    <row r="418" spans="30:31">
      <c r="AD418" s="3457">
        <v>-1213</v>
      </c>
      <c r="AE418" s="3457">
        <v>27.63</v>
      </c>
    </row>
    <row r="419" spans="30:31">
      <c r="AD419" s="3457">
        <v>-1214</v>
      </c>
      <c r="AE419" s="3457">
        <v>27.63</v>
      </c>
    </row>
    <row r="420" spans="30:31">
      <c r="AD420" s="3457">
        <v>-1215</v>
      </c>
      <c r="AE420" s="3457">
        <v>27.63</v>
      </c>
    </row>
    <row r="421" spans="30:31">
      <c r="AD421" s="3457">
        <v>-1216</v>
      </c>
      <c r="AE421" s="3457">
        <v>27.63</v>
      </c>
    </row>
    <row r="422" spans="30:31">
      <c r="AD422" s="3457">
        <v>-1217</v>
      </c>
      <c r="AE422" s="3457">
        <v>27.63</v>
      </c>
    </row>
    <row r="423" spans="30:31">
      <c r="AD423" s="3457">
        <v>-1218</v>
      </c>
      <c r="AE423" s="3457">
        <v>27.63</v>
      </c>
    </row>
    <row r="424" spans="30:31">
      <c r="AD424" s="3457">
        <v>-1219</v>
      </c>
      <c r="AE424" s="3457">
        <v>27.63</v>
      </c>
    </row>
    <row r="425" spans="30:31">
      <c r="AD425" s="3457">
        <v>-1220</v>
      </c>
      <c r="AE425" s="3457">
        <v>27.63</v>
      </c>
    </row>
    <row r="426" spans="30:31">
      <c r="AD426" s="3457">
        <v>-1221</v>
      </c>
      <c r="AE426" s="3457">
        <v>27.63</v>
      </c>
    </row>
    <row r="427" spans="30:31">
      <c r="AD427" s="3457">
        <v>-1222</v>
      </c>
      <c r="AE427" s="3457">
        <v>27.63</v>
      </c>
    </row>
    <row r="428" spans="30:31">
      <c r="AD428" s="3457">
        <v>-1223</v>
      </c>
      <c r="AE428" s="3457">
        <v>27.63</v>
      </c>
    </row>
    <row r="429" spans="30:31">
      <c r="AD429" s="3457">
        <v>-1224</v>
      </c>
      <c r="AE429" s="3457">
        <v>27.63</v>
      </c>
    </row>
    <row r="430" spans="30:31">
      <c r="AD430" s="3457">
        <v>-1225</v>
      </c>
      <c r="AE430" s="3457">
        <v>27.63</v>
      </c>
    </row>
    <row r="431" spans="30:31">
      <c r="AD431" s="3457">
        <v>-1226</v>
      </c>
      <c r="AE431" s="3457">
        <v>27.63</v>
      </c>
    </row>
    <row r="432" spans="30:31">
      <c r="AD432" s="3457">
        <v>-1227</v>
      </c>
      <c r="AE432" s="3457">
        <v>27.63</v>
      </c>
    </row>
    <row r="433" spans="30:31">
      <c r="AD433" s="3457">
        <v>-1228</v>
      </c>
      <c r="AE433" s="3457">
        <v>27.63</v>
      </c>
    </row>
    <row r="434" spans="30:31">
      <c r="AD434" s="3457">
        <v>-1229</v>
      </c>
      <c r="AE434" s="3457">
        <v>27.63</v>
      </c>
    </row>
    <row r="435" spans="30:31">
      <c r="AD435" s="3457">
        <v>-1230</v>
      </c>
      <c r="AE435" s="3457">
        <v>27.63</v>
      </c>
    </row>
    <row r="436" spans="30:31">
      <c r="AD436" s="3457">
        <v>-1231</v>
      </c>
      <c r="AE436" s="3457">
        <v>27.63</v>
      </c>
    </row>
    <row r="437" spans="30:31">
      <c r="AD437" s="3457">
        <v>-1232</v>
      </c>
      <c r="AE437" s="3457">
        <v>27.63</v>
      </c>
    </row>
    <row r="438" spans="30:31">
      <c r="AD438" s="3457">
        <v>-1233</v>
      </c>
      <c r="AE438" s="3457">
        <v>27.63</v>
      </c>
    </row>
    <row r="439" spans="30:31">
      <c r="AD439" s="3457">
        <v>-1234</v>
      </c>
      <c r="AE439" s="3457">
        <v>27.63</v>
      </c>
    </row>
    <row r="440" spans="30:31">
      <c r="AD440" s="3457">
        <v>-1235</v>
      </c>
      <c r="AE440" s="3457">
        <v>27.63</v>
      </c>
    </row>
    <row r="441" spans="30:31">
      <c r="AD441" s="3457">
        <v>-1236</v>
      </c>
      <c r="AE441" s="3457">
        <v>27.63</v>
      </c>
    </row>
    <row r="442" spans="30:31">
      <c r="AD442" s="3457">
        <v>-1237</v>
      </c>
      <c r="AE442" s="3457">
        <v>27.63</v>
      </c>
    </row>
    <row r="443" spans="30:31">
      <c r="AD443" s="3457">
        <v>-1238</v>
      </c>
      <c r="AE443" s="3457">
        <v>27.63</v>
      </c>
    </row>
    <row r="444" spans="30:31">
      <c r="AD444" s="3457">
        <v>-1239</v>
      </c>
      <c r="AE444" s="3457">
        <v>27.63</v>
      </c>
    </row>
    <row r="445" spans="30:31">
      <c r="AD445" s="3457">
        <v>-1240</v>
      </c>
      <c r="AE445" s="3457">
        <v>27.63</v>
      </c>
    </row>
    <row r="446" spans="30:31">
      <c r="AD446" s="3457">
        <v>-1241</v>
      </c>
      <c r="AE446" s="3457">
        <v>20.55</v>
      </c>
    </row>
    <row r="447" spans="30:31">
      <c r="AD447" s="3457">
        <v>-1242</v>
      </c>
      <c r="AE447" s="3457">
        <v>27.63</v>
      </c>
    </row>
    <row r="448" spans="30:31">
      <c r="AD448" s="3457">
        <v>-1243</v>
      </c>
      <c r="AE448" s="3457">
        <v>27.63</v>
      </c>
    </row>
    <row r="449" spans="30:31">
      <c r="AD449" s="3457">
        <v>-1244</v>
      </c>
      <c r="AE449" s="3457">
        <v>27.63</v>
      </c>
    </row>
    <row r="450" spans="30:31">
      <c r="AD450" s="3457">
        <v>-1245</v>
      </c>
      <c r="AE450" s="3457">
        <v>20.55</v>
      </c>
    </row>
    <row r="451" spans="30:31">
      <c r="AD451" s="3457">
        <v>-1246</v>
      </c>
      <c r="AE451" s="3457">
        <v>27.63</v>
      </c>
    </row>
    <row r="452" spans="30:31">
      <c r="AD452" s="3457">
        <v>-1247</v>
      </c>
      <c r="AE452" s="3457">
        <v>27.63</v>
      </c>
    </row>
    <row r="453" spans="30:31">
      <c r="AD453" s="3457">
        <v>-1248</v>
      </c>
      <c r="AE453" s="3457">
        <v>27.63</v>
      </c>
    </row>
    <row r="454" spans="30:31">
      <c r="AD454" s="3457">
        <v>-1249</v>
      </c>
      <c r="AE454" s="3457">
        <v>27.63</v>
      </c>
    </row>
    <row r="455" spans="30:31">
      <c r="AD455" s="3457">
        <v>-1250</v>
      </c>
      <c r="AE455" s="3457">
        <v>27.63</v>
      </c>
    </row>
    <row r="456" spans="30:31">
      <c r="AD456" s="3457">
        <v>-1251</v>
      </c>
      <c r="AE456" s="3457">
        <v>27.63</v>
      </c>
    </row>
    <row r="457" spans="30:31">
      <c r="AD457" s="3457">
        <v>-1252</v>
      </c>
      <c r="AE457" s="3457">
        <v>27.63</v>
      </c>
    </row>
    <row r="458" spans="30:31">
      <c r="AD458" s="3457">
        <v>-1253</v>
      </c>
      <c r="AE458" s="3457">
        <v>27.63</v>
      </c>
    </row>
    <row r="459" spans="30:31">
      <c r="AD459" s="3457">
        <v>-1254</v>
      </c>
      <c r="AE459" s="3457">
        <v>27.63</v>
      </c>
    </row>
    <row r="460" spans="30:31">
      <c r="AD460" s="3457">
        <v>-1255</v>
      </c>
      <c r="AE460" s="3457">
        <v>27.63</v>
      </c>
    </row>
    <row r="461" spans="30:31">
      <c r="AD461" s="3457">
        <v>-1256</v>
      </c>
      <c r="AE461" s="3457">
        <v>27.63</v>
      </c>
    </row>
    <row r="462" spans="30:31">
      <c r="AD462" s="3457">
        <v>-1257</v>
      </c>
      <c r="AE462" s="3457">
        <v>27.63</v>
      </c>
    </row>
    <row r="463" spans="30:31">
      <c r="AD463" s="3457">
        <v>-1258</v>
      </c>
      <c r="AE463" s="3457">
        <v>27.63</v>
      </c>
    </row>
    <row r="464" spans="30:31">
      <c r="AD464" s="3457">
        <v>-1259</v>
      </c>
      <c r="AE464" s="3457">
        <v>27.63</v>
      </c>
    </row>
    <row r="465" spans="30:31">
      <c r="AD465" s="3457">
        <v>-1260</v>
      </c>
      <c r="AE465" s="3457">
        <v>27.63</v>
      </c>
    </row>
    <row r="466" spans="30:31">
      <c r="AD466" s="3457">
        <v>-1261</v>
      </c>
      <c r="AE466" s="3457">
        <v>27.63</v>
      </c>
    </row>
    <row r="467" spans="30:31">
      <c r="AD467" s="3457">
        <v>-1262</v>
      </c>
      <c r="AE467" s="3457">
        <v>27.63</v>
      </c>
    </row>
    <row r="468" spans="30:31">
      <c r="AD468" s="3457">
        <v>-1263</v>
      </c>
      <c r="AE468" s="3457">
        <v>27.63</v>
      </c>
    </row>
    <row r="469" spans="30:31">
      <c r="AD469" s="3457">
        <v>-1264</v>
      </c>
      <c r="AE469" s="3457">
        <v>27.63</v>
      </c>
    </row>
    <row r="470" spans="30:31">
      <c r="AD470" s="3457">
        <v>-1265</v>
      </c>
      <c r="AE470" s="3457">
        <v>27.63</v>
      </c>
    </row>
    <row r="471" spans="30:31">
      <c r="AD471" s="3457">
        <v>-1266</v>
      </c>
      <c r="AE471" s="3457">
        <v>27.63</v>
      </c>
    </row>
    <row r="472" spans="30:31">
      <c r="AD472" s="3457">
        <v>-1267</v>
      </c>
      <c r="AE472" s="3457">
        <v>27.63</v>
      </c>
    </row>
    <row r="473" spans="30:31">
      <c r="AD473" s="3457">
        <v>-1268</v>
      </c>
      <c r="AE473" s="3457">
        <v>27.63</v>
      </c>
    </row>
    <row r="474" spans="30:31">
      <c r="AD474" s="3457">
        <v>-1269</v>
      </c>
      <c r="AE474" s="3457">
        <v>27.63</v>
      </c>
    </row>
    <row r="475" spans="30:31">
      <c r="AD475" s="3457">
        <v>-1270</v>
      </c>
      <c r="AE475" s="3457">
        <v>27.63</v>
      </c>
    </row>
    <row r="476" spans="30:31">
      <c r="AD476" s="3457">
        <v>-1271</v>
      </c>
      <c r="AE476" s="3457">
        <v>27.63</v>
      </c>
    </row>
    <row r="477" spans="30:31">
      <c r="AD477" s="3457">
        <v>-1272</v>
      </c>
      <c r="AE477" s="3457">
        <v>27.63</v>
      </c>
    </row>
    <row r="478" spans="30:31">
      <c r="AD478" s="3457">
        <v>-1273</v>
      </c>
      <c r="AE478" s="3457">
        <v>27.63</v>
      </c>
    </row>
    <row r="479" spans="30:31">
      <c r="AD479" s="3457">
        <v>-1274</v>
      </c>
      <c r="AE479" s="3457">
        <v>27.63</v>
      </c>
    </row>
    <row r="480" spans="30:31">
      <c r="AD480" s="3457">
        <v>-1275</v>
      </c>
      <c r="AE480" s="3457">
        <v>27.63</v>
      </c>
    </row>
    <row r="481" spans="30:31">
      <c r="AD481" s="3457">
        <v>-1276</v>
      </c>
      <c r="AE481" s="3457">
        <v>27.63</v>
      </c>
    </row>
    <row r="482" spans="30:31">
      <c r="AD482" s="3457">
        <v>-1277</v>
      </c>
      <c r="AE482" s="3457">
        <v>27.63</v>
      </c>
    </row>
    <row r="483" spans="30:31">
      <c r="AD483" s="3457">
        <v>-1278</v>
      </c>
      <c r="AE483" s="3457">
        <v>27.63</v>
      </c>
    </row>
    <row r="484" spans="30:31">
      <c r="AD484" s="3457">
        <v>-1279</v>
      </c>
      <c r="AE484" s="3457">
        <v>27.63</v>
      </c>
    </row>
    <row r="485" spans="30:31">
      <c r="AD485" s="3457">
        <v>-1280</v>
      </c>
      <c r="AE485" s="3457">
        <v>27.63</v>
      </c>
    </row>
    <row r="486" spans="30:31">
      <c r="AD486" s="3457">
        <v>-1281</v>
      </c>
      <c r="AE486" s="3457">
        <v>27.63</v>
      </c>
    </row>
    <row r="487" spans="30:31">
      <c r="AD487" s="3457">
        <v>-1282</v>
      </c>
      <c r="AE487" s="3457">
        <v>27.63</v>
      </c>
    </row>
    <row r="488" spans="30:31">
      <c r="AD488" s="3457">
        <v>-1283</v>
      </c>
      <c r="AE488" s="3457">
        <v>27.63</v>
      </c>
    </row>
    <row r="489" spans="30:31">
      <c r="AD489" s="3457">
        <v>-1284</v>
      </c>
      <c r="AE489" s="3457">
        <v>27.63</v>
      </c>
    </row>
    <row r="490" spans="30:31">
      <c r="AD490" s="3457">
        <v>-1285</v>
      </c>
      <c r="AE490" s="3457">
        <v>27.63</v>
      </c>
    </row>
    <row r="491" spans="30:31">
      <c r="AD491" s="3457">
        <v>-1286</v>
      </c>
      <c r="AE491" s="3457">
        <v>27.63</v>
      </c>
    </row>
    <row r="492" spans="30:31">
      <c r="AD492" s="3457">
        <v>-1287</v>
      </c>
      <c r="AE492" s="3457">
        <v>27.63</v>
      </c>
    </row>
    <row r="493" spans="30:31">
      <c r="AD493" s="3457">
        <v>-1288</v>
      </c>
      <c r="AE493" s="3457">
        <v>27.63</v>
      </c>
    </row>
    <row r="494" spans="30:31">
      <c r="AD494" s="3457">
        <v>-1289</v>
      </c>
      <c r="AE494" s="3457">
        <v>27.63</v>
      </c>
    </row>
    <row r="495" spans="30:31">
      <c r="AD495" s="3457">
        <v>-1290</v>
      </c>
      <c r="AE495" s="3457">
        <v>27.63</v>
      </c>
    </row>
    <row r="496" spans="30:31">
      <c r="AD496" s="3457">
        <v>-1291</v>
      </c>
      <c r="AE496" s="3457">
        <v>27.63</v>
      </c>
    </row>
    <row r="497" spans="30:31">
      <c r="AD497" s="3457">
        <v>-1292</v>
      </c>
      <c r="AE497" s="3457">
        <v>27.63</v>
      </c>
    </row>
    <row r="498" spans="30:31">
      <c r="AD498" s="3457">
        <v>-1293</v>
      </c>
      <c r="AE498" s="3457">
        <v>27.63</v>
      </c>
    </row>
    <row r="499" spans="30:31">
      <c r="AD499" s="3457">
        <v>-1294</v>
      </c>
      <c r="AE499" s="3457">
        <v>27.63</v>
      </c>
    </row>
    <row r="500" spans="30:31">
      <c r="AD500" s="3457">
        <v>-1295</v>
      </c>
      <c r="AE500" s="3457">
        <v>27.63</v>
      </c>
    </row>
    <row r="501" spans="30:31">
      <c r="AD501" s="3457">
        <v>-1296</v>
      </c>
      <c r="AE501" s="3457">
        <v>27.63</v>
      </c>
    </row>
    <row r="502" spans="30:31">
      <c r="AD502" s="3457">
        <v>-1297</v>
      </c>
      <c r="AE502" s="3457">
        <v>27.63</v>
      </c>
    </row>
    <row r="503" spans="30:31">
      <c r="AD503" s="3457">
        <v>-1298</v>
      </c>
      <c r="AE503" s="3457">
        <v>20.55</v>
      </c>
    </row>
    <row r="504" spans="30:31">
      <c r="AD504" s="3457">
        <v>-1299</v>
      </c>
      <c r="AE504" s="3457">
        <v>27.63</v>
      </c>
    </row>
    <row r="505" spans="30:31">
      <c r="AD505" s="3457">
        <v>-1300</v>
      </c>
      <c r="AE505" s="3457">
        <v>27.63</v>
      </c>
    </row>
    <row r="506" spans="30:31">
      <c r="AD506" s="3457">
        <v>-1301</v>
      </c>
      <c r="AE506" s="3457">
        <v>27.63</v>
      </c>
    </row>
    <row r="507" spans="30:31">
      <c r="AD507" s="3457">
        <v>-1302</v>
      </c>
      <c r="AE507" s="3457">
        <v>27.63</v>
      </c>
    </row>
    <row r="508" spans="30:31">
      <c r="AD508" s="3457">
        <v>-1303</v>
      </c>
      <c r="AE508" s="3457">
        <v>27.63</v>
      </c>
    </row>
    <row r="509" spans="30:31">
      <c r="AD509" s="3457">
        <v>-1304</v>
      </c>
      <c r="AE509" s="3457">
        <v>27.63</v>
      </c>
    </row>
    <row r="510" spans="30:31">
      <c r="AD510" s="3457">
        <v>-1305</v>
      </c>
      <c r="AE510" s="3457">
        <v>20.55</v>
      </c>
    </row>
    <row r="511" spans="30:31">
      <c r="AD511" s="3457">
        <v>-1306</v>
      </c>
      <c r="AE511" s="3457">
        <v>27.63</v>
      </c>
    </row>
    <row r="512" spans="30:31">
      <c r="AD512" s="3457">
        <v>-1307</v>
      </c>
      <c r="AE512" s="3457">
        <v>27.63</v>
      </c>
    </row>
    <row r="513" spans="30:31">
      <c r="AD513" s="3457">
        <v>-1308</v>
      </c>
      <c r="AE513" s="3457">
        <v>27.63</v>
      </c>
    </row>
    <row r="514" spans="30:31">
      <c r="AD514" s="3457">
        <v>-1309</v>
      </c>
      <c r="AE514" s="3457">
        <v>27.63</v>
      </c>
    </row>
    <row r="515" spans="30:31">
      <c r="AD515" s="3457">
        <v>-1310</v>
      </c>
      <c r="AE515" s="3457">
        <v>27.63</v>
      </c>
    </row>
    <row r="516" spans="30:31">
      <c r="AD516" s="3457">
        <v>-1311</v>
      </c>
      <c r="AE516" s="3457">
        <v>27.63</v>
      </c>
    </row>
    <row r="517" spans="30:31">
      <c r="AD517" s="3457">
        <v>-1312</v>
      </c>
      <c r="AE517" s="3457">
        <v>27.63</v>
      </c>
    </row>
    <row r="518" spans="30:31">
      <c r="AD518" s="3457">
        <v>-1313</v>
      </c>
      <c r="AE518" s="3457">
        <v>27.63</v>
      </c>
    </row>
    <row r="519" spans="30:31">
      <c r="AD519" s="3457">
        <v>-1314</v>
      </c>
      <c r="AE519" s="3457">
        <v>27.63</v>
      </c>
    </row>
    <row r="520" spans="30:31">
      <c r="AD520" s="3457">
        <v>-1315</v>
      </c>
      <c r="AE520" s="3457">
        <v>27.63</v>
      </c>
    </row>
    <row r="521" spans="30:31">
      <c r="AD521" s="3457">
        <v>-1316</v>
      </c>
      <c r="AE521" s="3457">
        <v>27.63</v>
      </c>
    </row>
    <row r="522" spans="30:31">
      <c r="AD522" s="3457">
        <v>-1317</v>
      </c>
      <c r="AE522" s="3457">
        <v>27.63</v>
      </c>
    </row>
    <row r="523" spans="30:31">
      <c r="AD523" s="3457">
        <v>-1318</v>
      </c>
      <c r="AE523" s="3457">
        <v>27.63</v>
      </c>
    </row>
    <row r="524" spans="30:31">
      <c r="AD524" s="3457">
        <v>-1319</v>
      </c>
      <c r="AE524" s="3457">
        <v>27.63</v>
      </c>
    </row>
    <row r="525" spans="30:31">
      <c r="AD525" s="3457">
        <v>-1320</v>
      </c>
      <c r="AE525" s="3457">
        <v>27.63</v>
      </c>
    </row>
    <row r="526" spans="30:31">
      <c r="AD526" s="3457">
        <v>-1321</v>
      </c>
      <c r="AE526" s="3457">
        <v>27.63</v>
      </c>
    </row>
    <row r="527" spans="30:31">
      <c r="AD527" s="3457">
        <v>-1322</v>
      </c>
      <c r="AE527" s="3457">
        <v>27.63</v>
      </c>
    </row>
    <row r="528" spans="30:31">
      <c r="AD528" s="3457">
        <v>-1323</v>
      </c>
      <c r="AE528" s="3457">
        <v>27.63</v>
      </c>
    </row>
    <row r="529" spans="30:31">
      <c r="AD529" s="3457">
        <v>-1324</v>
      </c>
      <c r="AE529" s="3457">
        <v>27.63</v>
      </c>
    </row>
    <row r="530" spans="30:31">
      <c r="AD530" s="3457">
        <v>-1325</v>
      </c>
      <c r="AE530" s="3457">
        <v>27.63</v>
      </c>
    </row>
    <row r="531" spans="30:31">
      <c r="AD531" s="3457">
        <v>-1326</v>
      </c>
      <c r="AE531" s="3457">
        <v>27.63</v>
      </c>
    </row>
    <row r="532" spans="30:31">
      <c r="AD532" s="3457">
        <v>-1327</v>
      </c>
      <c r="AE532" s="3457">
        <v>27.63</v>
      </c>
    </row>
    <row r="533" spans="30:31">
      <c r="AD533" s="3457">
        <v>-1328</v>
      </c>
      <c r="AE533" s="3457">
        <v>27.63</v>
      </c>
    </row>
    <row r="534" spans="30:31">
      <c r="AD534" s="3457">
        <v>-1329</v>
      </c>
      <c r="AE534" s="3457">
        <v>27.63</v>
      </c>
    </row>
    <row r="535" spans="30:31">
      <c r="AD535" s="3457">
        <v>-1330</v>
      </c>
      <c r="AE535" s="3457">
        <v>27.63</v>
      </c>
    </row>
    <row r="536" spans="30:31">
      <c r="AD536" s="3457">
        <v>-1331</v>
      </c>
      <c r="AE536" s="3457">
        <v>27.63</v>
      </c>
    </row>
    <row r="537" spans="30:31">
      <c r="AD537" s="3457">
        <v>-1332</v>
      </c>
      <c r="AE537" s="3457">
        <v>27.63</v>
      </c>
    </row>
    <row r="538" spans="30:31">
      <c r="AD538" s="3457">
        <v>-1333</v>
      </c>
      <c r="AE538" s="3457">
        <v>27.63</v>
      </c>
    </row>
    <row r="539" spans="30:31">
      <c r="AD539" s="3457">
        <v>-1334</v>
      </c>
      <c r="AE539" s="3457">
        <v>27.63</v>
      </c>
    </row>
    <row r="540" spans="30:31">
      <c r="AD540" s="3457">
        <v>-1335</v>
      </c>
      <c r="AE540" s="3457">
        <v>27.63</v>
      </c>
    </row>
    <row r="541" spans="30:31">
      <c r="AD541" s="3457">
        <v>-1336</v>
      </c>
      <c r="AE541" s="3457">
        <v>27.63</v>
      </c>
    </row>
    <row r="542" spans="30:31">
      <c r="AD542" s="3457">
        <v>-1337</v>
      </c>
      <c r="AE542" s="3457">
        <v>27.63</v>
      </c>
    </row>
    <row r="543" spans="30:31">
      <c r="AD543" s="3457">
        <v>-1338</v>
      </c>
      <c r="AE543" s="3457">
        <v>27.63</v>
      </c>
    </row>
    <row r="544" spans="30:31">
      <c r="AD544" s="3457">
        <v>-1339</v>
      </c>
      <c r="AE544" s="3457">
        <v>27.63</v>
      </c>
    </row>
    <row r="545" spans="30:31">
      <c r="AD545" s="3457">
        <v>-1340</v>
      </c>
      <c r="AE545" s="3457">
        <v>27.63</v>
      </c>
    </row>
    <row r="546" spans="30:31">
      <c r="AD546" s="3457">
        <v>-1341</v>
      </c>
      <c r="AE546" s="3457">
        <v>27.63</v>
      </c>
    </row>
    <row r="547" spans="30:31">
      <c r="AD547" s="3457">
        <v>-1342</v>
      </c>
      <c r="AE547" s="3457">
        <v>27.63</v>
      </c>
    </row>
    <row r="548" spans="30:31">
      <c r="AD548" s="3457">
        <v>-1343</v>
      </c>
      <c r="AE548" s="3457">
        <v>27.63</v>
      </c>
    </row>
    <row r="549" spans="30:31">
      <c r="AD549" s="3457">
        <v>-1344</v>
      </c>
      <c r="AE549" s="3457">
        <v>27.63</v>
      </c>
    </row>
    <row r="550" spans="30:31">
      <c r="AD550" s="3457">
        <v>-1345</v>
      </c>
      <c r="AE550" s="3457">
        <v>27.63</v>
      </c>
    </row>
    <row r="551" spans="30:31">
      <c r="AD551" s="3457">
        <v>-1346</v>
      </c>
      <c r="AE551" s="3457">
        <v>27.63</v>
      </c>
    </row>
    <row r="552" spans="30:31">
      <c r="AD552" s="3457">
        <v>-1347</v>
      </c>
      <c r="AE552" s="3457">
        <v>27.63</v>
      </c>
    </row>
    <row r="553" spans="30:31">
      <c r="AD553" s="3457">
        <v>-1348</v>
      </c>
      <c r="AE553" s="3457">
        <v>27.63</v>
      </c>
    </row>
    <row r="554" spans="30:31">
      <c r="AD554" s="3457">
        <v>-1349</v>
      </c>
      <c r="AE554" s="3457">
        <v>27.63</v>
      </c>
    </row>
    <row r="555" spans="30:31">
      <c r="AD555" s="3457">
        <v>-1350</v>
      </c>
      <c r="AE555" s="3457">
        <v>27.63</v>
      </c>
    </row>
    <row r="556" spans="30:31">
      <c r="AD556" s="3457">
        <v>-1351</v>
      </c>
      <c r="AE556" s="3457">
        <v>27.63</v>
      </c>
    </row>
    <row r="557" spans="30:31">
      <c r="AD557" s="3457">
        <v>-1352</v>
      </c>
      <c r="AE557" s="3457">
        <v>27.63</v>
      </c>
    </row>
    <row r="558" spans="30:31">
      <c r="AD558" s="3457">
        <v>-1353</v>
      </c>
      <c r="AE558" s="3457">
        <v>27.63</v>
      </c>
    </row>
    <row r="559" spans="30:31">
      <c r="AD559" s="3457">
        <v>-1354</v>
      </c>
      <c r="AE559" s="3457">
        <v>27.63</v>
      </c>
    </row>
    <row r="560" spans="30:31">
      <c r="AD560" s="3457">
        <v>-1355</v>
      </c>
      <c r="AE560" s="3457">
        <v>27.63</v>
      </c>
    </row>
    <row r="561" spans="30:31">
      <c r="AD561" s="3457">
        <v>-1356</v>
      </c>
      <c r="AE561" s="3457">
        <v>27.63</v>
      </c>
    </row>
    <row r="562" spans="30:31">
      <c r="AD562" s="3457">
        <v>-1357</v>
      </c>
      <c r="AE562" s="3457">
        <v>27.63</v>
      </c>
    </row>
    <row r="563" spans="30:31">
      <c r="AD563" s="3457">
        <v>-1358</v>
      </c>
      <c r="AE563" s="3457">
        <v>27.63</v>
      </c>
    </row>
    <row r="564" spans="30:31">
      <c r="AD564" s="3457">
        <v>-1359</v>
      </c>
      <c r="AE564" s="3457">
        <v>27.63</v>
      </c>
    </row>
    <row r="565" spans="30:31">
      <c r="AD565" s="3457">
        <v>-1360</v>
      </c>
      <c r="AE565" s="3457">
        <v>27.63</v>
      </c>
    </row>
    <row r="566" spans="30:31">
      <c r="AD566" s="3457">
        <v>-1361</v>
      </c>
      <c r="AE566" s="3457">
        <v>27.63</v>
      </c>
    </row>
    <row r="567" spans="30:31">
      <c r="AD567" s="3457">
        <v>-1362</v>
      </c>
      <c r="AE567" s="3457">
        <v>27.63</v>
      </c>
    </row>
    <row r="568" spans="30:31">
      <c r="AD568" s="3457">
        <v>-1363</v>
      </c>
      <c r="AE568" s="3457">
        <v>20.55</v>
      </c>
    </row>
    <row r="569" spans="30:31">
      <c r="AD569" s="3457">
        <v>-1364</v>
      </c>
      <c r="AE569" s="3457">
        <v>27.63</v>
      </c>
    </row>
    <row r="570" spans="30:31">
      <c r="AD570" s="3457">
        <v>-1365</v>
      </c>
      <c r="AE570" s="3457">
        <v>27.63</v>
      </c>
    </row>
    <row r="571" spans="30:31">
      <c r="AD571" s="3457">
        <v>-1366</v>
      </c>
      <c r="AE571" s="3457">
        <v>27.63</v>
      </c>
    </row>
    <row r="572" spans="30:31">
      <c r="AD572" s="3457">
        <v>-1367</v>
      </c>
      <c r="AE572" s="3457">
        <v>27.63</v>
      </c>
    </row>
    <row r="573" spans="30:31">
      <c r="AD573" s="3457">
        <v>-1368</v>
      </c>
      <c r="AE573" s="3457">
        <v>27.63</v>
      </c>
    </row>
    <row r="574" spans="30:31">
      <c r="AD574" s="3457">
        <v>-1369</v>
      </c>
      <c r="AE574" s="3457">
        <v>27.63</v>
      </c>
    </row>
    <row r="575" spans="30:31">
      <c r="AD575" s="3457">
        <v>-1370</v>
      </c>
      <c r="AE575" s="3457">
        <v>27.63</v>
      </c>
    </row>
    <row r="576" spans="30:31">
      <c r="AD576" s="3457">
        <v>-1371</v>
      </c>
      <c r="AE576" s="3457">
        <v>27.63</v>
      </c>
    </row>
    <row r="577" spans="30:31">
      <c r="AD577" s="3457">
        <v>-1372</v>
      </c>
      <c r="AE577" s="3457">
        <v>27.63</v>
      </c>
    </row>
    <row r="578" spans="30:31">
      <c r="AD578" s="3457">
        <v>-1373</v>
      </c>
      <c r="AE578" s="3457">
        <v>27.63</v>
      </c>
    </row>
    <row r="579" spans="30:31">
      <c r="AD579" s="3457">
        <v>-1374</v>
      </c>
      <c r="AE579" s="3457">
        <v>27.63</v>
      </c>
    </row>
    <row r="580" spans="30:31">
      <c r="AD580" s="3457">
        <v>-1375</v>
      </c>
      <c r="AE580" s="3457">
        <v>27.63</v>
      </c>
    </row>
    <row r="581" spans="30:31">
      <c r="AD581" s="3457">
        <v>-1376</v>
      </c>
      <c r="AE581" s="3457">
        <v>27.63</v>
      </c>
    </row>
    <row r="582" spans="30:31">
      <c r="AD582" s="3457">
        <v>-1377</v>
      </c>
      <c r="AE582" s="3457">
        <v>27.63</v>
      </c>
    </row>
    <row r="583" spans="30:31">
      <c r="AD583" s="3457">
        <v>-1378</v>
      </c>
      <c r="AE583" s="3457">
        <v>27.63</v>
      </c>
    </row>
    <row r="584" spans="30:31">
      <c r="AD584" s="3457">
        <v>-1379</v>
      </c>
      <c r="AE584" s="3457">
        <v>48.22</v>
      </c>
    </row>
    <row r="585" spans="30:31">
      <c r="AD585" s="3457">
        <v>-1380</v>
      </c>
      <c r="AE585" s="3457">
        <v>27.63</v>
      </c>
    </row>
    <row r="586" spans="30:31">
      <c r="AD586" s="3457">
        <v>-1381</v>
      </c>
      <c r="AE586" s="3457">
        <v>27.63</v>
      </c>
    </row>
    <row r="587" spans="30:31">
      <c r="AD587" s="3457">
        <v>-1382</v>
      </c>
      <c r="AE587" s="3457">
        <v>27.63</v>
      </c>
    </row>
    <row r="588" spans="30:31">
      <c r="AD588" s="3457">
        <v>-1383</v>
      </c>
      <c r="AE588" s="3457">
        <v>27.63</v>
      </c>
    </row>
    <row r="589" spans="30:31">
      <c r="AD589" s="3457">
        <v>-1384</v>
      </c>
      <c r="AE589" s="3457">
        <v>27.63</v>
      </c>
    </row>
    <row r="590" spans="30:31">
      <c r="AD590" s="3457">
        <v>-1385</v>
      </c>
      <c r="AE590" s="3457">
        <v>27.63</v>
      </c>
    </row>
    <row r="591" spans="30:31">
      <c r="AD591" s="3457">
        <v>-1386</v>
      </c>
      <c r="AE591" s="3457">
        <v>27.63</v>
      </c>
    </row>
    <row r="592" spans="30:31">
      <c r="AD592" s="3457">
        <v>-1387</v>
      </c>
      <c r="AE592" s="3457">
        <v>27.63</v>
      </c>
    </row>
    <row r="593" spans="30:31">
      <c r="AD593" s="3457">
        <v>-1388</v>
      </c>
      <c r="AE593" s="3457">
        <v>27.63</v>
      </c>
    </row>
    <row r="594" spans="30:31">
      <c r="AD594" s="3457">
        <v>-1389</v>
      </c>
      <c r="AE594" s="3457">
        <v>27.63</v>
      </c>
    </row>
    <row r="595" spans="30:31">
      <c r="AD595" s="3457">
        <v>-1390</v>
      </c>
      <c r="AE595" s="3457">
        <v>27.63</v>
      </c>
    </row>
    <row r="596" spans="30:31">
      <c r="AD596" s="3457">
        <v>-1391</v>
      </c>
      <c r="AE596" s="3457">
        <v>27.63</v>
      </c>
    </row>
    <row r="597" spans="30:31">
      <c r="AD597" s="3457">
        <v>-1392</v>
      </c>
      <c r="AE597" s="3457">
        <v>27.63</v>
      </c>
    </row>
    <row r="598" spans="30:31">
      <c r="AD598" s="3457">
        <v>-1393</v>
      </c>
      <c r="AE598" s="3457">
        <v>27.63</v>
      </c>
    </row>
    <row r="599" spans="30:31">
      <c r="AD599" s="3457">
        <v>-1394</v>
      </c>
      <c r="AE599" s="3457">
        <v>27.63</v>
      </c>
    </row>
    <row r="600" spans="30:31">
      <c r="AD600" s="3457">
        <v>-1395</v>
      </c>
      <c r="AE600" s="3457">
        <v>27.63</v>
      </c>
    </row>
    <row r="601" spans="30:31">
      <c r="AD601" s="3457">
        <v>-1396</v>
      </c>
      <c r="AE601" s="3457">
        <v>27.63</v>
      </c>
    </row>
    <row r="602" spans="30:31">
      <c r="AD602" s="3457">
        <v>-1397</v>
      </c>
      <c r="AE602" s="3457">
        <v>27.63</v>
      </c>
    </row>
    <row r="603" spans="30:31">
      <c r="AD603" s="3457">
        <v>-1398</v>
      </c>
      <c r="AE603" s="3457">
        <v>27.63</v>
      </c>
    </row>
    <row r="604" spans="30:31">
      <c r="AD604" s="3457">
        <v>-1399</v>
      </c>
      <c r="AE604" s="3457">
        <v>27.63</v>
      </c>
    </row>
    <row r="605" spans="30:31">
      <c r="AD605" s="3457">
        <v>-1400</v>
      </c>
      <c r="AE605" s="3457">
        <v>27.63</v>
      </c>
    </row>
    <row r="606" spans="30:31">
      <c r="AD606" s="3457">
        <v>-1401</v>
      </c>
      <c r="AE606" s="3457">
        <v>27.63</v>
      </c>
    </row>
    <row r="607" spans="30:31">
      <c r="AD607" s="3457">
        <v>-1402</v>
      </c>
      <c r="AE607" s="3457">
        <v>27.63</v>
      </c>
    </row>
    <row r="608" spans="30:31">
      <c r="AD608" s="3457">
        <v>-1403</v>
      </c>
      <c r="AE608" s="3457">
        <v>27.63</v>
      </c>
    </row>
    <row r="609" spans="30:31">
      <c r="AD609" s="3457">
        <v>-1404</v>
      </c>
      <c r="AE609" s="3457">
        <v>27.63</v>
      </c>
    </row>
    <row r="610" spans="30:31">
      <c r="AD610" s="3457">
        <v>-1405</v>
      </c>
      <c r="AE610" s="3457">
        <v>27.63</v>
      </c>
    </row>
    <row r="611" spans="30:31">
      <c r="AD611" s="3457">
        <v>-1406</v>
      </c>
      <c r="AE611" s="3457">
        <v>27.63</v>
      </c>
    </row>
    <row r="612" spans="30:31">
      <c r="AD612" s="3457">
        <v>-1407</v>
      </c>
      <c r="AE612" s="3457">
        <v>27.63</v>
      </c>
    </row>
    <row r="613" spans="30:31">
      <c r="AD613" s="3457">
        <v>-1408</v>
      </c>
      <c r="AE613" s="3457">
        <v>27.63</v>
      </c>
    </row>
    <row r="614" spans="30:31">
      <c r="AD614" s="3457">
        <v>-1409</v>
      </c>
      <c r="AE614" s="3457">
        <v>27.63</v>
      </c>
    </row>
    <row r="615" spans="30:31">
      <c r="AD615" s="3457">
        <v>-1410</v>
      </c>
      <c r="AE615" s="3457">
        <v>27.63</v>
      </c>
    </row>
    <row r="616" spans="30:31">
      <c r="AD616" s="3457">
        <v>-1411</v>
      </c>
      <c r="AE616" s="3457">
        <v>27.63</v>
      </c>
    </row>
    <row r="617" spans="30:31">
      <c r="AD617" s="3457">
        <v>-1412</v>
      </c>
      <c r="AE617" s="3457">
        <v>27.63</v>
      </c>
    </row>
    <row r="618" spans="30:31">
      <c r="AD618" s="3457">
        <v>-1413</v>
      </c>
      <c r="AE618" s="3457">
        <v>27.63</v>
      </c>
    </row>
    <row r="619" spans="30:31">
      <c r="AD619" s="3457">
        <v>-1414</v>
      </c>
      <c r="AE619" s="3457">
        <v>27.63</v>
      </c>
    </row>
    <row r="620" spans="30:31">
      <c r="AD620" s="3457">
        <v>-1415</v>
      </c>
      <c r="AE620" s="3457">
        <v>27.63</v>
      </c>
    </row>
    <row r="621" spans="30:31">
      <c r="AD621" s="3457">
        <v>-1416</v>
      </c>
      <c r="AE621" s="3457">
        <v>27.63</v>
      </c>
    </row>
    <row r="622" spans="30:31">
      <c r="AD622" s="3457">
        <v>-1417</v>
      </c>
      <c r="AE622" s="3457">
        <v>27.63</v>
      </c>
    </row>
    <row r="623" spans="30:31">
      <c r="AD623" s="3457">
        <v>-1418</v>
      </c>
      <c r="AE623" s="3457">
        <v>27.63</v>
      </c>
    </row>
    <row r="624" spans="30:31">
      <c r="AD624" s="3457">
        <v>-1419</v>
      </c>
      <c r="AE624" s="3457">
        <v>27.63</v>
      </c>
    </row>
    <row r="625" spans="30:31">
      <c r="AD625" s="3457">
        <v>-1420</v>
      </c>
      <c r="AE625" s="3457">
        <v>27.63</v>
      </c>
    </row>
    <row r="626" spans="30:31">
      <c r="AD626" s="3457">
        <v>-1421</v>
      </c>
      <c r="AE626" s="3457">
        <v>27.63</v>
      </c>
    </row>
    <row r="627" spans="30:31">
      <c r="AD627" s="3457">
        <v>-1422</v>
      </c>
      <c r="AE627" s="3457">
        <v>27.63</v>
      </c>
    </row>
    <row r="628" spans="30:31">
      <c r="AD628" s="3457">
        <v>-1423</v>
      </c>
      <c r="AE628" s="3457">
        <v>27.63</v>
      </c>
    </row>
    <row r="629" spans="30:31">
      <c r="AD629" s="3457">
        <v>-1424</v>
      </c>
      <c r="AE629" s="3457">
        <v>27.63</v>
      </c>
    </row>
    <row r="630" spans="30:31">
      <c r="AD630" s="3457">
        <v>-1425</v>
      </c>
      <c r="AE630" s="3457">
        <v>27.63</v>
      </c>
    </row>
    <row r="631" spans="30:31">
      <c r="AD631" s="3457">
        <v>-1426</v>
      </c>
      <c r="AE631" s="3457">
        <v>27.63</v>
      </c>
    </row>
    <row r="632" spans="30:31">
      <c r="AD632" s="3457">
        <v>-1427</v>
      </c>
      <c r="AE632" s="3457">
        <v>27.63</v>
      </c>
    </row>
    <row r="633" spans="30:31">
      <c r="AD633" s="3457">
        <v>-1428</v>
      </c>
      <c r="AE633" s="3457">
        <v>27.63</v>
      </c>
    </row>
    <row r="634" spans="30:31">
      <c r="AD634" s="3457">
        <v>-1429</v>
      </c>
      <c r="AE634" s="3457">
        <v>27.63</v>
      </c>
    </row>
    <row r="635" spans="30:31">
      <c r="AD635" s="3457">
        <v>-1430</v>
      </c>
      <c r="AE635" s="3457">
        <v>27.63</v>
      </c>
    </row>
    <row r="636" spans="30:31">
      <c r="AD636" s="3457">
        <v>-1431</v>
      </c>
      <c r="AE636" s="3457">
        <v>27.63</v>
      </c>
    </row>
    <row r="637" spans="30:31">
      <c r="AD637" s="3457">
        <v>-1432</v>
      </c>
      <c r="AE637" s="3457">
        <v>27.63</v>
      </c>
    </row>
    <row r="638" spans="30:31">
      <c r="AD638" s="3457">
        <v>-1433</v>
      </c>
      <c r="AE638" s="3457">
        <v>27.63</v>
      </c>
    </row>
    <row r="639" spans="30:31">
      <c r="AD639" s="3457">
        <v>-1434</v>
      </c>
      <c r="AE639" s="3457">
        <v>27.63</v>
      </c>
    </row>
    <row r="640" spans="30:31">
      <c r="AD640" s="3457">
        <v>-1435</v>
      </c>
      <c r="AE640" s="3457">
        <v>27.63</v>
      </c>
    </row>
    <row r="641" spans="30:31">
      <c r="AD641" s="3457">
        <v>-1436</v>
      </c>
      <c r="AE641" s="3457">
        <v>27.63</v>
      </c>
    </row>
    <row r="642" spans="30:31">
      <c r="AD642" s="3457">
        <v>-1437</v>
      </c>
      <c r="AE642" s="3457">
        <v>27.63</v>
      </c>
    </row>
    <row r="643" spans="30:31">
      <c r="AD643" s="3457">
        <v>-1438</v>
      </c>
      <c r="AE643" s="3457">
        <v>27.63</v>
      </c>
    </row>
    <row r="644" spans="30:31">
      <c r="AD644" s="3457">
        <v>-1439</v>
      </c>
      <c r="AE644" s="3457">
        <v>27.63</v>
      </c>
    </row>
    <row r="645" spans="30:31">
      <c r="AD645" s="3457">
        <v>-1440</v>
      </c>
      <c r="AE645" s="3457">
        <v>27.63</v>
      </c>
    </row>
    <row r="646" spans="30:31">
      <c r="AD646" s="3457">
        <v>-1441</v>
      </c>
      <c r="AE646" s="3457">
        <v>27.63</v>
      </c>
    </row>
    <row r="647" spans="30:31">
      <c r="AD647" s="3457">
        <v>-1442</v>
      </c>
      <c r="AE647" s="3457">
        <v>27.63</v>
      </c>
    </row>
    <row r="648" spans="30:31">
      <c r="AD648" s="3457">
        <v>-1443</v>
      </c>
      <c r="AE648" s="3457">
        <v>27.63</v>
      </c>
    </row>
    <row r="649" spans="30:31">
      <c r="AD649" s="3457">
        <v>-1444</v>
      </c>
      <c r="AE649" s="3457">
        <v>27.63</v>
      </c>
    </row>
    <row r="650" spans="30:31">
      <c r="AD650" s="3457">
        <v>-1445</v>
      </c>
      <c r="AE650" s="3457">
        <v>27.63</v>
      </c>
    </row>
    <row r="651" spans="30:31">
      <c r="AD651" s="3457">
        <v>-1446</v>
      </c>
      <c r="AE651" s="3457">
        <v>27.63</v>
      </c>
    </row>
    <row r="652" spans="30:31">
      <c r="AD652" s="3457">
        <v>-1447</v>
      </c>
      <c r="AE652" s="3457">
        <v>27.63</v>
      </c>
    </row>
    <row r="653" spans="30:31">
      <c r="AD653" s="3457">
        <v>-1448</v>
      </c>
      <c r="AE653" s="3457">
        <v>27.63</v>
      </c>
    </row>
    <row r="654" spans="30:31">
      <c r="AD654" s="3457">
        <v>-1449</v>
      </c>
      <c r="AE654" s="3457">
        <v>27.63</v>
      </c>
    </row>
    <row r="655" spans="30:31">
      <c r="AD655" s="3457">
        <v>-1450</v>
      </c>
      <c r="AE655" s="3457">
        <v>27.63</v>
      </c>
    </row>
    <row r="656" spans="30:31">
      <c r="AD656" s="3457">
        <v>-1451</v>
      </c>
      <c r="AE656" s="3457">
        <v>27.63</v>
      </c>
    </row>
    <row r="657" spans="30:31">
      <c r="AD657" s="3457">
        <v>-1452</v>
      </c>
      <c r="AE657" s="3457">
        <v>27.63</v>
      </c>
    </row>
    <row r="658" spans="30:31">
      <c r="AD658" s="3457">
        <v>-1453</v>
      </c>
      <c r="AE658" s="3457">
        <v>27.63</v>
      </c>
    </row>
    <row r="659" spans="30:31">
      <c r="AD659" s="3457">
        <v>-1454</v>
      </c>
      <c r="AE659" s="3457">
        <v>27.63</v>
      </c>
    </row>
    <row r="660" spans="30:31">
      <c r="AD660" s="3457">
        <v>-1455</v>
      </c>
      <c r="AE660" s="3457">
        <v>27.63</v>
      </c>
    </row>
    <row r="661" spans="30:31">
      <c r="AD661" s="3457">
        <v>-1456</v>
      </c>
      <c r="AE661" s="3457">
        <v>27.63</v>
      </c>
    </row>
    <row r="662" spans="30:31">
      <c r="AD662" s="3457">
        <v>-1457</v>
      </c>
      <c r="AE662" s="3457">
        <v>27.63</v>
      </c>
    </row>
    <row r="663" spans="30:31">
      <c r="AD663" s="3457">
        <v>-1458</v>
      </c>
      <c r="AE663" s="3457">
        <v>27.63</v>
      </c>
    </row>
    <row r="664" spans="30:31">
      <c r="AD664" s="3457">
        <v>-1459</v>
      </c>
      <c r="AE664" s="3457">
        <v>27.63</v>
      </c>
    </row>
    <row r="665" spans="30:31">
      <c r="AD665" s="3457">
        <v>-1460</v>
      </c>
      <c r="AE665" s="3457">
        <v>27.63</v>
      </c>
    </row>
    <row r="666" spans="30:31">
      <c r="AD666" s="3457">
        <v>-1461</v>
      </c>
      <c r="AE666" s="3457">
        <v>27.63</v>
      </c>
    </row>
    <row r="667" spans="30:31">
      <c r="AD667" s="3457">
        <v>-1462</v>
      </c>
      <c r="AE667" s="3457">
        <v>27.63</v>
      </c>
    </row>
    <row r="668" spans="30:31">
      <c r="AD668" s="3457">
        <v>-1463</v>
      </c>
      <c r="AE668" s="3457">
        <v>27.63</v>
      </c>
    </row>
    <row r="669" spans="30:31">
      <c r="AD669" s="3457">
        <v>-1464</v>
      </c>
      <c r="AE669" s="3457">
        <v>27.63</v>
      </c>
    </row>
    <row r="670" spans="30:31">
      <c r="AD670" s="3457">
        <v>-1465</v>
      </c>
      <c r="AE670" s="3457">
        <v>27.63</v>
      </c>
    </row>
    <row r="671" spans="30:31">
      <c r="AD671" s="3457">
        <v>-1466</v>
      </c>
      <c r="AE671" s="3457">
        <v>27.63</v>
      </c>
    </row>
    <row r="672" spans="30:31">
      <c r="AD672" s="3457">
        <v>-1467</v>
      </c>
      <c r="AE672" s="3457">
        <v>27.63</v>
      </c>
    </row>
    <row r="673" spans="30:31">
      <c r="AD673" s="3457">
        <v>-1468</v>
      </c>
      <c r="AE673" s="3457">
        <v>27.63</v>
      </c>
    </row>
    <row r="674" spans="30:31">
      <c r="AD674" s="3457">
        <v>-1469</v>
      </c>
      <c r="AE674" s="3457">
        <v>27.63</v>
      </c>
    </row>
    <row r="675" spans="30:31">
      <c r="AD675" s="3457">
        <v>-1470</v>
      </c>
      <c r="AE675" s="3457">
        <v>27.63</v>
      </c>
    </row>
    <row r="676" spans="30:31">
      <c r="AD676" s="3457">
        <v>-1471</v>
      </c>
      <c r="AE676" s="3457">
        <v>27.63</v>
      </c>
    </row>
    <row r="677" spans="30:31">
      <c r="AD677" s="3457">
        <v>-1472</v>
      </c>
      <c r="AE677" s="3457">
        <v>27.63</v>
      </c>
    </row>
    <row r="678" spans="30:31">
      <c r="AD678" s="3457">
        <v>-1473</v>
      </c>
      <c r="AE678" s="3457">
        <v>27.63</v>
      </c>
    </row>
    <row r="679" spans="30:31">
      <c r="AD679" s="3457">
        <v>-1474</v>
      </c>
      <c r="AE679" s="3457">
        <v>27.63</v>
      </c>
    </row>
    <row r="680" spans="30:31">
      <c r="AD680" s="3457">
        <v>-1475</v>
      </c>
      <c r="AE680" s="3457">
        <v>27.63</v>
      </c>
    </row>
    <row r="681" spans="30:31">
      <c r="AD681" s="3457">
        <v>-1476</v>
      </c>
      <c r="AE681" s="3457">
        <v>27.63</v>
      </c>
    </row>
    <row r="682" spans="30:31">
      <c r="AD682" s="3457">
        <v>-1477</v>
      </c>
      <c r="AE682" s="3457">
        <v>27.63</v>
      </c>
    </row>
    <row r="683" spans="30:31">
      <c r="AD683" s="3457">
        <v>-1478</v>
      </c>
      <c r="AE683" s="3457">
        <v>27.63</v>
      </c>
    </row>
    <row r="684" spans="30:31">
      <c r="AD684" s="3457">
        <v>-1479</v>
      </c>
      <c r="AE684" s="3457">
        <v>27.63</v>
      </c>
    </row>
    <row r="685" spans="30:31">
      <c r="AD685" s="3457">
        <v>-1480</v>
      </c>
      <c r="AE685" s="3457">
        <v>27.63</v>
      </c>
    </row>
    <row r="686" spans="30:31">
      <c r="AD686" s="3457">
        <v>-1481</v>
      </c>
      <c r="AE686" s="3457">
        <v>27.63</v>
      </c>
    </row>
    <row r="687" spans="30:31">
      <c r="AD687" s="3457">
        <v>-1482</v>
      </c>
      <c r="AE687" s="3457">
        <v>27.63</v>
      </c>
    </row>
    <row r="688" spans="30:31">
      <c r="AD688" s="3457">
        <v>-1483</v>
      </c>
      <c r="AE688" s="3457">
        <v>27.63</v>
      </c>
    </row>
    <row r="689" spans="30:31">
      <c r="AD689" s="3457">
        <v>-1484</v>
      </c>
      <c r="AE689" s="3457">
        <v>27.63</v>
      </c>
    </row>
    <row r="690" spans="30:31">
      <c r="AD690" s="3457">
        <v>-1485</v>
      </c>
      <c r="AE690" s="3457">
        <v>27.63</v>
      </c>
    </row>
    <row r="691" spans="30:31">
      <c r="AD691" s="3457">
        <v>-1486</v>
      </c>
      <c r="AE691" s="3457">
        <v>27.63</v>
      </c>
    </row>
    <row r="692" spans="30:31">
      <c r="AD692" s="3457">
        <v>-1487</v>
      </c>
      <c r="AE692" s="3457">
        <v>27.63</v>
      </c>
    </row>
    <row r="693" spans="30:31">
      <c r="AD693" s="3457">
        <v>-1488</v>
      </c>
      <c r="AE693" s="3457">
        <v>27.63</v>
      </c>
    </row>
    <row r="694" spans="30:31">
      <c r="AD694" s="3457">
        <v>-1489</v>
      </c>
      <c r="AE694" s="3457">
        <v>27.63</v>
      </c>
    </row>
    <row r="695" spans="30:31">
      <c r="AD695" s="3457">
        <v>-1490</v>
      </c>
      <c r="AE695" s="3457">
        <v>27.63</v>
      </c>
    </row>
    <row r="696" spans="30:31">
      <c r="AD696" s="3457">
        <v>-1491</v>
      </c>
      <c r="AE696" s="3457">
        <v>27.63</v>
      </c>
    </row>
    <row r="697" spans="30:31">
      <c r="AD697" s="3457">
        <v>-1492</v>
      </c>
      <c r="AE697" s="3457">
        <v>27.63</v>
      </c>
    </row>
    <row r="698" spans="30:31">
      <c r="AD698" s="3457">
        <v>-1493</v>
      </c>
      <c r="AE698" s="3457">
        <v>27.63</v>
      </c>
    </row>
    <row r="699" spans="30:31">
      <c r="AD699" s="3457">
        <v>-1494</v>
      </c>
      <c r="AE699" s="3457">
        <v>27.63</v>
      </c>
    </row>
    <row r="700" spans="30:31">
      <c r="AD700" s="3457">
        <v>-1495</v>
      </c>
      <c r="AE700" s="3457">
        <v>27.63</v>
      </c>
    </row>
    <row r="701" spans="30:31">
      <c r="AD701" s="3457">
        <v>-1496</v>
      </c>
      <c r="AE701" s="3457">
        <v>27.63</v>
      </c>
    </row>
    <row r="702" spans="30:31">
      <c r="AD702" s="3457">
        <v>-1497</v>
      </c>
      <c r="AE702" s="3457">
        <v>27.63</v>
      </c>
    </row>
    <row r="703" spans="30:31">
      <c r="AD703" s="3457">
        <v>-1498</v>
      </c>
      <c r="AE703" s="3457">
        <v>27.63</v>
      </c>
    </row>
    <row r="704" spans="30:31">
      <c r="AD704" s="3457">
        <v>-1499</v>
      </c>
      <c r="AE704" s="3457">
        <v>27.63</v>
      </c>
    </row>
    <row r="705" spans="30:31">
      <c r="AD705" s="3457">
        <v>-1500</v>
      </c>
      <c r="AE705" s="3457">
        <v>27.63</v>
      </c>
    </row>
    <row r="706" spans="30:31">
      <c r="AD706" s="3457">
        <v>-1501</v>
      </c>
      <c r="AE706" s="3457">
        <v>27.63</v>
      </c>
    </row>
    <row r="707" spans="30:31">
      <c r="AD707" s="3457">
        <v>-1502</v>
      </c>
      <c r="AE707" s="3457">
        <v>27.63</v>
      </c>
    </row>
    <row r="708" spans="30:31">
      <c r="AD708" s="3457">
        <v>-1503</v>
      </c>
      <c r="AE708" s="3457">
        <v>27.63</v>
      </c>
    </row>
    <row r="709" spans="30:31">
      <c r="AD709" s="3457">
        <v>-1504</v>
      </c>
      <c r="AE709" s="3457">
        <v>27.63</v>
      </c>
    </row>
    <row r="710" spans="30:31">
      <c r="AD710" s="3457">
        <v>-1505</v>
      </c>
      <c r="AE710" s="3457">
        <v>27.63</v>
      </c>
    </row>
    <row r="711" spans="30:31">
      <c r="AD711" s="3457">
        <v>-1506</v>
      </c>
      <c r="AE711" s="3457">
        <v>27.63</v>
      </c>
    </row>
    <row r="712" spans="30:31">
      <c r="AD712" s="3457">
        <v>-1507</v>
      </c>
      <c r="AE712" s="3457">
        <v>27.63</v>
      </c>
    </row>
    <row r="713" spans="30:31">
      <c r="AD713" s="3457">
        <v>-1508</v>
      </c>
      <c r="AE713" s="3457">
        <v>27.63</v>
      </c>
    </row>
    <row r="714" spans="30:31">
      <c r="AD714" s="3457">
        <v>-1509</v>
      </c>
      <c r="AE714" s="3457">
        <v>27.63</v>
      </c>
    </row>
    <row r="715" spans="30:31">
      <c r="AD715" s="3457">
        <v>-1510</v>
      </c>
      <c r="AE715" s="3457">
        <v>27.63</v>
      </c>
    </row>
    <row r="716" spans="30:31">
      <c r="AD716" s="3457">
        <v>-1511</v>
      </c>
      <c r="AE716" s="3457">
        <v>27.63</v>
      </c>
    </row>
    <row r="717" spans="30:31">
      <c r="AD717" s="3457">
        <v>-1512</v>
      </c>
      <c r="AE717" s="3457">
        <v>27.63</v>
      </c>
    </row>
    <row r="718" spans="30:31">
      <c r="AD718" s="3457">
        <v>-1513</v>
      </c>
      <c r="AE718" s="3457">
        <v>27.63</v>
      </c>
    </row>
    <row r="719" spans="30:31">
      <c r="AD719" s="3457">
        <v>-1514</v>
      </c>
      <c r="AE719" s="3457">
        <v>27.63</v>
      </c>
    </row>
    <row r="720" spans="30:31">
      <c r="AD720" s="3457">
        <v>-1515</v>
      </c>
      <c r="AE720" s="3457">
        <v>27.63</v>
      </c>
    </row>
    <row r="721" spans="30:31">
      <c r="AD721" s="3457">
        <v>-1516</v>
      </c>
      <c r="AE721" s="3457">
        <v>27.63</v>
      </c>
    </row>
    <row r="722" spans="30:31">
      <c r="AD722" s="3457">
        <v>-1517</v>
      </c>
      <c r="AE722" s="3457">
        <v>27.63</v>
      </c>
    </row>
    <row r="723" spans="30:31">
      <c r="AD723" s="3457">
        <v>-1518</v>
      </c>
      <c r="AE723" s="3457">
        <v>27.63</v>
      </c>
    </row>
    <row r="724" spans="30:31">
      <c r="AD724" s="3457">
        <v>-1519</v>
      </c>
      <c r="AE724" s="3457">
        <v>27.63</v>
      </c>
    </row>
    <row r="725" spans="30:31">
      <c r="AD725" s="3457">
        <v>-1520</v>
      </c>
      <c r="AE725" s="3457">
        <v>27.63</v>
      </c>
    </row>
    <row r="726" spans="30:31">
      <c r="AD726" s="3457">
        <v>-1521</v>
      </c>
      <c r="AE726" s="3457">
        <v>27.63</v>
      </c>
    </row>
    <row r="727" spans="30:31">
      <c r="AD727" s="3457">
        <v>-1522</v>
      </c>
      <c r="AE727" s="3457">
        <v>27.63</v>
      </c>
    </row>
    <row r="728" spans="30:31">
      <c r="AD728" s="3457">
        <v>-1523</v>
      </c>
      <c r="AE728" s="3457">
        <v>27.63</v>
      </c>
    </row>
    <row r="729" spans="30:31">
      <c r="AD729" s="3457">
        <v>-1524</v>
      </c>
      <c r="AE729" s="3457">
        <v>27.63</v>
      </c>
    </row>
    <row r="730" spans="30:31">
      <c r="AD730" s="3457">
        <v>-1525</v>
      </c>
      <c r="AE730" s="3457">
        <v>27.63</v>
      </c>
    </row>
    <row r="731" spans="30:31">
      <c r="AD731" s="3457">
        <v>-1526</v>
      </c>
      <c r="AE731" s="3457">
        <v>27.63</v>
      </c>
    </row>
    <row r="732" spans="30:31">
      <c r="AD732" s="3457">
        <v>-1527</v>
      </c>
      <c r="AE732" s="3457">
        <v>27.63</v>
      </c>
    </row>
    <row r="733" spans="30:31">
      <c r="AD733" s="3457">
        <v>-1528</v>
      </c>
      <c r="AE733" s="3457">
        <v>27.63</v>
      </c>
    </row>
    <row r="734" spans="30:31">
      <c r="AD734" s="3457">
        <v>-1529</v>
      </c>
      <c r="AE734" s="3457">
        <v>27.63</v>
      </c>
    </row>
    <row r="735" spans="30:31">
      <c r="AD735" s="3457">
        <v>-1530</v>
      </c>
      <c r="AE735" s="3457">
        <v>27.63</v>
      </c>
    </row>
    <row r="736" spans="30:31">
      <c r="AD736" s="3457">
        <v>-1531</v>
      </c>
      <c r="AE736" s="3457">
        <v>27.63</v>
      </c>
    </row>
    <row r="737" spans="30:31">
      <c r="AD737" s="3457">
        <v>-1532</v>
      </c>
      <c r="AE737" s="3457">
        <v>27.63</v>
      </c>
    </row>
    <row r="738" spans="30:31">
      <c r="AD738" s="3457">
        <v>-1533</v>
      </c>
      <c r="AE738" s="3457">
        <v>27.63</v>
      </c>
    </row>
    <row r="739" spans="30:31">
      <c r="AD739" s="3457">
        <v>-1534</v>
      </c>
      <c r="AE739" s="3457">
        <v>27.63</v>
      </c>
    </row>
    <row r="740" spans="30:31">
      <c r="AD740" s="3457">
        <v>-1535</v>
      </c>
      <c r="AE740" s="3457">
        <v>27.63</v>
      </c>
    </row>
    <row r="741" spans="30:31">
      <c r="AD741" s="3457">
        <v>-1536</v>
      </c>
      <c r="AE741" s="3457">
        <v>27.63</v>
      </c>
    </row>
    <row r="742" spans="30:31">
      <c r="AD742" s="3457">
        <v>-1537</v>
      </c>
      <c r="AE742" s="3457">
        <v>27.63</v>
      </c>
    </row>
    <row r="743" spans="30:31">
      <c r="AD743" s="3457">
        <v>-1538</v>
      </c>
      <c r="AE743" s="3457">
        <v>27.63</v>
      </c>
    </row>
    <row r="744" spans="30:31">
      <c r="AD744" s="3457">
        <v>-1539</v>
      </c>
      <c r="AE744" s="3457">
        <v>27.63</v>
      </c>
    </row>
    <row r="745" spans="30:31">
      <c r="AD745" s="3457">
        <v>-1540</v>
      </c>
      <c r="AE745" s="3457">
        <v>27.63</v>
      </c>
    </row>
    <row r="746" spans="30:31">
      <c r="AD746" s="3457">
        <v>-1541</v>
      </c>
      <c r="AE746" s="3457">
        <v>27.63</v>
      </c>
    </row>
    <row r="747" spans="30:31">
      <c r="AD747" s="3457">
        <v>-1542</v>
      </c>
      <c r="AE747" s="3457">
        <v>27.63</v>
      </c>
    </row>
    <row r="748" spans="30:31">
      <c r="AD748" s="3457">
        <v>-1543</v>
      </c>
      <c r="AE748" s="3457">
        <v>27.63</v>
      </c>
    </row>
    <row r="749" spans="30:31">
      <c r="AD749" s="3457">
        <v>-1544</v>
      </c>
      <c r="AE749" s="3457">
        <v>27.63</v>
      </c>
    </row>
    <row r="750" spans="30:31">
      <c r="AD750" s="3457">
        <v>-1545</v>
      </c>
      <c r="AE750" s="3457">
        <v>27.63</v>
      </c>
    </row>
    <row r="751" spans="30:31">
      <c r="AD751" s="3457">
        <v>-1546</v>
      </c>
      <c r="AE751" s="3457">
        <v>27.63</v>
      </c>
    </row>
    <row r="752" spans="30:31">
      <c r="AD752" s="3457">
        <v>-1547</v>
      </c>
      <c r="AE752" s="3457">
        <v>27.63</v>
      </c>
    </row>
    <row r="753" spans="30:31">
      <c r="AD753" s="3457">
        <v>-1548</v>
      </c>
      <c r="AE753" s="3457">
        <v>27.63</v>
      </c>
    </row>
    <row r="754" spans="30:31">
      <c r="AD754" s="3457">
        <v>-1549</v>
      </c>
      <c r="AE754" s="3457">
        <v>27.63</v>
      </c>
    </row>
    <row r="755" spans="30:31">
      <c r="AD755" s="3457">
        <v>-1550</v>
      </c>
      <c r="AE755" s="3457">
        <v>27.63</v>
      </c>
    </row>
    <row r="756" spans="30:31">
      <c r="AD756" s="3457">
        <v>-1551</v>
      </c>
      <c r="AE756" s="3457">
        <v>27.63</v>
      </c>
    </row>
    <row r="757" spans="30:31">
      <c r="AD757" s="3457">
        <v>-1552</v>
      </c>
      <c r="AE757" s="3457">
        <v>27.63</v>
      </c>
    </row>
    <row r="758" spans="30:31">
      <c r="AD758" s="3457">
        <v>-1553</v>
      </c>
      <c r="AE758" s="3457">
        <v>27.63</v>
      </c>
    </row>
    <row r="759" spans="30:31">
      <c r="AD759" s="3457">
        <v>-1554</v>
      </c>
      <c r="AE759" s="3457">
        <v>27.63</v>
      </c>
    </row>
    <row r="760" spans="30:31">
      <c r="AD760" s="3457">
        <v>-1555</v>
      </c>
      <c r="AE760" s="3457">
        <v>27.63</v>
      </c>
    </row>
    <row r="761" spans="30:31">
      <c r="AD761" s="3457">
        <v>-1556</v>
      </c>
      <c r="AE761" s="3457">
        <v>27.63</v>
      </c>
    </row>
    <row r="762" spans="30:31">
      <c r="AD762" s="3457">
        <v>-1557</v>
      </c>
      <c r="AE762" s="3457">
        <v>27.63</v>
      </c>
    </row>
    <row r="763" spans="30:31">
      <c r="AD763" s="3457">
        <v>-1558</v>
      </c>
      <c r="AE763" s="3457">
        <v>27.63</v>
      </c>
    </row>
    <row r="764" spans="30:31">
      <c r="AD764" s="3457">
        <v>-1559</v>
      </c>
      <c r="AE764" s="3457">
        <v>27.63</v>
      </c>
    </row>
    <row r="765" spans="30:31">
      <c r="AD765" s="3457">
        <v>-1560</v>
      </c>
      <c r="AE765" s="3457">
        <v>27.63</v>
      </c>
    </row>
    <row r="766" spans="30:31">
      <c r="AD766" s="3457">
        <v>-1561</v>
      </c>
      <c r="AE766" s="3457">
        <v>27.63</v>
      </c>
    </row>
    <row r="767" spans="30:31">
      <c r="AD767" s="3457">
        <v>-1562</v>
      </c>
      <c r="AE767" s="3457">
        <v>27.63</v>
      </c>
    </row>
    <row r="768" spans="30:31">
      <c r="AD768" s="3457">
        <v>-1563</v>
      </c>
      <c r="AE768" s="3457">
        <v>27.63</v>
      </c>
    </row>
    <row r="769" spans="30:31">
      <c r="AD769" s="3457">
        <v>-1564</v>
      </c>
      <c r="AE769" s="3457">
        <v>27.63</v>
      </c>
    </row>
    <row r="770" spans="30:31">
      <c r="AD770" s="3457">
        <v>-1565</v>
      </c>
      <c r="AE770" s="3457">
        <v>27.63</v>
      </c>
    </row>
    <row r="771" spans="30:31">
      <c r="AD771" s="3457">
        <v>-1566</v>
      </c>
      <c r="AE771" s="3457">
        <v>27.63</v>
      </c>
    </row>
    <row r="772" spans="30:31">
      <c r="AD772" s="3457">
        <v>-1567</v>
      </c>
      <c r="AE772" s="3457">
        <v>27.63</v>
      </c>
    </row>
    <row r="773" spans="30:31">
      <c r="AD773" s="3457">
        <v>-1568</v>
      </c>
      <c r="AE773" s="3457">
        <v>27.63</v>
      </c>
    </row>
    <row r="774" spans="30:31">
      <c r="AD774" s="3457">
        <v>-1569</v>
      </c>
      <c r="AE774" s="3457">
        <v>27.63</v>
      </c>
    </row>
    <row r="775" spans="30:31">
      <c r="AD775" s="3457">
        <v>-1570</v>
      </c>
      <c r="AE775" s="3457">
        <v>27.63</v>
      </c>
    </row>
    <row r="776" spans="30:31">
      <c r="AD776" s="3457">
        <v>-1571</v>
      </c>
      <c r="AE776" s="3457">
        <v>27.63</v>
      </c>
    </row>
    <row r="777" spans="30:31">
      <c r="AD777" s="3457">
        <v>-1572</v>
      </c>
      <c r="AE777" s="3457">
        <v>27.63</v>
      </c>
    </row>
    <row r="778" spans="30:31">
      <c r="AD778" s="3457">
        <v>-1573</v>
      </c>
      <c r="AE778" s="3457">
        <v>27.63</v>
      </c>
    </row>
    <row r="779" spans="30:31">
      <c r="AD779" s="3457">
        <v>-1574</v>
      </c>
      <c r="AE779" s="3457">
        <v>27.63</v>
      </c>
    </row>
    <row r="780" spans="30:31">
      <c r="AD780" s="3457">
        <v>-1575</v>
      </c>
      <c r="AE780" s="3457">
        <v>27.63</v>
      </c>
    </row>
    <row r="781" spans="30:31">
      <c r="AD781" s="3457">
        <v>-1576</v>
      </c>
      <c r="AE781" s="3457">
        <v>48.22</v>
      </c>
    </row>
    <row r="782" spans="30:31">
      <c r="AD782" s="3457">
        <v>-1577</v>
      </c>
      <c r="AE782" s="3457">
        <v>27.63</v>
      </c>
    </row>
    <row r="783" spans="30:31">
      <c r="AD783" s="3457">
        <v>-1578</v>
      </c>
      <c r="AE783" s="3457">
        <v>27.63</v>
      </c>
    </row>
    <row r="784" spans="30:31">
      <c r="AD784" s="3457">
        <v>-1579</v>
      </c>
      <c r="AE784" s="3457">
        <v>27.63</v>
      </c>
    </row>
    <row r="785" spans="30:31">
      <c r="AD785" s="3457">
        <v>-1580</v>
      </c>
      <c r="AE785" s="3457">
        <v>27.63</v>
      </c>
    </row>
    <row r="786" spans="30:31">
      <c r="AD786" s="3457">
        <v>-1581</v>
      </c>
      <c r="AE786" s="3457">
        <v>48.2</v>
      </c>
    </row>
    <row r="787" spans="30:31">
      <c r="AD787" s="3457">
        <v>-1582</v>
      </c>
      <c r="AE787" s="3457">
        <v>27.63</v>
      </c>
    </row>
    <row r="788" spans="30:31">
      <c r="AD788" s="3457">
        <v>-1583</v>
      </c>
      <c r="AE788" s="3457">
        <v>27.63</v>
      </c>
    </row>
    <row r="789" spans="30:31">
      <c r="AD789" s="3457">
        <v>-1584</v>
      </c>
      <c r="AE789" s="3457">
        <v>48.2</v>
      </c>
    </row>
    <row r="790" spans="30:31">
      <c r="AD790" s="3457">
        <v>-1585</v>
      </c>
      <c r="AE790" s="3457">
        <v>27.63</v>
      </c>
    </row>
    <row r="791" spans="30:31">
      <c r="AD791" s="3457">
        <v>-1586</v>
      </c>
      <c r="AE791" s="3457">
        <v>27.63</v>
      </c>
    </row>
    <row r="792" spans="30:31">
      <c r="AD792" s="3457">
        <v>-1587</v>
      </c>
      <c r="AE792" s="3457">
        <v>27.63</v>
      </c>
    </row>
    <row r="793" spans="30:31">
      <c r="AD793" s="3457">
        <v>-1588</v>
      </c>
      <c r="AE793" s="3457">
        <v>27.63</v>
      </c>
    </row>
  </sheetData>
  <mergeCells count="30">
    <mergeCell ref="L16:M16"/>
    <mergeCell ref="B16:C16"/>
    <mergeCell ref="D16:E16"/>
    <mergeCell ref="F16:G16"/>
    <mergeCell ref="H16:I16"/>
    <mergeCell ref="J16:K16"/>
    <mergeCell ref="Z16:AA16"/>
    <mergeCell ref="AB16:AC16"/>
    <mergeCell ref="AD16:AE16"/>
    <mergeCell ref="B15:C15"/>
    <mergeCell ref="D15:E15"/>
    <mergeCell ref="F15:G15"/>
    <mergeCell ref="H15:I15"/>
    <mergeCell ref="J15:K15"/>
    <mergeCell ref="L15:M15"/>
    <mergeCell ref="N15:O15"/>
    <mergeCell ref="N16:O16"/>
    <mergeCell ref="P16:Q16"/>
    <mergeCell ref="R16:S16"/>
    <mergeCell ref="T16:U16"/>
    <mergeCell ref="V16:W16"/>
    <mergeCell ref="X16:Y16"/>
    <mergeCell ref="AB15:AC15"/>
    <mergeCell ref="AD15:AE15"/>
    <mergeCell ref="P15:Q15"/>
    <mergeCell ref="R15:S15"/>
    <mergeCell ref="T15:U15"/>
    <mergeCell ref="V15:W15"/>
    <mergeCell ref="X15:Y15"/>
    <mergeCell ref="Z15:AA15"/>
  </mergeCells>
  <phoneticPr fontId="134" type="noConversion"/>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18"/>
  <sheetViews>
    <sheetView tabSelected="1" topLeftCell="D185" zoomScale="130" zoomScaleNormal="130" workbookViewId="0">
      <selection activeCell="I198" sqref="I198"/>
    </sheetView>
  </sheetViews>
  <sheetFormatPr defaultRowHeight="13.5"/>
  <cols>
    <col min="3" max="3" width="18.875" bestFit="1" customWidth="1"/>
    <col min="4" max="4" width="11.875" customWidth="1"/>
    <col min="5" max="5" width="14.75" customWidth="1"/>
    <col min="6" max="6" width="10.875" customWidth="1"/>
    <col min="9" max="9" width="21.25" customWidth="1"/>
    <col min="10" max="11" width="12" customWidth="1"/>
    <col min="12" max="12" width="11.75" customWidth="1"/>
  </cols>
  <sheetData>
    <row r="2" spans="2:12" ht="14.25" thickBot="1"/>
    <row r="3" spans="2:12" ht="14.25" thickBot="1">
      <c r="B3" s="3585" t="s">
        <v>5009</v>
      </c>
      <c r="C3" s="3586"/>
      <c r="D3" s="3586"/>
      <c r="E3" s="3586"/>
      <c r="F3" s="3587"/>
      <c r="H3" s="3585" t="s">
        <v>4791</v>
      </c>
      <c r="I3" s="3586"/>
      <c r="J3" s="3586"/>
      <c r="K3" s="3586"/>
      <c r="L3" s="3587"/>
    </row>
    <row r="4" spans="2:12" ht="23.25" customHeight="1" thickBot="1">
      <c r="B4" s="3485" t="s">
        <v>3573</v>
      </c>
      <c r="C4" s="3486" t="s">
        <v>4973</v>
      </c>
      <c r="D4" s="3486" t="s">
        <v>3574</v>
      </c>
      <c r="E4" s="3486" t="s">
        <v>5010</v>
      </c>
      <c r="F4" s="3486" t="s">
        <v>3576</v>
      </c>
      <c r="H4" s="3485" t="s">
        <v>3573</v>
      </c>
      <c r="I4" s="3486" t="s">
        <v>4973</v>
      </c>
      <c r="J4" s="3486" t="s">
        <v>3574</v>
      </c>
      <c r="K4" s="3486" t="s">
        <v>3575</v>
      </c>
      <c r="L4" s="3486" t="s">
        <v>3576</v>
      </c>
    </row>
    <row r="5" spans="2:12" ht="23.25" customHeight="1" thickBot="1">
      <c r="B5" s="3488">
        <v>1</v>
      </c>
      <c r="C5" s="3490" t="s">
        <v>4974</v>
      </c>
      <c r="D5" s="3490" t="s">
        <v>3577</v>
      </c>
      <c r="E5" s="3490">
        <v>73</v>
      </c>
      <c r="F5" s="3490">
        <v>23.77</v>
      </c>
      <c r="H5" s="3488">
        <v>1</v>
      </c>
      <c r="I5" s="3489" t="s">
        <v>4974</v>
      </c>
      <c r="J5" s="3490" t="s">
        <v>4792</v>
      </c>
      <c r="K5" s="3490">
        <v>72.849999999999994</v>
      </c>
      <c r="L5" s="3489">
        <v>23.73</v>
      </c>
    </row>
    <row r="6" spans="2:12" ht="23.25" customHeight="1" thickBot="1">
      <c r="B6" s="3488">
        <v>2</v>
      </c>
      <c r="C6" s="3490" t="s">
        <v>4974</v>
      </c>
      <c r="D6" s="3490" t="s">
        <v>3578</v>
      </c>
      <c r="E6" s="3490">
        <v>72.67</v>
      </c>
      <c r="F6" s="3490">
        <v>23.67</v>
      </c>
      <c r="H6" s="3488">
        <v>2</v>
      </c>
      <c r="I6" s="3489" t="s">
        <v>4974</v>
      </c>
      <c r="J6" s="3490" t="s">
        <v>4793</v>
      </c>
      <c r="K6" s="3490">
        <v>72.67</v>
      </c>
      <c r="L6" s="3489">
        <v>23.67</v>
      </c>
    </row>
    <row r="7" spans="2:12" ht="23.25" customHeight="1" thickBot="1">
      <c r="B7" s="3488">
        <v>3</v>
      </c>
      <c r="C7" s="3490" t="s">
        <v>4974</v>
      </c>
      <c r="D7" s="3490" t="s">
        <v>3579</v>
      </c>
      <c r="E7" s="3490">
        <v>57.66</v>
      </c>
      <c r="F7" s="3490">
        <v>18.78</v>
      </c>
      <c r="H7" s="3488">
        <v>3</v>
      </c>
      <c r="I7" s="3489" t="s">
        <v>4974</v>
      </c>
      <c r="J7" s="3490" t="s">
        <v>4794</v>
      </c>
      <c r="K7" s="3490">
        <v>72.33</v>
      </c>
      <c r="L7" s="3489">
        <v>23.56</v>
      </c>
    </row>
    <row r="8" spans="2:12" ht="23.25" customHeight="1" thickBot="1">
      <c r="B8" s="3488">
        <v>4</v>
      </c>
      <c r="C8" s="3490" t="s">
        <v>4974</v>
      </c>
      <c r="D8" s="3490" t="s">
        <v>3580</v>
      </c>
      <c r="E8" s="3490">
        <v>72.33</v>
      </c>
      <c r="F8" s="3490">
        <v>23.56</v>
      </c>
      <c r="H8" s="3488">
        <v>4</v>
      </c>
      <c r="I8" s="3489" t="s">
        <v>4974</v>
      </c>
      <c r="J8" s="3490" t="s">
        <v>4795</v>
      </c>
      <c r="K8" s="3490">
        <v>72.849999999999994</v>
      </c>
      <c r="L8" s="3489">
        <v>23.73</v>
      </c>
    </row>
    <row r="9" spans="2:12" ht="23.25" customHeight="1" thickBot="1">
      <c r="B9" s="3488">
        <v>5</v>
      </c>
      <c r="C9" s="3490" t="s">
        <v>4974</v>
      </c>
      <c r="D9" s="3490" t="s">
        <v>3581</v>
      </c>
      <c r="E9" s="3490">
        <v>72.67</v>
      </c>
      <c r="F9" s="3490">
        <v>23.67</v>
      </c>
      <c r="H9" s="3488">
        <v>5</v>
      </c>
      <c r="I9" s="3489" t="s">
        <v>4974</v>
      </c>
      <c r="J9" s="3490" t="s">
        <v>4796</v>
      </c>
      <c r="K9" s="3490">
        <v>72.67</v>
      </c>
      <c r="L9" s="3489">
        <v>23.67</v>
      </c>
    </row>
    <row r="10" spans="2:12" ht="23.25" customHeight="1" thickBot="1">
      <c r="B10" s="3488">
        <v>6</v>
      </c>
      <c r="C10" s="3490" t="s">
        <v>4974</v>
      </c>
      <c r="D10" s="3490" t="s">
        <v>3582</v>
      </c>
      <c r="E10" s="3490">
        <v>72.33</v>
      </c>
      <c r="F10" s="3490">
        <v>23.56</v>
      </c>
      <c r="H10" s="3488">
        <v>6</v>
      </c>
      <c r="I10" s="3489" t="s">
        <v>4974</v>
      </c>
      <c r="J10" s="3490" t="s">
        <v>4797</v>
      </c>
      <c r="K10" s="3490">
        <v>72.33</v>
      </c>
      <c r="L10" s="3489">
        <v>23.56</v>
      </c>
    </row>
    <row r="11" spans="2:12" ht="23.25" customHeight="1" thickBot="1">
      <c r="B11" s="3488">
        <v>7</v>
      </c>
      <c r="C11" s="3490" t="s">
        <v>4974</v>
      </c>
      <c r="D11" s="3490" t="s">
        <v>3583</v>
      </c>
      <c r="E11" s="3490">
        <v>72.27</v>
      </c>
      <c r="F11" s="3490">
        <v>23.54</v>
      </c>
      <c r="H11" s="3488">
        <v>7</v>
      </c>
      <c r="I11" s="3489" t="s">
        <v>4974</v>
      </c>
      <c r="J11" s="3490" t="s">
        <v>4798</v>
      </c>
      <c r="K11" s="3490">
        <v>88.54</v>
      </c>
      <c r="L11" s="3489">
        <v>28.84</v>
      </c>
    </row>
    <row r="12" spans="2:12" ht="23.25" customHeight="1" thickBot="1">
      <c r="B12" s="3488">
        <v>8</v>
      </c>
      <c r="C12" s="3490" t="s">
        <v>4974</v>
      </c>
      <c r="D12" s="3490" t="s">
        <v>3584</v>
      </c>
      <c r="E12" s="3490">
        <v>72.33</v>
      </c>
      <c r="F12" s="3490">
        <v>23.56</v>
      </c>
      <c r="H12" s="3488">
        <v>8</v>
      </c>
      <c r="I12" s="3489" t="s">
        <v>4974</v>
      </c>
      <c r="J12" s="3490" t="s">
        <v>4799</v>
      </c>
      <c r="K12" s="3490">
        <v>88.54</v>
      </c>
      <c r="L12" s="3489">
        <v>28.84</v>
      </c>
    </row>
    <row r="13" spans="2:12" ht="23.25" customHeight="1" thickBot="1">
      <c r="B13" s="3488">
        <v>9</v>
      </c>
      <c r="C13" s="3490" t="s">
        <v>4974</v>
      </c>
      <c r="D13" s="3490" t="s">
        <v>3585</v>
      </c>
      <c r="E13" s="3490">
        <v>72.28</v>
      </c>
      <c r="F13" s="3490">
        <v>23.54</v>
      </c>
      <c r="H13" s="3488">
        <v>9</v>
      </c>
      <c r="I13" s="3489" t="s">
        <v>4974</v>
      </c>
      <c r="J13" s="3490" t="s">
        <v>4800</v>
      </c>
      <c r="K13" s="3490">
        <v>72.33</v>
      </c>
      <c r="L13" s="3489">
        <v>23.56</v>
      </c>
    </row>
    <row r="14" spans="2:12" ht="23.25" customHeight="1" thickBot="1">
      <c r="B14" s="3488">
        <v>10</v>
      </c>
      <c r="C14" s="3490" t="s">
        <v>4974</v>
      </c>
      <c r="D14" s="3490" t="s">
        <v>3586</v>
      </c>
      <c r="E14" s="3490">
        <v>88.49</v>
      </c>
      <c r="F14" s="3490">
        <v>28.82</v>
      </c>
      <c r="H14" s="3488">
        <v>10</v>
      </c>
      <c r="I14" s="3489" t="s">
        <v>4974</v>
      </c>
      <c r="J14" s="3490" t="s">
        <v>4801</v>
      </c>
      <c r="K14" s="3490">
        <v>72.33</v>
      </c>
      <c r="L14" s="3489">
        <v>23.56</v>
      </c>
    </row>
    <row r="15" spans="2:12" ht="23.25" customHeight="1" thickBot="1">
      <c r="B15" s="3488">
        <v>11</v>
      </c>
      <c r="C15" s="3490" t="s">
        <v>4974</v>
      </c>
      <c r="D15" s="3490" t="s">
        <v>3587</v>
      </c>
      <c r="E15" s="3490">
        <v>72.33</v>
      </c>
      <c r="F15" s="3490">
        <v>23.56</v>
      </c>
      <c r="H15" s="3488">
        <v>11</v>
      </c>
      <c r="I15" s="3489" t="s">
        <v>4974</v>
      </c>
      <c r="J15" s="3490" t="s">
        <v>4802</v>
      </c>
      <c r="K15" s="3490">
        <v>95.99</v>
      </c>
      <c r="L15" s="3489">
        <v>31.26</v>
      </c>
    </row>
    <row r="16" spans="2:12" ht="23.25" customHeight="1" thickBot="1">
      <c r="B16" s="3488">
        <v>12</v>
      </c>
      <c r="C16" s="3490" t="s">
        <v>4974</v>
      </c>
      <c r="D16" s="3490" t="s">
        <v>3588</v>
      </c>
      <c r="E16" s="3490">
        <v>88.54</v>
      </c>
      <c r="F16" s="3490">
        <v>28.84</v>
      </c>
      <c r="H16" s="3488">
        <v>12</v>
      </c>
      <c r="I16" s="3489" t="s">
        <v>4974</v>
      </c>
      <c r="J16" s="3490" t="s">
        <v>4803</v>
      </c>
      <c r="K16" s="3490">
        <v>116.4</v>
      </c>
      <c r="L16" s="3489">
        <v>37.909999999999997</v>
      </c>
    </row>
    <row r="17" spans="2:12" ht="23.25" customHeight="1" thickBot="1">
      <c r="B17" s="3488">
        <v>13</v>
      </c>
      <c r="C17" s="3490" t="s">
        <v>4974</v>
      </c>
      <c r="D17" s="3490" t="s">
        <v>3589</v>
      </c>
      <c r="E17" s="3490">
        <v>96.47</v>
      </c>
      <c r="F17" s="3490">
        <v>31.42</v>
      </c>
      <c r="H17" s="3488">
        <v>13</v>
      </c>
      <c r="I17" s="3489" t="s">
        <v>4974</v>
      </c>
      <c r="J17" s="3490" t="s">
        <v>4804</v>
      </c>
      <c r="K17" s="3490">
        <v>96.47</v>
      </c>
      <c r="L17" s="3489">
        <v>31.42</v>
      </c>
    </row>
    <row r="18" spans="2:12" ht="23.25" customHeight="1" thickBot="1">
      <c r="B18" s="3488">
        <v>14</v>
      </c>
      <c r="C18" s="3490" t="s">
        <v>4974</v>
      </c>
      <c r="D18" s="3490" t="s">
        <v>3590</v>
      </c>
      <c r="E18" s="3490">
        <v>78.430000000000007</v>
      </c>
      <c r="F18" s="3490">
        <v>25.54</v>
      </c>
      <c r="H18" s="3488">
        <v>14</v>
      </c>
      <c r="I18" s="3489" t="s">
        <v>4974</v>
      </c>
      <c r="J18" s="3490" t="s">
        <v>4805</v>
      </c>
      <c r="K18" s="3490">
        <v>116.4</v>
      </c>
      <c r="L18" s="3489">
        <v>37.909999999999997</v>
      </c>
    </row>
    <row r="19" spans="2:12" ht="23.25" customHeight="1" thickBot="1">
      <c r="B19" s="3488">
        <v>15</v>
      </c>
      <c r="C19" s="3490" t="s">
        <v>4974</v>
      </c>
      <c r="D19" s="3490" t="s">
        <v>3591</v>
      </c>
      <c r="E19" s="3490">
        <v>96.02</v>
      </c>
      <c r="F19" s="3490">
        <v>31.27</v>
      </c>
      <c r="H19" s="3488">
        <v>15</v>
      </c>
      <c r="I19" s="3489" t="s">
        <v>4974</v>
      </c>
      <c r="J19" s="3490" t="s">
        <v>4806</v>
      </c>
      <c r="K19" s="3490">
        <v>116.4</v>
      </c>
      <c r="L19" s="3489">
        <v>37.909999999999997</v>
      </c>
    </row>
    <row r="20" spans="2:12" ht="23.25" customHeight="1" thickBot="1">
      <c r="B20" s="3488">
        <v>16</v>
      </c>
      <c r="C20" s="3490" t="s">
        <v>4974</v>
      </c>
      <c r="D20" s="3490" t="s">
        <v>3592</v>
      </c>
      <c r="E20" s="3490">
        <v>96.51</v>
      </c>
      <c r="F20" s="3490">
        <v>31.43</v>
      </c>
      <c r="H20" s="3488">
        <v>16</v>
      </c>
      <c r="I20" s="3489" t="s">
        <v>4974</v>
      </c>
      <c r="J20" s="3490" t="s">
        <v>4807</v>
      </c>
      <c r="K20" s="3490">
        <v>95.99</v>
      </c>
      <c r="L20" s="3489">
        <v>31.26</v>
      </c>
    </row>
    <row r="21" spans="2:12" ht="23.25" customHeight="1" thickBot="1">
      <c r="B21" s="3488">
        <v>17</v>
      </c>
      <c r="C21" s="3490" t="s">
        <v>4974</v>
      </c>
      <c r="D21" s="3490" t="s">
        <v>3593</v>
      </c>
      <c r="E21" s="3490">
        <v>96.02</v>
      </c>
      <c r="F21" s="3490">
        <v>31.27</v>
      </c>
      <c r="H21" s="3488">
        <v>17</v>
      </c>
      <c r="I21" s="3489" t="s">
        <v>4974</v>
      </c>
      <c r="J21" s="3490" t="s">
        <v>4808</v>
      </c>
      <c r="K21" s="3490">
        <v>96.02</v>
      </c>
      <c r="L21" s="3489">
        <v>31.27</v>
      </c>
    </row>
    <row r="22" spans="2:12" ht="23.25" customHeight="1" thickBot="1">
      <c r="B22" s="3488">
        <v>18</v>
      </c>
      <c r="C22" s="3490" t="s">
        <v>4974</v>
      </c>
      <c r="D22" s="3490" t="s">
        <v>3594</v>
      </c>
      <c r="E22" s="3490">
        <v>96.51</v>
      </c>
      <c r="F22" s="3490">
        <v>31.43</v>
      </c>
      <c r="H22" s="3488">
        <v>18</v>
      </c>
      <c r="I22" s="3489" t="s">
        <v>4974</v>
      </c>
      <c r="J22" s="3490" t="s">
        <v>4809</v>
      </c>
      <c r="K22" s="3490">
        <v>96.51</v>
      </c>
      <c r="L22" s="3489">
        <v>31.43</v>
      </c>
    </row>
    <row r="23" spans="2:12" ht="23.25" customHeight="1" thickBot="1">
      <c r="B23" s="3488">
        <v>19</v>
      </c>
      <c r="C23" s="3490" t="s">
        <v>4974</v>
      </c>
      <c r="D23" s="3490" t="s">
        <v>3595</v>
      </c>
      <c r="E23" s="3490">
        <v>78.39</v>
      </c>
      <c r="F23" s="3490">
        <v>25.53</v>
      </c>
      <c r="H23" s="3488">
        <v>19</v>
      </c>
      <c r="I23" s="3489" t="s">
        <v>4974</v>
      </c>
      <c r="J23" s="3490" t="s">
        <v>4810</v>
      </c>
      <c r="K23" s="3490">
        <v>88.5</v>
      </c>
      <c r="L23" s="3489">
        <v>28.82</v>
      </c>
    </row>
    <row r="24" spans="2:12" ht="23.25" customHeight="1" thickBot="1">
      <c r="B24" s="3488">
        <v>20</v>
      </c>
      <c r="C24" s="3490" t="s">
        <v>4974</v>
      </c>
      <c r="D24" s="3490" t="s">
        <v>3596</v>
      </c>
      <c r="E24" s="3490">
        <v>116.28</v>
      </c>
      <c r="F24" s="3490">
        <v>37.869999999999997</v>
      </c>
      <c r="H24" s="3488">
        <v>20</v>
      </c>
      <c r="I24" s="3489" t="s">
        <v>4974</v>
      </c>
      <c r="J24" s="3490" t="s">
        <v>4811</v>
      </c>
      <c r="K24" s="3490">
        <v>72.3</v>
      </c>
      <c r="L24" s="3489">
        <v>23.55</v>
      </c>
    </row>
    <row r="25" spans="2:12" ht="23.25" customHeight="1" thickBot="1">
      <c r="B25" s="3488">
        <v>21</v>
      </c>
      <c r="C25" s="3490" t="s">
        <v>4974</v>
      </c>
      <c r="D25" s="3490" t="s">
        <v>3597</v>
      </c>
      <c r="E25" s="3490">
        <v>116.4</v>
      </c>
      <c r="F25" s="3490">
        <v>37.909999999999997</v>
      </c>
      <c r="H25" s="3488">
        <v>21</v>
      </c>
      <c r="I25" s="3489" t="s">
        <v>4974</v>
      </c>
      <c r="J25" s="3490" t="s">
        <v>4812</v>
      </c>
      <c r="K25" s="3490">
        <v>88.5</v>
      </c>
      <c r="L25" s="3489">
        <v>28.82</v>
      </c>
    </row>
    <row r="26" spans="2:12" ht="23.25" customHeight="1" thickBot="1">
      <c r="B26" s="3488">
        <v>22</v>
      </c>
      <c r="C26" s="3490" t="s">
        <v>4974</v>
      </c>
      <c r="D26" s="3490" t="s">
        <v>3598</v>
      </c>
      <c r="E26" s="3490">
        <v>95.99</v>
      </c>
      <c r="F26" s="3490">
        <v>31.26</v>
      </c>
      <c r="H26" s="3488">
        <v>22</v>
      </c>
      <c r="I26" s="3489" t="s">
        <v>4974</v>
      </c>
      <c r="J26" s="3490" t="s">
        <v>4813</v>
      </c>
      <c r="K26" s="3490">
        <v>72.3</v>
      </c>
      <c r="L26" s="3489">
        <v>23.55</v>
      </c>
    </row>
    <row r="27" spans="2:12" ht="23.25" customHeight="1" thickBot="1">
      <c r="B27" s="3488">
        <v>23</v>
      </c>
      <c r="C27" s="3490" t="s">
        <v>4974</v>
      </c>
      <c r="D27" s="3490" t="s">
        <v>3599</v>
      </c>
      <c r="E27" s="3490">
        <v>95.99</v>
      </c>
      <c r="F27" s="3490">
        <v>31.26</v>
      </c>
      <c r="H27" s="3488">
        <v>23</v>
      </c>
      <c r="I27" s="3489" t="s">
        <v>4974</v>
      </c>
      <c r="J27" s="3490" t="s">
        <v>4814</v>
      </c>
      <c r="K27" s="3490">
        <v>88.5</v>
      </c>
      <c r="L27" s="3489">
        <v>28.82</v>
      </c>
    </row>
    <row r="28" spans="2:12" ht="23.25" customHeight="1" thickBot="1">
      <c r="B28" s="3488">
        <v>24</v>
      </c>
      <c r="C28" s="3490" t="s">
        <v>4974</v>
      </c>
      <c r="D28" s="3490" t="s">
        <v>3600</v>
      </c>
      <c r="E28" s="3490">
        <v>116.4</v>
      </c>
      <c r="F28" s="3490">
        <v>37.909999999999997</v>
      </c>
      <c r="H28" s="3488">
        <v>24</v>
      </c>
      <c r="I28" s="3489" t="s">
        <v>4974</v>
      </c>
      <c r="J28" s="3490" t="s">
        <v>4815</v>
      </c>
      <c r="K28" s="3490">
        <v>72.3</v>
      </c>
      <c r="L28" s="3489">
        <v>23.55</v>
      </c>
    </row>
    <row r="29" spans="2:12" ht="23.25" customHeight="1" thickBot="1">
      <c r="B29" s="3488">
        <v>25</v>
      </c>
      <c r="C29" s="3490" t="s">
        <v>4974</v>
      </c>
      <c r="D29" s="3490" t="s">
        <v>3601</v>
      </c>
      <c r="E29" s="3490">
        <v>116.4</v>
      </c>
      <c r="F29" s="3490">
        <v>37.909999999999997</v>
      </c>
      <c r="H29" s="3488">
        <v>25</v>
      </c>
      <c r="I29" s="3489" t="s">
        <v>4974</v>
      </c>
      <c r="J29" s="3490" t="s">
        <v>4816</v>
      </c>
      <c r="K29" s="3490">
        <v>88.5</v>
      </c>
      <c r="L29" s="3489">
        <v>28.82</v>
      </c>
    </row>
    <row r="30" spans="2:12" ht="23.25" customHeight="1" thickBot="1">
      <c r="B30" s="3488">
        <v>26</v>
      </c>
      <c r="C30" s="3490" t="s">
        <v>4974</v>
      </c>
      <c r="D30" s="3490" t="s">
        <v>3602</v>
      </c>
      <c r="E30" s="3490">
        <v>116.28</v>
      </c>
      <c r="F30" s="3490">
        <v>37.869999999999997</v>
      </c>
      <c r="H30" s="3488">
        <v>26</v>
      </c>
      <c r="I30" s="3489" t="s">
        <v>4974</v>
      </c>
      <c r="J30" s="3490" t="s">
        <v>4817</v>
      </c>
      <c r="K30" s="3490">
        <v>72.3</v>
      </c>
      <c r="L30" s="3489">
        <v>23.55</v>
      </c>
    </row>
    <row r="31" spans="2:12" ht="23.25" customHeight="1" thickBot="1">
      <c r="B31" s="3488">
        <v>27</v>
      </c>
      <c r="C31" s="3490" t="s">
        <v>4974</v>
      </c>
      <c r="D31" s="3490" t="s">
        <v>3603</v>
      </c>
      <c r="E31" s="3490">
        <v>78.87</v>
      </c>
      <c r="F31" s="3490">
        <v>25.69</v>
      </c>
      <c r="H31" s="3488">
        <v>27</v>
      </c>
      <c r="I31" s="3489" t="s">
        <v>4974</v>
      </c>
      <c r="J31" s="3490" t="s">
        <v>4818</v>
      </c>
      <c r="K31" s="3490">
        <v>88.5</v>
      </c>
      <c r="L31" s="3489">
        <v>28.82</v>
      </c>
    </row>
    <row r="32" spans="2:12" ht="23.25" customHeight="1" thickBot="1">
      <c r="B32" s="3488">
        <v>28</v>
      </c>
      <c r="C32" s="3490" t="s">
        <v>4974</v>
      </c>
      <c r="D32" s="3490" t="s">
        <v>3604</v>
      </c>
      <c r="E32" s="3490">
        <v>116.4</v>
      </c>
      <c r="F32" s="3490">
        <v>37.909999999999997</v>
      </c>
      <c r="H32" s="3488">
        <v>28</v>
      </c>
      <c r="I32" s="3489" t="s">
        <v>4974</v>
      </c>
      <c r="J32" s="3490" t="s">
        <v>4819</v>
      </c>
      <c r="K32" s="3490">
        <v>72.3</v>
      </c>
      <c r="L32" s="3489">
        <v>23.55</v>
      </c>
    </row>
    <row r="33" spans="2:12" ht="23.25" customHeight="1" thickBot="1">
      <c r="B33" s="3488">
        <v>29</v>
      </c>
      <c r="C33" s="3490" t="s">
        <v>4974</v>
      </c>
      <c r="D33" s="3490" t="s">
        <v>3605</v>
      </c>
      <c r="E33" s="3490">
        <v>96.47</v>
      </c>
      <c r="F33" s="3490">
        <v>31.42</v>
      </c>
      <c r="H33" s="3488">
        <v>29</v>
      </c>
      <c r="I33" s="3489" t="s">
        <v>4974</v>
      </c>
      <c r="J33" s="3490" t="s">
        <v>4820</v>
      </c>
      <c r="K33" s="3490">
        <v>88.5</v>
      </c>
      <c r="L33" s="3489">
        <v>28.82</v>
      </c>
    </row>
    <row r="34" spans="2:12" ht="23.25" customHeight="1" thickBot="1">
      <c r="B34" s="3488">
        <v>30</v>
      </c>
      <c r="C34" s="3490" t="s">
        <v>4974</v>
      </c>
      <c r="D34" s="3490" t="s">
        <v>3606</v>
      </c>
      <c r="E34" s="3490">
        <v>116.4</v>
      </c>
      <c r="F34" s="3490">
        <v>37.909999999999997</v>
      </c>
      <c r="H34" s="3488">
        <v>30</v>
      </c>
      <c r="I34" s="3489" t="s">
        <v>4974</v>
      </c>
      <c r="J34" s="3490" t="s">
        <v>4821</v>
      </c>
      <c r="K34" s="3490">
        <v>72.3</v>
      </c>
      <c r="L34" s="3489">
        <v>23.55</v>
      </c>
    </row>
    <row r="35" spans="2:12" ht="23.25" customHeight="1" thickBot="1">
      <c r="B35" s="3488">
        <v>31</v>
      </c>
      <c r="C35" s="3490" t="s">
        <v>4974</v>
      </c>
      <c r="D35" s="3490" t="s">
        <v>3607</v>
      </c>
      <c r="E35" s="3490">
        <v>96.47</v>
      </c>
      <c r="F35" s="3490">
        <v>31.42</v>
      </c>
      <c r="H35" s="3488">
        <v>31</v>
      </c>
      <c r="I35" s="3489" t="s">
        <v>4974</v>
      </c>
      <c r="J35" s="3490" t="s">
        <v>4822</v>
      </c>
      <c r="K35" s="3490">
        <v>72.819999999999993</v>
      </c>
      <c r="L35" s="3489">
        <v>23.72</v>
      </c>
    </row>
    <row r="36" spans="2:12" ht="23.25" customHeight="1" thickBot="1">
      <c r="B36" s="3488">
        <v>32</v>
      </c>
      <c r="C36" s="3490" t="s">
        <v>4974</v>
      </c>
      <c r="D36" s="3490" t="s">
        <v>3608</v>
      </c>
      <c r="E36" s="3490">
        <v>116.4</v>
      </c>
      <c r="F36" s="3490">
        <v>37.909999999999997</v>
      </c>
      <c r="H36" s="3488">
        <v>32</v>
      </c>
      <c r="I36" s="3489" t="s">
        <v>4974</v>
      </c>
      <c r="J36" s="3490" t="s">
        <v>4823</v>
      </c>
      <c r="K36" s="3490">
        <v>72.3</v>
      </c>
      <c r="L36" s="3489">
        <v>23.55</v>
      </c>
    </row>
    <row r="37" spans="2:12" ht="23.25" customHeight="1" thickBot="1">
      <c r="B37" s="3488">
        <v>33</v>
      </c>
      <c r="C37" s="3490" t="s">
        <v>4974</v>
      </c>
      <c r="D37" s="3490" t="s">
        <v>3609</v>
      </c>
      <c r="E37" s="3490">
        <v>96.47</v>
      </c>
      <c r="F37" s="3490">
        <v>31.42</v>
      </c>
      <c r="H37" s="3488">
        <v>33</v>
      </c>
      <c r="I37" s="3489" t="s">
        <v>4974</v>
      </c>
      <c r="J37" s="3490" t="s">
        <v>4824</v>
      </c>
      <c r="K37" s="3490">
        <v>72.63</v>
      </c>
      <c r="L37" s="3489">
        <v>23.65</v>
      </c>
    </row>
    <row r="38" spans="2:12" ht="23.25" customHeight="1" thickBot="1">
      <c r="B38" s="3488">
        <v>34</v>
      </c>
      <c r="C38" s="3490" t="s">
        <v>4974</v>
      </c>
      <c r="D38" s="3490" t="s">
        <v>3610</v>
      </c>
      <c r="E38" s="3490">
        <v>116.4</v>
      </c>
      <c r="F38" s="3490">
        <v>37.909999999999997</v>
      </c>
      <c r="H38" s="3488">
        <v>34</v>
      </c>
      <c r="I38" s="3489" t="s">
        <v>4974</v>
      </c>
      <c r="J38" s="3490" t="s">
        <v>4825</v>
      </c>
      <c r="K38" s="3490">
        <v>72.819999999999993</v>
      </c>
      <c r="L38" s="3489">
        <v>23.72</v>
      </c>
    </row>
    <row r="39" spans="2:12" ht="23.25" customHeight="1" thickBot="1">
      <c r="B39" s="3488">
        <v>35</v>
      </c>
      <c r="C39" s="3490" t="s">
        <v>4974</v>
      </c>
      <c r="D39" s="3490" t="s">
        <v>3611</v>
      </c>
      <c r="E39" s="3490">
        <v>78.87</v>
      </c>
      <c r="F39" s="3490">
        <v>25.69</v>
      </c>
      <c r="H39" s="3488">
        <v>35</v>
      </c>
      <c r="I39" s="3489" t="s">
        <v>4974</v>
      </c>
      <c r="J39" s="3490" t="s">
        <v>4826</v>
      </c>
      <c r="K39" s="3490">
        <v>72.63</v>
      </c>
      <c r="L39" s="3489">
        <v>23.65</v>
      </c>
    </row>
    <row r="40" spans="2:12" ht="23.25" customHeight="1" thickBot="1">
      <c r="B40" s="3488">
        <v>36</v>
      </c>
      <c r="C40" s="3490" t="s">
        <v>4974</v>
      </c>
      <c r="D40" s="3490" t="s">
        <v>3612</v>
      </c>
      <c r="E40" s="3490">
        <v>116.28</v>
      </c>
      <c r="F40" s="3490">
        <v>37.869999999999997</v>
      </c>
      <c r="H40" s="3488">
        <v>36</v>
      </c>
      <c r="I40" s="3489" t="s">
        <v>4974</v>
      </c>
      <c r="J40" s="3490" t="s">
        <v>4827</v>
      </c>
      <c r="K40" s="3490">
        <v>72.819999999999993</v>
      </c>
      <c r="L40" s="3489">
        <v>23.72</v>
      </c>
    </row>
    <row r="41" spans="2:12" ht="23.25" customHeight="1" thickBot="1">
      <c r="B41" s="3488">
        <v>37</v>
      </c>
      <c r="C41" s="3490" t="s">
        <v>4974</v>
      </c>
      <c r="D41" s="3490" t="s">
        <v>3613</v>
      </c>
      <c r="E41" s="3490">
        <v>96.47</v>
      </c>
      <c r="F41" s="3490">
        <v>31.42</v>
      </c>
      <c r="H41" s="3488">
        <v>37</v>
      </c>
      <c r="I41" s="3489" t="s">
        <v>4974</v>
      </c>
      <c r="J41" s="3490" t="s">
        <v>4828</v>
      </c>
      <c r="K41" s="3490">
        <v>72.3</v>
      </c>
      <c r="L41" s="3489">
        <v>23.55</v>
      </c>
    </row>
    <row r="42" spans="2:12" ht="23.25" customHeight="1" thickBot="1">
      <c r="B42" s="3488">
        <v>38</v>
      </c>
      <c r="C42" s="3490" t="s">
        <v>4974</v>
      </c>
      <c r="D42" s="3490" t="s">
        <v>3614</v>
      </c>
      <c r="E42" s="3490">
        <v>116.4</v>
      </c>
      <c r="F42" s="3490">
        <v>37.909999999999997</v>
      </c>
      <c r="H42" s="3488">
        <v>38</v>
      </c>
      <c r="I42" s="3489" t="s">
        <v>4974</v>
      </c>
      <c r="J42" s="3490" t="s">
        <v>4829</v>
      </c>
      <c r="K42" s="3490">
        <v>72.63</v>
      </c>
      <c r="L42" s="3489">
        <v>23.65</v>
      </c>
    </row>
    <row r="43" spans="2:12" ht="23.25" customHeight="1" thickBot="1">
      <c r="B43" s="3488">
        <v>39</v>
      </c>
      <c r="C43" s="3490" t="s">
        <v>4974</v>
      </c>
      <c r="D43" s="3490" t="s">
        <v>3615</v>
      </c>
      <c r="E43" s="3490">
        <v>96.47</v>
      </c>
      <c r="F43" s="3490">
        <v>31.42</v>
      </c>
      <c r="H43" s="3488">
        <v>39</v>
      </c>
      <c r="I43" s="3489" t="s">
        <v>4974</v>
      </c>
      <c r="J43" s="3490" t="s">
        <v>4830</v>
      </c>
      <c r="K43" s="3490">
        <v>72.819999999999993</v>
      </c>
      <c r="L43" s="3489">
        <v>23.72</v>
      </c>
    </row>
    <row r="44" spans="2:12" ht="23.25" customHeight="1" thickBot="1">
      <c r="B44" s="3488">
        <v>40</v>
      </c>
      <c r="C44" s="3490" t="s">
        <v>4974</v>
      </c>
      <c r="D44" s="3490" t="s">
        <v>3616</v>
      </c>
      <c r="E44" s="3490">
        <v>116.4</v>
      </c>
      <c r="F44" s="3490">
        <v>37.909999999999997</v>
      </c>
      <c r="H44" s="3488">
        <v>40</v>
      </c>
      <c r="I44" s="3489" t="s">
        <v>4974</v>
      </c>
      <c r="J44" s="3490" t="s">
        <v>4831</v>
      </c>
      <c r="K44" s="3490">
        <v>72.3</v>
      </c>
      <c r="L44" s="3489">
        <v>23.55</v>
      </c>
    </row>
    <row r="45" spans="2:12" ht="23.25" customHeight="1" thickBot="1">
      <c r="B45" s="3488">
        <v>41</v>
      </c>
      <c r="C45" s="3490" t="s">
        <v>4974</v>
      </c>
      <c r="D45" s="3490" t="s">
        <v>3617</v>
      </c>
      <c r="E45" s="3490">
        <v>96.47</v>
      </c>
      <c r="F45" s="3490">
        <v>31.42</v>
      </c>
      <c r="H45" s="3488">
        <v>41</v>
      </c>
      <c r="I45" s="3489" t="s">
        <v>4974</v>
      </c>
      <c r="J45" s="3490" t="s">
        <v>4832</v>
      </c>
      <c r="K45" s="3490">
        <v>72.63</v>
      </c>
      <c r="L45" s="3489">
        <v>23.65</v>
      </c>
    </row>
    <row r="46" spans="2:12" ht="23.25" customHeight="1" thickBot="1">
      <c r="B46" s="3488">
        <v>42</v>
      </c>
      <c r="C46" s="3490" t="s">
        <v>4974</v>
      </c>
      <c r="D46" s="3490" t="s">
        <v>3618</v>
      </c>
      <c r="E46" s="3490">
        <v>116.4</v>
      </c>
      <c r="F46" s="3490">
        <v>37.909999999999997</v>
      </c>
      <c r="H46" s="3488">
        <v>42</v>
      </c>
      <c r="I46" s="3489" t="s">
        <v>4974</v>
      </c>
      <c r="J46" s="3490" t="s">
        <v>4833</v>
      </c>
      <c r="K46" s="3490">
        <v>72.819999999999993</v>
      </c>
      <c r="L46" s="3489">
        <v>23.72</v>
      </c>
    </row>
    <row r="47" spans="2:12" ht="23.25" customHeight="1" thickBot="1">
      <c r="B47" s="3488">
        <v>43</v>
      </c>
      <c r="C47" s="3490" t="s">
        <v>4974</v>
      </c>
      <c r="D47" s="3490" t="s">
        <v>3619</v>
      </c>
      <c r="E47" s="3490">
        <v>96.47</v>
      </c>
      <c r="F47" s="3490">
        <v>31.42</v>
      </c>
      <c r="H47" s="3488">
        <v>43</v>
      </c>
      <c r="I47" s="3489" t="s">
        <v>4974</v>
      </c>
      <c r="J47" s="3490" t="s">
        <v>4834</v>
      </c>
      <c r="K47" s="3490">
        <v>72.3</v>
      </c>
      <c r="L47" s="3489">
        <v>23.55</v>
      </c>
    </row>
    <row r="48" spans="2:12" ht="23.25" customHeight="1" thickBot="1">
      <c r="B48" s="3488">
        <v>44</v>
      </c>
      <c r="C48" s="3490" t="s">
        <v>4974</v>
      </c>
      <c r="D48" s="3490" t="s">
        <v>3620</v>
      </c>
      <c r="E48" s="3490">
        <v>116.4</v>
      </c>
      <c r="F48" s="3490">
        <v>37.909999999999997</v>
      </c>
      <c r="H48" s="3488">
        <v>44</v>
      </c>
      <c r="I48" s="3489" t="s">
        <v>4974</v>
      </c>
      <c r="J48" s="3490" t="s">
        <v>4835</v>
      </c>
      <c r="K48" s="3490">
        <v>72.63</v>
      </c>
      <c r="L48" s="3489">
        <v>23.65</v>
      </c>
    </row>
    <row r="49" spans="2:12" ht="23.25" customHeight="1" thickBot="1">
      <c r="B49" s="3488">
        <v>45</v>
      </c>
      <c r="C49" s="3490" t="s">
        <v>4974</v>
      </c>
      <c r="D49" s="3490" t="s">
        <v>3621</v>
      </c>
      <c r="E49" s="3490">
        <v>116.4</v>
      </c>
      <c r="F49" s="3490">
        <v>37.909999999999997</v>
      </c>
      <c r="H49" s="3488">
        <v>45</v>
      </c>
      <c r="I49" s="3489" t="s">
        <v>4974</v>
      </c>
      <c r="J49" s="3490" t="s">
        <v>4836</v>
      </c>
      <c r="K49" s="3490">
        <v>72.819999999999993</v>
      </c>
      <c r="L49" s="3489">
        <v>23.72</v>
      </c>
    </row>
    <row r="50" spans="2:12" ht="23.25" customHeight="1" thickBot="1">
      <c r="B50" s="3488">
        <v>46</v>
      </c>
      <c r="C50" s="3490" t="s">
        <v>4974</v>
      </c>
      <c r="D50" s="3490" t="s">
        <v>3622</v>
      </c>
      <c r="E50" s="3490">
        <v>96.47</v>
      </c>
      <c r="F50" s="3490">
        <v>31.42</v>
      </c>
      <c r="H50" s="3488">
        <v>46</v>
      </c>
      <c r="I50" s="3489" t="s">
        <v>4974</v>
      </c>
      <c r="J50" s="3490" t="s">
        <v>4837</v>
      </c>
      <c r="K50" s="3490">
        <v>96.08</v>
      </c>
      <c r="L50" s="3489">
        <v>31.29</v>
      </c>
    </row>
    <row r="51" spans="2:12" ht="23.25" customHeight="1" thickBot="1">
      <c r="B51" s="3488">
        <v>47</v>
      </c>
      <c r="C51" s="3490" t="s">
        <v>4974</v>
      </c>
      <c r="D51" s="3490" t="s">
        <v>3623</v>
      </c>
      <c r="E51" s="3490">
        <v>116.4</v>
      </c>
      <c r="F51" s="3490">
        <v>37.909999999999997</v>
      </c>
      <c r="H51" s="3488">
        <v>47</v>
      </c>
      <c r="I51" s="3489" t="s">
        <v>4974</v>
      </c>
      <c r="J51" s="3490" t="s">
        <v>4838</v>
      </c>
      <c r="K51" s="3490">
        <v>115.85</v>
      </c>
      <c r="L51" s="3489">
        <v>37.729999999999997</v>
      </c>
    </row>
    <row r="52" spans="2:12" ht="23.25" customHeight="1" thickBot="1">
      <c r="B52" s="3488">
        <v>48</v>
      </c>
      <c r="C52" s="3490" t="s">
        <v>4974</v>
      </c>
      <c r="D52" s="3490" t="s">
        <v>3624</v>
      </c>
      <c r="E52" s="3490">
        <v>96.47</v>
      </c>
      <c r="F52" s="3490">
        <v>31.42</v>
      </c>
      <c r="H52" s="3488">
        <v>48</v>
      </c>
      <c r="I52" s="3489" t="s">
        <v>4974</v>
      </c>
      <c r="J52" s="3490" t="s">
        <v>4839</v>
      </c>
      <c r="K52" s="3490">
        <v>115.85</v>
      </c>
      <c r="L52" s="3489">
        <v>37.729999999999997</v>
      </c>
    </row>
    <row r="53" spans="2:12" ht="23.25" customHeight="1" thickBot="1">
      <c r="B53" s="3488">
        <v>49</v>
      </c>
      <c r="C53" s="3490" t="s">
        <v>4974</v>
      </c>
      <c r="D53" s="3490" t="s">
        <v>3625</v>
      </c>
      <c r="E53" s="3490">
        <v>116.4</v>
      </c>
      <c r="F53" s="3490">
        <v>37.909999999999997</v>
      </c>
      <c r="H53" s="3488">
        <v>49</v>
      </c>
      <c r="I53" s="3489" t="s">
        <v>4974</v>
      </c>
      <c r="J53" s="3490" t="s">
        <v>4840</v>
      </c>
      <c r="K53" s="3490">
        <v>96.08</v>
      </c>
      <c r="L53" s="3489">
        <v>31.29</v>
      </c>
    </row>
    <row r="54" spans="2:12" ht="23.25" customHeight="1" thickBot="1">
      <c r="B54" s="3488">
        <v>50</v>
      </c>
      <c r="C54" s="3490" t="s">
        <v>4974</v>
      </c>
      <c r="D54" s="3490" t="s">
        <v>3626</v>
      </c>
      <c r="E54" s="3490">
        <v>116.28</v>
      </c>
      <c r="F54" s="3490">
        <v>37.869999999999997</v>
      </c>
      <c r="H54" s="3488">
        <v>50</v>
      </c>
      <c r="I54" s="3489" t="s">
        <v>4974</v>
      </c>
      <c r="J54" s="3490" t="s">
        <v>4841</v>
      </c>
      <c r="K54" s="3490">
        <v>115.85</v>
      </c>
      <c r="L54" s="3489">
        <v>37.729999999999997</v>
      </c>
    </row>
    <row r="55" spans="2:12" ht="23.25" customHeight="1" thickBot="1">
      <c r="B55" s="3488">
        <v>51</v>
      </c>
      <c r="C55" s="3490" t="s">
        <v>4974</v>
      </c>
      <c r="D55" s="3490" t="s">
        <v>3627</v>
      </c>
      <c r="E55" s="3490">
        <v>78.39</v>
      </c>
      <c r="F55" s="3490">
        <v>25.53</v>
      </c>
      <c r="H55" s="3488">
        <v>51</v>
      </c>
      <c r="I55" s="3489" t="s">
        <v>4974</v>
      </c>
      <c r="J55" s="3490" t="s">
        <v>4842</v>
      </c>
      <c r="K55" s="3490">
        <v>96.08</v>
      </c>
      <c r="L55" s="3489">
        <v>31.29</v>
      </c>
    </row>
    <row r="56" spans="2:12" ht="23.25" customHeight="1" thickBot="1">
      <c r="B56" s="3488">
        <v>52</v>
      </c>
      <c r="C56" s="3490" t="s">
        <v>4974</v>
      </c>
      <c r="D56" s="3490" t="s">
        <v>3628</v>
      </c>
      <c r="E56" s="3490">
        <v>116.4</v>
      </c>
      <c r="F56" s="3490">
        <v>37.909999999999997</v>
      </c>
      <c r="H56" s="3488">
        <v>52</v>
      </c>
      <c r="I56" s="3489" t="s">
        <v>4974</v>
      </c>
      <c r="J56" s="3490" t="s">
        <v>4843</v>
      </c>
      <c r="K56" s="3490">
        <v>115.85</v>
      </c>
      <c r="L56" s="3489">
        <v>37.729999999999997</v>
      </c>
    </row>
    <row r="57" spans="2:12" ht="23.25" customHeight="1" thickBot="1">
      <c r="B57" s="3488">
        <v>53</v>
      </c>
      <c r="C57" s="3490" t="s">
        <v>4974</v>
      </c>
      <c r="D57" s="3490" t="s">
        <v>3629</v>
      </c>
      <c r="E57" s="3490">
        <v>95.99</v>
      </c>
      <c r="F57" s="3490">
        <v>31.26</v>
      </c>
      <c r="H57" s="3488">
        <v>53</v>
      </c>
      <c r="I57" s="3489" t="s">
        <v>4974</v>
      </c>
      <c r="J57" s="3490" t="s">
        <v>4844</v>
      </c>
      <c r="K57" s="3490">
        <v>96.08</v>
      </c>
      <c r="L57" s="3489">
        <v>31.29</v>
      </c>
    </row>
    <row r="58" spans="2:12" ht="23.25" customHeight="1" thickBot="1">
      <c r="B58" s="3488">
        <v>54</v>
      </c>
      <c r="C58" s="3490" t="s">
        <v>4974</v>
      </c>
      <c r="D58" s="3490" t="s">
        <v>3630</v>
      </c>
      <c r="E58" s="3490">
        <v>116.4</v>
      </c>
      <c r="F58" s="3490">
        <v>37.909999999999997</v>
      </c>
      <c r="H58" s="3488">
        <v>54</v>
      </c>
      <c r="I58" s="3489" t="s">
        <v>4974</v>
      </c>
      <c r="J58" s="3490" t="s">
        <v>4845</v>
      </c>
      <c r="K58" s="3490">
        <v>115.85</v>
      </c>
      <c r="L58" s="3489">
        <v>37.729999999999997</v>
      </c>
    </row>
    <row r="59" spans="2:12" ht="23.25" customHeight="1" thickBot="1">
      <c r="B59" s="3488">
        <v>55</v>
      </c>
      <c r="C59" s="3490" t="s">
        <v>4974</v>
      </c>
      <c r="D59" s="3490" t="s">
        <v>3631</v>
      </c>
      <c r="E59" s="3490">
        <v>95.99</v>
      </c>
      <c r="F59" s="3490">
        <v>31.26</v>
      </c>
      <c r="H59" s="3488">
        <v>55</v>
      </c>
      <c r="I59" s="3489" t="s">
        <v>4974</v>
      </c>
      <c r="J59" s="3490" t="s">
        <v>4846</v>
      </c>
      <c r="K59" s="3490">
        <v>96.08</v>
      </c>
      <c r="L59" s="3489">
        <v>31.29</v>
      </c>
    </row>
    <row r="60" spans="2:12" ht="23.25" customHeight="1" thickBot="1">
      <c r="B60" s="3488">
        <v>56</v>
      </c>
      <c r="C60" s="3490" t="s">
        <v>4974</v>
      </c>
      <c r="D60" s="3490" t="s">
        <v>3632</v>
      </c>
      <c r="E60" s="3490">
        <v>116.4</v>
      </c>
      <c r="F60" s="3490">
        <v>37.909999999999997</v>
      </c>
      <c r="H60" s="3488">
        <v>56</v>
      </c>
      <c r="I60" s="3489" t="s">
        <v>4974</v>
      </c>
      <c r="J60" s="3490" t="s">
        <v>4847</v>
      </c>
      <c r="K60" s="3490">
        <v>115.85</v>
      </c>
      <c r="L60" s="3489">
        <v>37.729999999999997</v>
      </c>
    </row>
    <row r="61" spans="2:12" ht="23.25" customHeight="1" thickBot="1">
      <c r="B61" s="3488">
        <v>57</v>
      </c>
      <c r="C61" s="3490" t="s">
        <v>4974</v>
      </c>
      <c r="D61" s="3490" t="s">
        <v>3633</v>
      </c>
      <c r="E61" s="3490">
        <v>95.99</v>
      </c>
      <c r="F61" s="3490">
        <v>31.26</v>
      </c>
      <c r="H61" s="3488">
        <v>57</v>
      </c>
      <c r="I61" s="3489" t="s">
        <v>4974</v>
      </c>
      <c r="J61" s="3490" t="s">
        <v>4848</v>
      </c>
      <c r="K61" s="3490">
        <v>115.85</v>
      </c>
      <c r="L61" s="3489">
        <v>37.729999999999997</v>
      </c>
    </row>
    <row r="62" spans="2:12" ht="23.25" customHeight="1" thickBot="1">
      <c r="B62" s="3488">
        <v>58</v>
      </c>
      <c r="C62" s="3490" t="s">
        <v>4974</v>
      </c>
      <c r="D62" s="3490" t="s">
        <v>3634</v>
      </c>
      <c r="E62" s="3490">
        <v>116.4</v>
      </c>
      <c r="F62" s="3490">
        <v>37.909999999999997</v>
      </c>
      <c r="H62" s="3488">
        <v>58</v>
      </c>
      <c r="I62" s="3489" t="s">
        <v>4974</v>
      </c>
      <c r="J62" s="3490" t="s">
        <v>4849</v>
      </c>
      <c r="K62" s="3490">
        <v>95.59</v>
      </c>
      <c r="L62" s="3489">
        <v>31.13</v>
      </c>
    </row>
    <row r="63" spans="2:12" ht="23.25" customHeight="1" thickBot="1">
      <c r="B63" s="3488">
        <v>59</v>
      </c>
      <c r="C63" s="3490" t="s">
        <v>4974</v>
      </c>
      <c r="D63" s="3490" t="s">
        <v>3635</v>
      </c>
      <c r="E63" s="3490">
        <v>95.99</v>
      </c>
      <c r="F63" s="3490">
        <v>31.26</v>
      </c>
      <c r="H63" s="3488">
        <v>59</v>
      </c>
      <c r="I63" s="3489" t="s">
        <v>4974</v>
      </c>
      <c r="J63" s="3490" t="s">
        <v>4850</v>
      </c>
      <c r="K63" s="3490">
        <v>115.85</v>
      </c>
      <c r="L63" s="3489">
        <v>37.729999999999997</v>
      </c>
    </row>
    <row r="64" spans="2:12" ht="23.25" customHeight="1" thickBot="1">
      <c r="B64" s="3488">
        <v>60</v>
      </c>
      <c r="C64" s="3490" t="s">
        <v>4974</v>
      </c>
      <c r="D64" s="3490" t="s">
        <v>3636</v>
      </c>
      <c r="E64" s="3490">
        <v>116.4</v>
      </c>
      <c r="F64" s="3490">
        <v>37.909999999999997</v>
      </c>
      <c r="H64" s="3488">
        <v>60</v>
      </c>
      <c r="I64" s="3489" t="s">
        <v>4974</v>
      </c>
      <c r="J64" s="3490" t="s">
        <v>4851</v>
      </c>
      <c r="K64" s="3490">
        <v>115.85</v>
      </c>
      <c r="L64" s="3489">
        <v>37.729999999999997</v>
      </c>
    </row>
    <row r="65" spans="2:12" ht="23.25" customHeight="1" thickBot="1">
      <c r="B65" s="3488">
        <v>61</v>
      </c>
      <c r="C65" s="3490" t="s">
        <v>4974</v>
      </c>
      <c r="D65" s="3490" t="s">
        <v>3637</v>
      </c>
      <c r="E65" s="3490">
        <v>95.99</v>
      </c>
      <c r="F65" s="3490">
        <v>31.26</v>
      </c>
      <c r="H65" s="3488">
        <v>61</v>
      </c>
      <c r="I65" s="3489" t="s">
        <v>4974</v>
      </c>
      <c r="J65" s="3490" t="s">
        <v>4852</v>
      </c>
      <c r="K65" s="3490">
        <v>115.85</v>
      </c>
      <c r="L65" s="3489">
        <v>37.729999999999997</v>
      </c>
    </row>
    <row r="66" spans="2:12" ht="23.25" customHeight="1" thickBot="1">
      <c r="B66" s="3488">
        <v>62</v>
      </c>
      <c r="C66" s="3490" t="s">
        <v>4974</v>
      </c>
      <c r="D66" s="3490" t="s">
        <v>3638</v>
      </c>
      <c r="E66" s="3490">
        <v>116.4</v>
      </c>
      <c r="F66" s="3490">
        <v>37.909999999999997</v>
      </c>
      <c r="H66" s="3488">
        <v>62</v>
      </c>
      <c r="I66" s="3489" t="s">
        <v>4974</v>
      </c>
      <c r="J66" s="3490" t="s">
        <v>4853</v>
      </c>
      <c r="K66" s="3490">
        <v>95.59</v>
      </c>
      <c r="L66" s="3489">
        <v>31.13</v>
      </c>
    </row>
    <row r="67" spans="2:12" ht="23.25" customHeight="1" thickBot="1">
      <c r="B67" s="3488">
        <v>63</v>
      </c>
      <c r="C67" s="3490" t="s">
        <v>4974</v>
      </c>
      <c r="D67" s="3490" t="s">
        <v>3639</v>
      </c>
      <c r="E67" s="3490">
        <v>95.99</v>
      </c>
      <c r="F67" s="3490">
        <v>31.26</v>
      </c>
      <c r="H67" s="3488">
        <v>63</v>
      </c>
      <c r="I67" s="3489" t="s">
        <v>4974</v>
      </c>
      <c r="J67" s="3490" t="s">
        <v>4854</v>
      </c>
      <c r="K67" s="3490">
        <v>115.85</v>
      </c>
      <c r="L67" s="3489">
        <v>37.729999999999997</v>
      </c>
    </row>
    <row r="68" spans="2:12" ht="23.25" customHeight="1" thickBot="1">
      <c r="B68" s="3488">
        <v>64</v>
      </c>
      <c r="C68" s="3490" t="s">
        <v>4974</v>
      </c>
      <c r="D68" s="3490" t="s">
        <v>3640</v>
      </c>
      <c r="E68" s="3490">
        <v>116.4</v>
      </c>
      <c r="F68" s="3490">
        <v>37.909999999999997</v>
      </c>
      <c r="H68" s="3488">
        <v>64</v>
      </c>
      <c r="I68" s="3489" t="s">
        <v>4974</v>
      </c>
      <c r="J68" s="3490" t="s">
        <v>4855</v>
      </c>
      <c r="K68" s="3490">
        <v>95.59</v>
      </c>
      <c r="L68" s="3489">
        <v>31.13</v>
      </c>
    </row>
    <row r="69" spans="2:12" ht="23.25" customHeight="1" thickBot="1">
      <c r="B69" s="3488">
        <v>65</v>
      </c>
      <c r="C69" s="3490" t="s">
        <v>4974</v>
      </c>
      <c r="D69" s="3490" t="s">
        <v>3641</v>
      </c>
      <c r="E69" s="3490">
        <v>95.99</v>
      </c>
      <c r="F69" s="3490">
        <v>31.26</v>
      </c>
      <c r="H69" s="3488">
        <v>65</v>
      </c>
      <c r="I69" s="3489" t="s">
        <v>4974</v>
      </c>
      <c r="J69" s="3490" t="s">
        <v>4856</v>
      </c>
      <c r="K69" s="3490">
        <v>115.85</v>
      </c>
      <c r="L69" s="3489">
        <v>37.729999999999997</v>
      </c>
    </row>
    <row r="70" spans="2:12" ht="23.25" customHeight="1" thickBot="1">
      <c r="B70" s="3488">
        <v>66</v>
      </c>
      <c r="C70" s="3490" t="s">
        <v>4974</v>
      </c>
      <c r="D70" s="3490" t="s">
        <v>3642</v>
      </c>
      <c r="E70" s="3490">
        <v>78.430000000000007</v>
      </c>
      <c r="F70" s="3490">
        <v>25.54</v>
      </c>
      <c r="H70" s="3488">
        <v>66</v>
      </c>
      <c r="I70" s="3489" t="s">
        <v>4974</v>
      </c>
      <c r="J70" s="3490" t="s">
        <v>4857</v>
      </c>
      <c r="K70" s="3490">
        <v>95.59</v>
      </c>
      <c r="L70" s="3489">
        <v>31.13</v>
      </c>
    </row>
    <row r="71" spans="2:12" ht="23.25" customHeight="1" thickBot="1">
      <c r="B71" s="3488">
        <v>67</v>
      </c>
      <c r="C71" s="3490" t="s">
        <v>4974</v>
      </c>
      <c r="D71" s="3490" t="s">
        <v>3643</v>
      </c>
      <c r="E71" s="3490">
        <v>96.47</v>
      </c>
      <c r="F71" s="3490">
        <v>31.42</v>
      </c>
      <c r="H71" s="3488">
        <v>67</v>
      </c>
      <c r="I71" s="3489" t="s">
        <v>4974</v>
      </c>
      <c r="J71" s="3490" t="s">
        <v>4858</v>
      </c>
      <c r="K71" s="3490">
        <v>95.63</v>
      </c>
      <c r="L71" s="3489">
        <v>31.14</v>
      </c>
    </row>
    <row r="72" spans="2:12" ht="23.25" customHeight="1" thickBot="1">
      <c r="B72" s="3488">
        <v>68</v>
      </c>
      <c r="C72" s="3490" t="s">
        <v>4974</v>
      </c>
      <c r="D72" s="3490" t="s">
        <v>3644</v>
      </c>
      <c r="E72" s="3490">
        <v>96.02</v>
      </c>
      <c r="F72" s="3490">
        <v>31.27</v>
      </c>
      <c r="H72" s="3488">
        <v>68</v>
      </c>
      <c r="I72" s="3489" t="s">
        <v>4974</v>
      </c>
      <c r="J72" s="3490" t="s">
        <v>4859</v>
      </c>
      <c r="K72" s="3490">
        <v>96.11</v>
      </c>
      <c r="L72" s="3489">
        <v>31.3</v>
      </c>
    </row>
    <row r="73" spans="2:12" ht="23.25" customHeight="1" thickBot="1">
      <c r="B73" s="3488">
        <v>69</v>
      </c>
      <c r="C73" s="3490" t="s">
        <v>4974</v>
      </c>
      <c r="D73" s="3490" t="s">
        <v>3645</v>
      </c>
      <c r="E73" s="3490">
        <v>96.51</v>
      </c>
      <c r="F73" s="3490">
        <v>31.43</v>
      </c>
      <c r="H73" s="3488">
        <v>69</v>
      </c>
      <c r="I73" s="3489" t="s">
        <v>4974</v>
      </c>
      <c r="J73" s="3490" t="s">
        <v>4860</v>
      </c>
      <c r="K73" s="3490">
        <v>96.11</v>
      </c>
      <c r="L73" s="3489">
        <v>31.3</v>
      </c>
    </row>
    <row r="74" spans="2:12" ht="23.25" customHeight="1" thickBot="1">
      <c r="B74" s="3488">
        <v>70</v>
      </c>
      <c r="C74" s="3490" t="s">
        <v>4974</v>
      </c>
      <c r="D74" s="3490" t="s">
        <v>3646</v>
      </c>
      <c r="E74" s="3490">
        <v>96.02</v>
      </c>
      <c r="F74" s="3490">
        <v>31.27</v>
      </c>
      <c r="H74" s="3488">
        <v>70</v>
      </c>
      <c r="I74" s="3489" t="s">
        <v>4974</v>
      </c>
      <c r="J74" s="3490" t="s">
        <v>4861</v>
      </c>
      <c r="K74" s="3490">
        <v>95.63</v>
      </c>
      <c r="L74" s="3489">
        <v>31.14</v>
      </c>
    </row>
    <row r="75" spans="2:12" ht="23.25" customHeight="1" thickBot="1">
      <c r="B75" s="3488">
        <v>71</v>
      </c>
      <c r="C75" s="3490" t="s">
        <v>4974</v>
      </c>
      <c r="D75" s="3490" t="s">
        <v>3647</v>
      </c>
      <c r="E75" s="3490">
        <v>96.51</v>
      </c>
      <c r="F75" s="3490">
        <v>31.43</v>
      </c>
      <c r="H75" s="3488">
        <v>71</v>
      </c>
      <c r="I75" s="3489" t="s">
        <v>4974</v>
      </c>
      <c r="J75" s="3490" t="s">
        <v>4862</v>
      </c>
      <c r="K75" s="3490">
        <v>96.11</v>
      </c>
      <c r="L75" s="3489">
        <v>31.3</v>
      </c>
    </row>
    <row r="76" spans="2:12" ht="23.25" customHeight="1" thickBot="1">
      <c r="B76" s="3488">
        <v>72</v>
      </c>
      <c r="C76" s="3490" t="s">
        <v>4974</v>
      </c>
      <c r="D76" s="3490" t="s">
        <v>3648</v>
      </c>
      <c r="E76" s="3490">
        <v>96.02</v>
      </c>
      <c r="F76" s="3490">
        <v>31.27</v>
      </c>
      <c r="H76" s="3488">
        <v>72</v>
      </c>
      <c r="I76" s="3489" t="s">
        <v>4974</v>
      </c>
      <c r="J76" s="3490" t="s">
        <v>4863</v>
      </c>
      <c r="K76" s="3490">
        <v>95.63</v>
      </c>
      <c r="L76" s="3489">
        <v>31.14</v>
      </c>
    </row>
    <row r="77" spans="2:12" ht="23.25" customHeight="1" thickBot="1">
      <c r="B77" s="3488">
        <v>73</v>
      </c>
      <c r="C77" s="3490" t="s">
        <v>4974</v>
      </c>
      <c r="D77" s="3490" t="s">
        <v>3649</v>
      </c>
      <c r="E77" s="3490">
        <v>96.51</v>
      </c>
      <c r="F77" s="3490">
        <v>31.43</v>
      </c>
      <c r="H77" s="3488">
        <v>73</v>
      </c>
      <c r="I77" s="3489" t="s">
        <v>4974</v>
      </c>
      <c r="J77" s="3490" t="s">
        <v>4864</v>
      </c>
      <c r="K77" s="3490">
        <v>96.11</v>
      </c>
      <c r="L77" s="3489">
        <v>31.3</v>
      </c>
    </row>
    <row r="78" spans="2:12" ht="23.25" customHeight="1" thickBot="1">
      <c r="B78" s="3488">
        <v>74</v>
      </c>
      <c r="C78" s="3490" t="s">
        <v>4974</v>
      </c>
      <c r="D78" s="3490" t="s">
        <v>3650</v>
      </c>
      <c r="E78" s="3490">
        <v>96.02</v>
      </c>
      <c r="F78" s="3490">
        <v>31.27</v>
      </c>
      <c r="H78" s="3488">
        <v>74</v>
      </c>
      <c r="I78" s="3489" t="s">
        <v>4974</v>
      </c>
      <c r="J78" s="3490" t="s">
        <v>4865</v>
      </c>
      <c r="K78" s="3490">
        <v>95.63</v>
      </c>
      <c r="L78" s="3489">
        <v>31.14</v>
      </c>
    </row>
    <row r="79" spans="2:12" ht="23.25" customHeight="1" thickBot="1">
      <c r="B79" s="3488">
        <v>75</v>
      </c>
      <c r="C79" s="3490" t="s">
        <v>4974</v>
      </c>
      <c r="D79" s="3490" t="s">
        <v>3651</v>
      </c>
      <c r="E79" s="3490">
        <v>96.51</v>
      </c>
      <c r="F79" s="3490">
        <v>31.43</v>
      </c>
      <c r="H79" s="3488">
        <v>75</v>
      </c>
      <c r="I79" s="3489" t="s">
        <v>4974</v>
      </c>
      <c r="J79" s="3490" t="s">
        <v>4866</v>
      </c>
      <c r="K79" s="3490">
        <v>96.11</v>
      </c>
      <c r="L79" s="3489">
        <v>31.3</v>
      </c>
    </row>
    <row r="80" spans="2:12" ht="23.25" customHeight="1" thickBot="1">
      <c r="B80" s="3488">
        <v>76</v>
      </c>
      <c r="C80" s="3490" t="s">
        <v>4974</v>
      </c>
      <c r="D80" s="3490" t="s">
        <v>3652</v>
      </c>
      <c r="E80" s="3490">
        <v>96.02</v>
      </c>
      <c r="F80" s="3490">
        <v>31.27</v>
      </c>
      <c r="H80" s="3488">
        <v>76</v>
      </c>
      <c r="I80" s="3489" t="s">
        <v>4974</v>
      </c>
      <c r="J80" s="3490" t="s">
        <v>4867</v>
      </c>
      <c r="K80" s="3490">
        <v>95.63</v>
      </c>
      <c r="L80" s="3489">
        <v>31.14</v>
      </c>
    </row>
    <row r="81" spans="2:12" ht="23.25" customHeight="1" thickBot="1">
      <c r="B81" s="3488">
        <v>77</v>
      </c>
      <c r="C81" s="3490" t="s">
        <v>4974</v>
      </c>
      <c r="D81" s="3490" t="s">
        <v>3653</v>
      </c>
      <c r="E81" s="3490">
        <v>96.51</v>
      </c>
      <c r="F81" s="3490">
        <v>31.43</v>
      </c>
      <c r="H81" s="3488">
        <v>77</v>
      </c>
      <c r="I81" s="3489" t="s">
        <v>4974</v>
      </c>
      <c r="J81" s="3490" t="s">
        <v>4868</v>
      </c>
      <c r="K81" s="3490">
        <v>96.11</v>
      </c>
      <c r="L81" s="3489">
        <v>31.3</v>
      </c>
    </row>
    <row r="82" spans="2:12" ht="23.25" customHeight="1" thickBot="1">
      <c r="B82" s="3488">
        <v>78</v>
      </c>
      <c r="C82" s="3490" t="s">
        <v>4974</v>
      </c>
      <c r="D82" s="3490" t="s">
        <v>3654</v>
      </c>
      <c r="E82" s="3490">
        <v>96.02</v>
      </c>
      <c r="F82" s="3490">
        <v>31.27</v>
      </c>
      <c r="H82" s="3488">
        <v>78</v>
      </c>
      <c r="I82" s="3489" t="s">
        <v>4974</v>
      </c>
      <c r="J82" s="3490" t="s">
        <v>4869</v>
      </c>
      <c r="K82" s="3490">
        <v>95.63</v>
      </c>
      <c r="L82" s="3489">
        <v>31.14</v>
      </c>
    </row>
    <row r="83" spans="2:12" ht="23.25" customHeight="1" thickBot="1">
      <c r="B83" s="3488">
        <v>79</v>
      </c>
      <c r="C83" s="3490" t="s">
        <v>4974</v>
      </c>
      <c r="D83" s="3490" t="s">
        <v>3655</v>
      </c>
      <c r="E83" s="3490">
        <v>96.51</v>
      </c>
      <c r="F83" s="3490">
        <v>31.43</v>
      </c>
      <c r="H83" s="3488">
        <v>79</v>
      </c>
      <c r="I83" s="3489" t="s">
        <v>4974</v>
      </c>
      <c r="J83" s="3490" t="s">
        <v>4870</v>
      </c>
      <c r="K83" s="3490">
        <v>96.11</v>
      </c>
      <c r="L83" s="3489">
        <v>31.3</v>
      </c>
    </row>
    <row r="84" spans="2:12" ht="23.25" customHeight="1" thickBot="1">
      <c r="B84" s="3488">
        <v>80</v>
      </c>
      <c r="C84" s="3490" t="s">
        <v>4974</v>
      </c>
      <c r="D84" s="3490" t="s">
        <v>3656</v>
      </c>
      <c r="E84" s="3490">
        <v>96.02</v>
      </c>
      <c r="F84" s="3490">
        <v>31.27</v>
      </c>
      <c r="H84" s="3488">
        <v>80</v>
      </c>
      <c r="I84" s="3489" t="s">
        <v>4974</v>
      </c>
      <c r="J84" s="3490" t="s">
        <v>4871</v>
      </c>
      <c r="K84" s="3490">
        <v>96.11</v>
      </c>
      <c r="L84" s="3489">
        <v>31.3</v>
      </c>
    </row>
    <row r="85" spans="2:12" ht="23.25" customHeight="1" thickBot="1">
      <c r="B85" s="3488">
        <v>81</v>
      </c>
      <c r="C85" s="3490" t="s">
        <v>4974</v>
      </c>
      <c r="D85" s="3490" t="s">
        <v>3657</v>
      </c>
      <c r="E85" s="3490">
        <v>96.51</v>
      </c>
      <c r="F85" s="3490">
        <v>31.43</v>
      </c>
      <c r="H85" s="3488">
        <v>81</v>
      </c>
      <c r="I85" s="3489" t="s">
        <v>4974</v>
      </c>
      <c r="J85" s="3490" t="s">
        <v>4872</v>
      </c>
      <c r="K85" s="3490">
        <v>95.63</v>
      </c>
      <c r="L85" s="3489">
        <v>31.14</v>
      </c>
    </row>
    <row r="86" spans="2:12" ht="23.25" customHeight="1" thickBot="1">
      <c r="B86" s="3488">
        <v>82</v>
      </c>
      <c r="C86" s="3490" t="s">
        <v>4974</v>
      </c>
      <c r="D86" s="3490" t="s">
        <v>3658</v>
      </c>
      <c r="E86" s="3490">
        <v>88.45</v>
      </c>
      <c r="F86" s="3490">
        <v>28.81</v>
      </c>
      <c r="H86" s="3488">
        <v>82</v>
      </c>
      <c r="I86" s="3489" t="s">
        <v>4974</v>
      </c>
      <c r="J86" s="3490" t="s">
        <v>4873</v>
      </c>
      <c r="K86" s="3490">
        <v>115.85</v>
      </c>
      <c r="L86" s="3489">
        <v>37.729999999999997</v>
      </c>
    </row>
    <row r="87" spans="2:12" ht="23.25" customHeight="1" thickBot="1">
      <c r="B87" s="3488">
        <v>83</v>
      </c>
      <c r="C87" s="3490" t="s">
        <v>4974</v>
      </c>
      <c r="D87" s="3490" t="s">
        <v>3659</v>
      </c>
      <c r="E87" s="3490">
        <v>72.25</v>
      </c>
      <c r="F87" s="3490">
        <v>23.53</v>
      </c>
      <c r="H87" s="3488">
        <v>83</v>
      </c>
      <c r="I87" s="3489" t="s">
        <v>4974</v>
      </c>
      <c r="J87" s="3490" t="s">
        <v>4874</v>
      </c>
      <c r="K87" s="3490">
        <v>95.59</v>
      </c>
      <c r="L87" s="3489">
        <v>31.13</v>
      </c>
    </row>
    <row r="88" spans="2:12" ht="23.25" customHeight="1" thickBot="1">
      <c r="B88" s="3488">
        <v>84</v>
      </c>
      <c r="C88" s="3490" t="s">
        <v>4974</v>
      </c>
      <c r="D88" s="3490" t="s">
        <v>3660</v>
      </c>
      <c r="E88" s="3490">
        <v>88.5</v>
      </c>
      <c r="F88" s="3490">
        <v>28.82</v>
      </c>
      <c r="H88" s="3488">
        <v>84</v>
      </c>
      <c r="I88" s="3489" t="s">
        <v>4974</v>
      </c>
      <c r="J88" s="3490" t="s">
        <v>4875</v>
      </c>
      <c r="K88" s="3490">
        <v>115.85</v>
      </c>
      <c r="L88" s="3489">
        <v>37.729999999999997</v>
      </c>
    </row>
    <row r="89" spans="2:12" ht="23.25" customHeight="1" thickBot="1">
      <c r="B89" s="3488">
        <v>85</v>
      </c>
      <c r="C89" s="3490" t="s">
        <v>4974</v>
      </c>
      <c r="D89" s="3490" t="s">
        <v>3661</v>
      </c>
      <c r="E89" s="3490">
        <v>72.3</v>
      </c>
      <c r="F89" s="3490">
        <v>23.55</v>
      </c>
      <c r="H89" s="3488">
        <v>85</v>
      </c>
      <c r="I89" s="3489" t="s">
        <v>4974</v>
      </c>
      <c r="J89" s="3490" t="s">
        <v>4876</v>
      </c>
      <c r="K89" s="3490">
        <v>96.08</v>
      </c>
      <c r="L89" s="3489">
        <v>31.29</v>
      </c>
    </row>
    <row r="90" spans="2:12" ht="23.25" customHeight="1" thickBot="1">
      <c r="B90" s="3488">
        <v>86</v>
      </c>
      <c r="C90" s="3490" t="s">
        <v>4974</v>
      </c>
      <c r="D90" s="3490" t="s">
        <v>3662</v>
      </c>
      <c r="E90" s="3490">
        <v>88.5</v>
      </c>
      <c r="F90" s="3490">
        <v>28.82</v>
      </c>
      <c r="H90" s="3488">
        <v>86</v>
      </c>
      <c r="I90" s="3489" t="s">
        <v>4974</v>
      </c>
      <c r="J90" s="3490" t="s">
        <v>4877</v>
      </c>
      <c r="K90" s="3490">
        <v>96.08</v>
      </c>
      <c r="L90" s="3489">
        <v>31.29</v>
      </c>
    </row>
    <row r="91" spans="2:12" ht="23.25" customHeight="1" thickBot="1">
      <c r="B91" s="3488">
        <v>87</v>
      </c>
      <c r="C91" s="3490" t="s">
        <v>4974</v>
      </c>
      <c r="D91" s="3490" t="s">
        <v>3663</v>
      </c>
      <c r="E91" s="3490">
        <v>72.3</v>
      </c>
      <c r="F91" s="3490">
        <v>23.55</v>
      </c>
      <c r="H91" s="3488">
        <v>87</v>
      </c>
      <c r="I91" s="3489" t="s">
        <v>4974</v>
      </c>
      <c r="J91" s="3490" t="s">
        <v>4878</v>
      </c>
      <c r="K91" s="3490">
        <v>115.85</v>
      </c>
      <c r="L91" s="3489">
        <v>37.729999999999997</v>
      </c>
    </row>
    <row r="92" spans="2:12" ht="23.25" customHeight="1" thickBot="1">
      <c r="B92" s="3488">
        <v>88</v>
      </c>
      <c r="C92" s="3490" t="s">
        <v>4974</v>
      </c>
      <c r="D92" s="3490" t="s">
        <v>3664</v>
      </c>
      <c r="E92" s="3490">
        <v>88.5</v>
      </c>
      <c r="F92" s="3490">
        <v>28.82</v>
      </c>
      <c r="H92" s="3488">
        <v>88</v>
      </c>
      <c r="I92" s="3489" t="s">
        <v>4974</v>
      </c>
      <c r="J92" s="3490" t="s">
        <v>4879</v>
      </c>
      <c r="K92" s="3490">
        <v>88.56</v>
      </c>
      <c r="L92" s="3489">
        <v>28.84</v>
      </c>
    </row>
    <row r="93" spans="2:12" ht="23.25" customHeight="1" thickBot="1">
      <c r="B93" s="3488">
        <v>89</v>
      </c>
      <c r="C93" s="3490" t="s">
        <v>4974</v>
      </c>
      <c r="D93" s="3490" t="s">
        <v>3665</v>
      </c>
      <c r="E93" s="3490">
        <v>72.3</v>
      </c>
      <c r="F93" s="3490">
        <v>23.55</v>
      </c>
      <c r="H93" s="3488">
        <v>89</v>
      </c>
      <c r="I93" s="3489" t="s">
        <v>4974</v>
      </c>
      <c r="J93" s="3490" t="s">
        <v>4880</v>
      </c>
      <c r="K93" s="3490">
        <v>72.290000000000006</v>
      </c>
      <c r="L93" s="3489">
        <v>23.54</v>
      </c>
    </row>
    <row r="94" spans="2:12" ht="23.25" customHeight="1" thickBot="1">
      <c r="B94" s="3488">
        <v>90</v>
      </c>
      <c r="C94" s="3490" t="s">
        <v>4974</v>
      </c>
      <c r="D94" s="3490" t="s">
        <v>3666</v>
      </c>
      <c r="E94" s="3490">
        <v>88.5</v>
      </c>
      <c r="F94" s="3490">
        <v>28.82</v>
      </c>
      <c r="H94" s="3488">
        <v>90</v>
      </c>
      <c r="I94" s="3489" t="s">
        <v>4974</v>
      </c>
      <c r="J94" s="3490" t="s">
        <v>4881</v>
      </c>
      <c r="K94" s="3490">
        <v>88.56</v>
      </c>
      <c r="L94" s="3489">
        <v>28.84</v>
      </c>
    </row>
    <row r="95" spans="2:12" ht="23.25" customHeight="1" thickBot="1">
      <c r="B95" s="3488">
        <v>91</v>
      </c>
      <c r="C95" s="3490" t="s">
        <v>4974</v>
      </c>
      <c r="D95" s="3490" t="s">
        <v>3667</v>
      </c>
      <c r="E95" s="3490">
        <v>72.3</v>
      </c>
      <c r="F95" s="3490">
        <v>23.55</v>
      </c>
      <c r="H95" s="3488">
        <v>91</v>
      </c>
      <c r="I95" s="3489" t="s">
        <v>4974</v>
      </c>
      <c r="J95" s="3490" t="s">
        <v>4882</v>
      </c>
      <c r="K95" s="3490">
        <v>115.85</v>
      </c>
      <c r="L95" s="3489">
        <v>37.729999999999997</v>
      </c>
    </row>
    <row r="96" spans="2:12" ht="23.25" customHeight="1" thickBot="1">
      <c r="B96" s="3488">
        <v>92</v>
      </c>
      <c r="C96" s="3490" t="s">
        <v>4974</v>
      </c>
      <c r="D96" s="3490" t="s">
        <v>3668</v>
      </c>
      <c r="E96" s="3490">
        <v>57.64</v>
      </c>
      <c r="F96" s="3490">
        <v>18.77</v>
      </c>
      <c r="H96" s="3488">
        <v>92</v>
      </c>
      <c r="I96" s="3489" t="s">
        <v>4974</v>
      </c>
      <c r="J96" s="3490" t="s">
        <v>4883</v>
      </c>
      <c r="K96" s="3490">
        <v>115.85</v>
      </c>
      <c r="L96" s="3489">
        <v>37.729999999999997</v>
      </c>
    </row>
    <row r="97" spans="2:12" ht="23.25" customHeight="1" thickBot="1">
      <c r="B97" s="3488">
        <v>93</v>
      </c>
      <c r="C97" s="3490" t="s">
        <v>4974</v>
      </c>
      <c r="D97" s="3490" t="s">
        <v>3669</v>
      </c>
      <c r="E97" s="3490">
        <v>72.63</v>
      </c>
      <c r="F97" s="3490">
        <v>23.65</v>
      </c>
      <c r="H97" s="3488">
        <v>93</v>
      </c>
      <c r="I97" s="3489" t="s">
        <v>4974</v>
      </c>
      <c r="J97" s="3490" t="s">
        <v>4884</v>
      </c>
      <c r="K97" s="3490">
        <v>115.85</v>
      </c>
      <c r="L97" s="3489">
        <v>37.729999999999997</v>
      </c>
    </row>
    <row r="98" spans="2:12" ht="23.25" customHeight="1" thickBot="1">
      <c r="B98" s="3488">
        <v>94</v>
      </c>
      <c r="C98" s="3490" t="s">
        <v>4974</v>
      </c>
      <c r="D98" s="3490" t="s">
        <v>3670</v>
      </c>
      <c r="E98" s="3490">
        <v>72.23</v>
      </c>
      <c r="F98" s="3490">
        <v>23.52</v>
      </c>
      <c r="H98" s="3488">
        <v>94</v>
      </c>
      <c r="I98" s="3489" t="s">
        <v>4974</v>
      </c>
      <c r="J98" s="3490" t="s">
        <v>4885</v>
      </c>
      <c r="K98" s="3490">
        <v>115.85</v>
      </c>
      <c r="L98" s="3489">
        <v>37.729999999999997</v>
      </c>
    </row>
    <row r="99" spans="2:12" ht="23.25" customHeight="1" thickBot="1">
      <c r="B99" s="3488">
        <v>95</v>
      </c>
      <c r="C99" s="3490" t="s">
        <v>4974</v>
      </c>
      <c r="D99" s="3490" t="s">
        <v>3671</v>
      </c>
      <c r="E99" s="3490">
        <v>72.3</v>
      </c>
      <c r="F99" s="3490">
        <v>23.55</v>
      </c>
      <c r="H99" s="3488">
        <v>95</v>
      </c>
      <c r="I99" s="3489" t="s">
        <v>4974</v>
      </c>
      <c r="J99" s="3490" t="s">
        <v>4886</v>
      </c>
      <c r="K99" s="3490">
        <v>115.85</v>
      </c>
      <c r="L99" s="3489">
        <v>37.729999999999997</v>
      </c>
    </row>
    <row r="100" spans="2:12" ht="23.25" customHeight="1" thickBot="1">
      <c r="B100" s="3488">
        <v>96</v>
      </c>
      <c r="C100" s="3490" t="s">
        <v>4974</v>
      </c>
      <c r="D100" s="3490" t="s">
        <v>3672</v>
      </c>
      <c r="E100" s="3490">
        <v>72.63</v>
      </c>
      <c r="F100" s="3490">
        <v>23.65</v>
      </c>
      <c r="H100" s="3488">
        <v>96</v>
      </c>
      <c r="I100" s="3489" t="s">
        <v>4974</v>
      </c>
      <c r="J100" s="3490" t="s">
        <v>4887</v>
      </c>
      <c r="K100" s="3490">
        <v>115.85</v>
      </c>
      <c r="L100" s="3489">
        <v>37.729999999999997</v>
      </c>
    </row>
    <row r="101" spans="2:12" ht="23.25" customHeight="1" thickBot="1">
      <c r="B101" s="3488">
        <v>97</v>
      </c>
      <c r="C101" s="3490" t="s">
        <v>4974</v>
      </c>
      <c r="D101" s="3490" t="s">
        <v>3673</v>
      </c>
      <c r="E101" s="3490">
        <v>72.23</v>
      </c>
      <c r="F101" s="3490">
        <v>23.52</v>
      </c>
      <c r="H101" s="3488">
        <v>97</v>
      </c>
      <c r="I101" s="3489" t="s">
        <v>4974</v>
      </c>
      <c r="J101" s="3490" t="s">
        <v>4888</v>
      </c>
      <c r="K101" s="3490">
        <v>115.85</v>
      </c>
      <c r="L101" s="3489">
        <v>37.729999999999997</v>
      </c>
    </row>
    <row r="102" spans="2:12" ht="23.25" customHeight="1" thickBot="1">
      <c r="B102" s="3488">
        <v>98</v>
      </c>
      <c r="C102" s="3490" t="s">
        <v>4974</v>
      </c>
      <c r="D102" s="3490" t="s">
        <v>3674</v>
      </c>
      <c r="E102" s="3490">
        <v>72.3</v>
      </c>
      <c r="F102" s="3490">
        <v>23.55</v>
      </c>
      <c r="H102" s="3488">
        <v>98</v>
      </c>
      <c r="I102" s="3489" t="s">
        <v>4974</v>
      </c>
      <c r="J102" s="3490" t="s">
        <v>4889</v>
      </c>
      <c r="K102" s="3490">
        <v>96.08</v>
      </c>
      <c r="L102" s="3489">
        <v>31.29</v>
      </c>
    </row>
    <row r="103" spans="2:12" ht="23.25" customHeight="1" thickBot="1">
      <c r="B103" s="3488">
        <v>99</v>
      </c>
      <c r="C103" s="3490" t="s">
        <v>4974</v>
      </c>
      <c r="D103" s="3490" t="s">
        <v>3675</v>
      </c>
      <c r="E103" s="3490">
        <v>72.63</v>
      </c>
      <c r="F103" s="3490">
        <v>23.65</v>
      </c>
      <c r="H103" s="3488">
        <v>99</v>
      </c>
      <c r="I103" s="3489" t="s">
        <v>4974</v>
      </c>
      <c r="J103" s="3490" t="s">
        <v>4890</v>
      </c>
      <c r="K103" s="3490">
        <v>96.08</v>
      </c>
      <c r="L103" s="3489">
        <v>31.29</v>
      </c>
    </row>
    <row r="104" spans="2:12" ht="23.25" customHeight="1" thickBot="1">
      <c r="B104" s="3488">
        <v>100</v>
      </c>
      <c r="C104" s="3490" t="s">
        <v>4974</v>
      </c>
      <c r="D104" s="3490" t="s">
        <v>3676</v>
      </c>
      <c r="E104" s="3490">
        <v>72.23</v>
      </c>
      <c r="F104" s="3490">
        <v>23.52</v>
      </c>
      <c r="H104" s="3488">
        <v>100</v>
      </c>
      <c r="I104" s="3489" t="s">
        <v>4974</v>
      </c>
      <c r="J104" s="3490" t="s">
        <v>4891</v>
      </c>
      <c r="K104" s="3490">
        <v>115.85</v>
      </c>
      <c r="L104" s="3489">
        <v>37.729999999999997</v>
      </c>
    </row>
    <row r="105" spans="2:12" ht="23.25" customHeight="1" thickBot="1">
      <c r="B105" s="3488">
        <v>101</v>
      </c>
      <c r="C105" s="3490" t="s">
        <v>4974</v>
      </c>
      <c r="D105" s="3490" t="s">
        <v>3677</v>
      </c>
      <c r="E105" s="3490">
        <v>72.3</v>
      </c>
      <c r="F105" s="3490">
        <v>23.55</v>
      </c>
      <c r="H105" s="3488">
        <v>101</v>
      </c>
      <c r="I105" s="3489" t="s">
        <v>4974</v>
      </c>
      <c r="J105" s="3490" t="s">
        <v>4892</v>
      </c>
      <c r="K105" s="3490">
        <v>96.08</v>
      </c>
      <c r="L105" s="3489">
        <v>31.29</v>
      </c>
    </row>
    <row r="106" spans="2:12" ht="23.25" customHeight="1" thickBot="1">
      <c r="B106" s="3488">
        <v>102</v>
      </c>
      <c r="C106" s="3490" t="s">
        <v>4974</v>
      </c>
      <c r="D106" s="3490" t="s">
        <v>3678</v>
      </c>
      <c r="E106" s="3490">
        <v>72.63</v>
      </c>
      <c r="F106" s="3490">
        <v>23.65</v>
      </c>
      <c r="H106" s="3488">
        <v>102</v>
      </c>
      <c r="I106" s="3489" t="s">
        <v>4974</v>
      </c>
      <c r="J106" s="3490" t="s">
        <v>4893</v>
      </c>
      <c r="K106" s="3490">
        <v>115.85</v>
      </c>
      <c r="L106" s="3489">
        <v>37.729999999999997</v>
      </c>
    </row>
    <row r="107" spans="2:12" ht="23.25" customHeight="1" thickBot="1">
      <c r="B107" s="3488">
        <v>103</v>
      </c>
      <c r="C107" s="3490" t="s">
        <v>4974</v>
      </c>
      <c r="D107" s="3490" t="s">
        <v>3679</v>
      </c>
      <c r="E107" s="3490">
        <v>72.23</v>
      </c>
      <c r="F107" s="3490">
        <v>23.52</v>
      </c>
      <c r="H107" s="3488">
        <v>103</v>
      </c>
      <c r="I107" s="3489" t="s">
        <v>4974</v>
      </c>
      <c r="J107" s="3490" t="s">
        <v>4894</v>
      </c>
      <c r="K107" s="3490">
        <v>96.08</v>
      </c>
      <c r="L107" s="3489">
        <v>31.29</v>
      </c>
    </row>
    <row r="108" spans="2:12" ht="23.25" customHeight="1" thickBot="1">
      <c r="B108" s="3488">
        <v>104</v>
      </c>
      <c r="C108" s="3490" t="s">
        <v>4974</v>
      </c>
      <c r="D108" s="3490" t="s">
        <v>3680</v>
      </c>
      <c r="E108" s="3490">
        <v>72.63</v>
      </c>
      <c r="F108" s="3490">
        <v>23.65</v>
      </c>
      <c r="H108" s="3488">
        <v>104</v>
      </c>
      <c r="I108" s="3489" t="s">
        <v>4974</v>
      </c>
      <c r="J108" s="3490" t="s">
        <v>4895</v>
      </c>
      <c r="K108" s="3490">
        <v>115.85</v>
      </c>
      <c r="L108" s="3489">
        <v>37.729999999999997</v>
      </c>
    </row>
    <row r="109" spans="2:12" ht="23.25" customHeight="1" thickBot="1">
      <c r="B109" s="3488">
        <v>105</v>
      </c>
      <c r="C109" s="3490" t="s">
        <v>4974</v>
      </c>
      <c r="D109" s="3490" t="s">
        <v>3681</v>
      </c>
      <c r="E109" s="3490">
        <v>72.23</v>
      </c>
      <c r="F109" s="3490">
        <v>23.52</v>
      </c>
      <c r="H109" s="3488">
        <v>105</v>
      </c>
      <c r="I109" s="3489" t="s">
        <v>4974</v>
      </c>
      <c r="J109" s="3490" t="s">
        <v>4896</v>
      </c>
      <c r="K109" s="3490">
        <v>96.08</v>
      </c>
      <c r="L109" s="3489">
        <v>31.29</v>
      </c>
    </row>
    <row r="110" spans="2:12" ht="23.25" customHeight="1" thickBot="1">
      <c r="B110" s="3488">
        <v>106</v>
      </c>
      <c r="C110" s="3490" t="s">
        <v>4974</v>
      </c>
      <c r="D110" s="3490" t="s">
        <v>3682</v>
      </c>
      <c r="E110" s="3490">
        <v>72.349999999999994</v>
      </c>
      <c r="F110" s="3490">
        <v>23.56</v>
      </c>
      <c r="H110" s="3488">
        <v>106</v>
      </c>
      <c r="I110" s="3489" t="s">
        <v>4974</v>
      </c>
      <c r="J110" s="3490" t="s">
        <v>4897</v>
      </c>
      <c r="K110" s="3490">
        <v>115.85</v>
      </c>
      <c r="L110" s="3489">
        <v>37.729999999999997</v>
      </c>
    </row>
    <row r="111" spans="2:12" ht="23.25" customHeight="1" thickBot="1">
      <c r="B111" s="3488">
        <v>107</v>
      </c>
      <c r="C111" s="3490" t="s">
        <v>4974</v>
      </c>
      <c r="D111" s="3490" t="s">
        <v>3683</v>
      </c>
      <c r="E111" s="3490">
        <v>72.930000000000007</v>
      </c>
      <c r="F111" s="3490">
        <v>23.75</v>
      </c>
      <c r="H111" s="3488">
        <v>107</v>
      </c>
      <c r="I111" s="3489" t="s">
        <v>4974</v>
      </c>
      <c r="J111" s="3490" t="s">
        <v>4898</v>
      </c>
      <c r="K111" s="3490">
        <v>96.08</v>
      </c>
      <c r="L111" s="3489">
        <v>31.29</v>
      </c>
    </row>
    <row r="112" spans="2:12" ht="23.25" customHeight="1" thickBot="1">
      <c r="B112" s="3488">
        <v>108</v>
      </c>
      <c r="C112" s="3490" t="s">
        <v>4974</v>
      </c>
      <c r="D112" s="3490" t="s">
        <v>3684</v>
      </c>
      <c r="E112" s="3490">
        <v>72.97</v>
      </c>
      <c r="F112" s="3490">
        <v>23.76</v>
      </c>
      <c r="H112" s="3488">
        <v>108</v>
      </c>
      <c r="I112" s="3489" t="s">
        <v>4974</v>
      </c>
      <c r="J112" s="3490" t="s">
        <v>4899</v>
      </c>
      <c r="K112" s="3490">
        <v>115.85</v>
      </c>
      <c r="L112" s="3489">
        <v>37.729999999999997</v>
      </c>
    </row>
    <row r="113" spans="2:12" ht="23.25" customHeight="1" thickBot="1">
      <c r="B113" s="3488">
        <v>109</v>
      </c>
      <c r="C113" s="3490" t="s">
        <v>4974</v>
      </c>
      <c r="D113" s="3490" t="s">
        <v>3685</v>
      </c>
      <c r="E113" s="3490">
        <v>72.38</v>
      </c>
      <c r="F113" s="3490">
        <v>23.57</v>
      </c>
      <c r="H113" s="3488">
        <v>109</v>
      </c>
      <c r="I113" s="3489" t="s">
        <v>4974</v>
      </c>
      <c r="J113" s="3490" t="s">
        <v>4900</v>
      </c>
      <c r="K113" s="3490">
        <v>96.08</v>
      </c>
      <c r="L113" s="3489">
        <v>31.29</v>
      </c>
    </row>
    <row r="114" spans="2:12" ht="23.25" customHeight="1" thickBot="1">
      <c r="B114" s="3488">
        <v>110</v>
      </c>
      <c r="C114" s="3490" t="s">
        <v>4974</v>
      </c>
      <c r="D114" s="3490" t="s">
        <v>3686</v>
      </c>
      <c r="E114" s="3490">
        <v>72.97</v>
      </c>
      <c r="F114" s="3490">
        <v>23.76</v>
      </c>
      <c r="H114" s="3488">
        <v>110</v>
      </c>
      <c r="I114" s="3489" t="s">
        <v>4974</v>
      </c>
      <c r="J114" s="3490" t="s">
        <v>4901</v>
      </c>
      <c r="K114" s="3490">
        <v>115.85</v>
      </c>
      <c r="L114" s="3489">
        <v>37.729999999999997</v>
      </c>
    </row>
    <row r="115" spans="2:12" ht="23.25" customHeight="1" thickBot="1">
      <c r="B115" s="3488">
        <v>111</v>
      </c>
      <c r="C115" s="3490" t="s">
        <v>4974</v>
      </c>
      <c r="D115" s="3490" t="s">
        <v>3687</v>
      </c>
      <c r="E115" s="3490">
        <v>72.38</v>
      </c>
      <c r="F115" s="3490">
        <v>23.57</v>
      </c>
      <c r="H115" s="3488">
        <v>111</v>
      </c>
      <c r="I115" s="3489" t="s">
        <v>4974</v>
      </c>
      <c r="J115" s="3490" t="s">
        <v>4902</v>
      </c>
      <c r="K115" s="3490">
        <v>96.08</v>
      </c>
      <c r="L115" s="3489">
        <v>31.29</v>
      </c>
    </row>
    <row r="116" spans="2:12" ht="23.25" customHeight="1" thickBot="1">
      <c r="B116" s="3488">
        <v>112</v>
      </c>
      <c r="C116" s="3490" t="s">
        <v>4974</v>
      </c>
      <c r="D116" s="3490" t="s">
        <v>3688</v>
      </c>
      <c r="E116" s="3490">
        <v>72.97</v>
      </c>
      <c r="F116" s="3490">
        <v>23.76</v>
      </c>
      <c r="H116" s="3488">
        <v>112</v>
      </c>
      <c r="I116" s="3489" t="s">
        <v>4974</v>
      </c>
      <c r="J116" s="3490" t="s">
        <v>4903</v>
      </c>
      <c r="K116" s="3490">
        <v>115.85</v>
      </c>
      <c r="L116" s="3489">
        <v>37.729999999999997</v>
      </c>
    </row>
    <row r="117" spans="2:12" ht="23.25" customHeight="1" thickBot="1">
      <c r="B117" s="3488">
        <v>113</v>
      </c>
      <c r="C117" s="3490" t="s">
        <v>4974</v>
      </c>
      <c r="D117" s="3490" t="s">
        <v>3689</v>
      </c>
      <c r="E117" s="3490">
        <v>72.38</v>
      </c>
      <c r="F117" s="3490">
        <v>23.57</v>
      </c>
      <c r="H117" s="3488">
        <v>113</v>
      </c>
      <c r="I117" s="3489" t="s">
        <v>4974</v>
      </c>
      <c r="J117" s="3490" t="s">
        <v>4904</v>
      </c>
      <c r="K117" s="3490">
        <v>115.85</v>
      </c>
      <c r="L117" s="3489">
        <v>37.729999999999997</v>
      </c>
    </row>
    <row r="118" spans="2:12" ht="23.25" customHeight="1" thickBot="1">
      <c r="B118" s="3488">
        <v>114</v>
      </c>
      <c r="C118" s="3490" t="s">
        <v>4974</v>
      </c>
      <c r="D118" s="3490" t="s">
        <v>3690</v>
      </c>
      <c r="E118" s="3490">
        <v>72.97</v>
      </c>
      <c r="F118" s="3490">
        <v>23.76</v>
      </c>
      <c r="H118" s="3488">
        <v>114</v>
      </c>
      <c r="I118" s="3489" t="s">
        <v>4974</v>
      </c>
      <c r="J118" s="3490" t="s">
        <v>4905</v>
      </c>
      <c r="K118" s="3490">
        <v>95.59</v>
      </c>
      <c r="L118" s="3489">
        <v>31.13</v>
      </c>
    </row>
    <row r="119" spans="2:12" ht="23.25" customHeight="1" thickBot="1">
      <c r="B119" s="3488">
        <v>115</v>
      </c>
      <c r="C119" s="3490" t="s">
        <v>4974</v>
      </c>
      <c r="D119" s="3490" t="s">
        <v>3691</v>
      </c>
      <c r="E119" s="3490">
        <v>96.08</v>
      </c>
      <c r="F119" s="3490">
        <v>31.29</v>
      </c>
      <c r="H119" s="3488">
        <v>115</v>
      </c>
      <c r="I119" s="3489" t="s">
        <v>4974</v>
      </c>
      <c r="J119" s="3490" t="s">
        <v>4906</v>
      </c>
      <c r="K119" s="3490">
        <v>115.85</v>
      </c>
      <c r="L119" s="3489">
        <v>37.729999999999997</v>
      </c>
    </row>
    <row r="120" spans="2:12" ht="23.25" customHeight="1" thickBot="1">
      <c r="B120" s="3488">
        <v>116</v>
      </c>
      <c r="C120" s="3490" t="s">
        <v>4974</v>
      </c>
      <c r="D120" s="3490" t="s">
        <v>3692</v>
      </c>
      <c r="E120" s="3490">
        <v>115.85</v>
      </c>
      <c r="F120" s="3490">
        <v>37.729999999999997</v>
      </c>
      <c r="H120" s="3488">
        <v>116</v>
      </c>
      <c r="I120" s="3489" t="s">
        <v>4974</v>
      </c>
      <c r="J120" s="3490" t="s">
        <v>4907</v>
      </c>
      <c r="K120" s="3490">
        <v>95.59</v>
      </c>
      <c r="L120" s="3489">
        <v>31.13</v>
      </c>
    </row>
    <row r="121" spans="2:12" ht="23.25" customHeight="1" thickBot="1">
      <c r="B121" s="3488">
        <v>117</v>
      </c>
      <c r="C121" s="3490" t="s">
        <v>4974</v>
      </c>
      <c r="D121" s="3490" t="s">
        <v>3693</v>
      </c>
      <c r="E121" s="3490">
        <v>96.08</v>
      </c>
      <c r="F121" s="3490">
        <v>31.29</v>
      </c>
      <c r="H121" s="3488">
        <v>117</v>
      </c>
      <c r="I121" s="3489" t="s">
        <v>4974</v>
      </c>
      <c r="J121" s="3490" t="s">
        <v>4908</v>
      </c>
      <c r="K121" s="3490">
        <v>115.85</v>
      </c>
      <c r="L121" s="3489">
        <v>37.729999999999997</v>
      </c>
    </row>
    <row r="122" spans="2:12" ht="23.25" customHeight="1" thickBot="1">
      <c r="B122" s="3488">
        <v>118</v>
      </c>
      <c r="C122" s="3490" t="s">
        <v>4974</v>
      </c>
      <c r="D122" s="3490" t="s">
        <v>3694</v>
      </c>
      <c r="E122" s="3490">
        <v>115.85</v>
      </c>
      <c r="F122" s="3490">
        <v>37.729999999999997</v>
      </c>
      <c r="H122" s="3488">
        <v>118</v>
      </c>
      <c r="I122" s="3489" t="s">
        <v>4974</v>
      </c>
      <c r="J122" s="3490" t="s">
        <v>4909</v>
      </c>
      <c r="K122" s="3490">
        <v>95.59</v>
      </c>
      <c r="L122" s="3489">
        <v>31.13</v>
      </c>
    </row>
    <row r="123" spans="2:12" ht="23.25" customHeight="1" thickBot="1">
      <c r="B123" s="3488">
        <v>119</v>
      </c>
      <c r="C123" s="3490" t="s">
        <v>4974</v>
      </c>
      <c r="D123" s="3490" t="s">
        <v>3695</v>
      </c>
      <c r="E123" s="3490">
        <v>96.08</v>
      </c>
      <c r="F123" s="3490">
        <v>31.29</v>
      </c>
      <c r="H123" s="3488">
        <v>119</v>
      </c>
      <c r="I123" s="3489" t="s">
        <v>4974</v>
      </c>
      <c r="J123" s="3490" t="s">
        <v>4910</v>
      </c>
      <c r="K123" s="3490">
        <v>115.85</v>
      </c>
      <c r="L123" s="3489">
        <v>37.729999999999997</v>
      </c>
    </row>
    <row r="124" spans="2:12" ht="23.25" customHeight="1" thickBot="1">
      <c r="B124" s="3488">
        <v>120</v>
      </c>
      <c r="C124" s="3490" t="s">
        <v>4974</v>
      </c>
      <c r="D124" s="3490" t="s">
        <v>3696</v>
      </c>
      <c r="E124" s="3490">
        <v>115.85</v>
      </c>
      <c r="F124" s="3490">
        <v>37.729999999999997</v>
      </c>
      <c r="H124" s="3488">
        <v>120</v>
      </c>
      <c r="I124" s="3489" t="s">
        <v>4974</v>
      </c>
      <c r="J124" s="3490" t="s">
        <v>4911</v>
      </c>
      <c r="K124" s="3490">
        <v>95.59</v>
      </c>
      <c r="L124" s="3489">
        <v>31.13</v>
      </c>
    </row>
    <row r="125" spans="2:12" ht="23.25" customHeight="1" thickBot="1">
      <c r="B125" s="3488">
        <v>121</v>
      </c>
      <c r="C125" s="3490" t="s">
        <v>4974</v>
      </c>
      <c r="D125" s="3490" t="s">
        <v>3697</v>
      </c>
      <c r="E125" s="3490">
        <v>115.85</v>
      </c>
      <c r="F125" s="3490">
        <v>37.729999999999997</v>
      </c>
      <c r="H125" s="3488">
        <v>121</v>
      </c>
      <c r="I125" s="3489" t="s">
        <v>4974</v>
      </c>
      <c r="J125" s="3490" t="s">
        <v>4912</v>
      </c>
      <c r="K125" s="3490">
        <v>115.85</v>
      </c>
      <c r="L125" s="3489">
        <v>37.729999999999997</v>
      </c>
    </row>
    <row r="126" spans="2:12" ht="23.25" customHeight="1" thickBot="1">
      <c r="B126" s="3488">
        <v>122</v>
      </c>
      <c r="C126" s="3490" t="s">
        <v>4974</v>
      </c>
      <c r="D126" s="3490" t="s">
        <v>3698</v>
      </c>
      <c r="E126" s="3490">
        <v>95.59</v>
      </c>
      <c r="F126" s="3490">
        <v>31.13</v>
      </c>
      <c r="H126" s="3488">
        <v>122</v>
      </c>
      <c r="I126" s="3489" t="s">
        <v>4974</v>
      </c>
      <c r="J126" s="3490" t="s">
        <v>4913</v>
      </c>
      <c r="K126" s="3490">
        <v>95.59</v>
      </c>
      <c r="L126" s="3489">
        <v>31.13</v>
      </c>
    </row>
    <row r="127" spans="2:12" ht="23.25" customHeight="1" thickBot="1">
      <c r="B127" s="3488">
        <v>123</v>
      </c>
      <c r="C127" s="3490" t="s">
        <v>4974</v>
      </c>
      <c r="D127" s="3490" t="s">
        <v>3699</v>
      </c>
      <c r="E127" s="3490">
        <v>115.85</v>
      </c>
      <c r="F127" s="3490">
        <v>37.729999999999997</v>
      </c>
      <c r="H127" s="3488">
        <v>123</v>
      </c>
      <c r="I127" s="3489" t="s">
        <v>4974</v>
      </c>
      <c r="J127" s="3490" t="s">
        <v>4914</v>
      </c>
      <c r="K127" s="3490">
        <v>115.85</v>
      </c>
      <c r="L127" s="3489">
        <v>37.729999999999997</v>
      </c>
    </row>
    <row r="128" spans="2:12" ht="23.25" customHeight="1" thickBot="1">
      <c r="B128" s="3488">
        <v>124</v>
      </c>
      <c r="C128" s="3490" t="s">
        <v>4974</v>
      </c>
      <c r="D128" s="3490" t="s">
        <v>3700</v>
      </c>
      <c r="E128" s="3490">
        <v>95.59</v>
      </c>
      <c r="F128" s="3490">
        <v>31.13</v>
      </c>
      <c r="H128" s="3488">
        <v>124</v>
      </c>
      <c r="I128" s="3489" t="s">
        <v>4974</v>
      </c>
      <c r="J128" s="3490" t="s">
        <v>4915</v>
      </c>
      <c r="K128" s="3490">
        <v>95.59</v>
      </c>
      <c r="L128" s="3489">
        <v>31.13</v>
      </c>
    </row>
    <row r="129" spans="2:12" ht="23.25" customHeight="1" thickBot="1">
      <c r="B129" s="3488">
        <v>125</v>
      </c>
      <c r="C129" s="3490" t="s">
        <v>4974</v>
      </c>
      <c r="D129" s="3490" t="s">
        <v>3701</v>
      </c>
      <c r="E129" s="3490">
        <v>115.85</v>
      </c>
      <c r="F129" s="3490">
        <v>37.729999999999997</v>
      </c>
      <c r="H129" s="3488">
        <v>125</v>
      </c>
      <c r="I129" s="3489" t="s">
        <v>4974</v>
      </c>
      <c r="J129" s="3490" t="s">
        <v>4916</v>
      </c>
      <c r="K129" s="3490">
        <v>95.63</v>
      </c>
      <c r="L129" s="3489">
        <v>31.14</v>
      </c>
    </row>
    <row r="130" spans="2:12" ht="23.25" customHeight="1" thickBot="1">
      <c r="B130" s="3488">
        <v>126</v>
      </c>
      <c r="C130" s="3490" t="s">
        <v>4974</v>
      </c>
      <c r="D130" s="3490" t="s">
        <v>3702</v>
      </c>
      <c r="E130" s="3490">
        <v>95.63</v>
      </c>
      <c r="F130" s="3490">
        <v>31.14</v>
      </c>
      <c r="H130" s="3488">
        <v>126</v>
      </c>
      <c r="I130" s="3489" t="s">
        <v>4974</v>
      </c>
      <c r="J130" s="3490" t="s">
        <v>4917</v>
      </c>
      <c r="K130" s="3490">
        <v>96.11</v>
      </c>
      <c r="L130" s="3489">
        <v>31.3</v>
      </c>
    </row>
    <row r="131" spans="2:12" ht="23.25" customHeight="1" thickBot="1">
      <c r="B131" s="3488">
        <v>127</v>
      </c>
      <c r="C131" s="3490" t="s">
        <v>4974</v>
      </c>
      <c r="D131" s="3490" t="s">
        <v>3703</v>
      </c>
      <c r="E131" s="3490">
        <v>96.11</v>
      </c>
      <c r="F131" s="3490">
        <v>31.3</v>
      </c>
      <c r="H131" s="3488">
        <v>127</v>
      </c>
      <c r="I131" s="3489" t="s">
        <v>4974</v>
      </c>
      <c r="J131" s="3490" t="s">
        <v>4918</v>
      </c>
      <c r="K131" s="3490">
        <v>95.63</v>
      </c>
      <c r="L131" s="3489">
        <v>31.14</v>
      </c>
    </row>
    <row r="132" spans="2:12" ht="23.25" customHeight="1" thickBot="1">
      <c r="B132" s="3488">
        <v>128</v>
      </c>
      <c r="C132" s="3490" t="s">
        <v>4974</v>
      </c>
      <c r="D132" s="3490" t="s">
        <v>3704</v>
      </c>
      <c r="E132" s="3490">
        <v>95.63</v>
      </c>
      <c r="F132" s="3490">
        <v>31.14</v>
      </c>
      <c r="H132" s="3488">
        <v>128</v>
      </c>
      <c r="I132" s="3489" t="s">
        <v>4974</v>
      </c>
      <c r="J132" s="3490" t="s">
        <v>4919</v>
      </c>
      <c r="K132" s="3490">
        <v>96.11</v>
      </c>
      <c r="L132" s="3489">
        <v>31.3</v>
      </c>
    </row>
    <row r="133" spans="2:12" ht="23.25" customHeight="1" thickBot="1">
      <c r="B133" s="3488">
        <v>129</v>
      </c>
      <c r="C133" s="3490" t="s">
        <v>4974</v>
      </c>
      <c r="D133" s="3490" t="s">
        <v>3705</v>
      </c>
      <c r="E133" s="3490">
        <v>96.11</v>
      </c>
      <c r="F133" s="3490">
        <v>31.3</v>
      </c>
      <c r="H133" s="3488">
        <v>129</v>
      </c>
      <c r="I133" s="3489" t="s">
        <v>4974</v>
      </c>
      <c r="J133" s="3490" t="s">
        <v>4920</v>
      </c>
      <c r="K133" s="3490">
        <v>95.63</v>
      </c>
      <c r="L133" s="3489">
        <v>31.14</v>
      </c>
    </row>
    <row r="134" spans="2:12" ht="23.25" customHeight="1" thickBot="1">
      <c r="B134" s="3488">
        <v>130</v>
      </c>
      <c r="C134" s="3490" t="s">
        <v>4974</v>
      </c>
      <c r="D134" s="3490" t="s">
        <v>3706</v>
      </c>
      <c r="E134" s="3490">
        <v>96.11</v>
      </c>
      <c r="F134" s="3490">
        <v>31.3</v>
      </c>
      <c r="H134" s="3488">
        <v>130</v>
      </c>
      <c r="I134" s="3489" t="s">
        <v>4974</v>
      </c>
      <c r="J134" s="3490" t="s">
        <v>4921</v>
      </c>
      <c r="K134" s="3490">
        <v>96.11</v>
      </c>
      <c r="L134" s="3489">
        <v>31.3</v>
      </c>
    </row>
    <row r="135" spans="2:12" ht="23.25" customHeight="1" thickBot="1">
      <c r="B135" s="3488">
        <v>131</v>
      </c>
      <c r="C135" s="3490" t="s">
        <v>4974</v>
      </c>
      <c r="D135" s="3490" t="s">
        <v>3707</v>
      </c>
      <c r="E135" s="3490">
        <v>96.11</v>
      </c>
      <c r="F135" s="3490">
        <v>31.3</v>
      </c>
      <c r="H135" s="3488">
        <v>131</v>
      </c>
      <c r="I135" s="3489" t="s">
        <v>4974</v>
      </c>
      <c r="J135" s="3490" t="s">
        <v>4922</v>
      </c>
      <c r="K135" s="3490">
        <v>95.63</v>
      </c>
      <c r="L135" s="3489">
        <v>31.14</v>
      </c>
    </row>
    <row r="136" spans="2:12" ht="23.25" customHeight="1" thickBot="1">
      <c r="B136" s="3488">
        <v>132</v>
      </c>
      <c r="C136" s="3490" t="s">
        <v>4974</v>
      </c>
      <c r="D136" s="3490" t="s">
        <v>3708</v>
      </c>
      <c r="E136" s="3490">
        <v>95.63</v>
      </c>
      <c r="F136" s="3490">
        <v>31.14</v>
      </c>
      <c r="H136" s="3488">
        <v>132</v>
      </c>
      <c r="I136" s="3489" t="s">
        <v>4974</v>
      </c>
      <c r="J136" s="3490" t="s">
        <v>4923</v>
      </c>
      <c r="K136" s="3490">
        <v>96.11</v>
      </c>
      <c r="L136" s="3489">
        <v>31.3</v>
      </c>
    </row>
    <row r="137" spans="2:12" ht="23.25" customHeight="1" thickBot="1">
      <c r="B137" s="3488">
        <v>133</v>
      </c>
      <c r="C137" s="3490" t="s">
        <v>4974</v>
      </c>
      <c r="D137" s="3490" t="s">
        <v>3709</v>
      </c>
      <c r="E137" s="3490">
        <v>96.11</v>
      </c>
      <c r="F137" s="3490">
        <v>31.3</v>
      </c>
      <c r="H137" s="3488">
        <v>133</v>
      </c>
      <c r="I137" s="3489" t="s">
        <v>4974</v>
      </c>
      <c r="J137" s="3490" t="s">
        <v>4924</v>
      </c>
      <c r="K137" s="3490">
        <v>95.63</v>
      </c>
      <c r="L137" s="3489">
        <v>31.14</v>
      </c>
    </row>
    <row r="138" spans="2:12" ht="23.25" customHeight="1" thickBot="1">
      <c r="B138" s="3488">
        <v>134</v>
      </c>
      <c r="C138" s="3490" t="s">
        <v>4974</v>
      </c>
      <c r="D138" s="3490" t="s">
        <v>3710</v>
      </c>
      <c r="E138" s="3490">
        <v>95.63</v>
      </c>
      <c r="F138" s="3490">
        <v>31.14</v>
      </c>
      <c r="H138" s="3488">
        <v>134</v>
      </c>
      <c r="I138" s="3489" t="s">
        <v>4974</v>
      </c>
      <c r="J138" s="3490" t="s">
        <v>4925</v>
      </c>
      <c r="K138" s="3490">
        <v>96.11</v>
      </c>
      <c r="L138" s="3489">
        <v>31.3</v>
      </c>
    </row>
    <row r="139" spans="2:12" ht="23.25" customHeight="1" thickBot="1">
      <c r="B139" s="3488">
        <v>135</v>
      </c>
      <c r="C139" s="3490" t="s">
        <v>4974</v>
      </c>
      <c r="D139" s="3490" t="s">
        <v>3711</v>
      </c>
      <c r="E139" s="3490">
        <v>96.11</v>
      </c>
      <c r="F139" s="3490">
        <v>31.3</v>
      </c>
      <c r="H139" s="3488">
        <v>135</v>
      </c>
      <c r="I139" s="3489" t="s">
        <v>4974</v>
      </c>
      <c r="J139" s="3490" t="s">
        <v>4926</v>
      </c>
      <c r="K139" s="3490">
        <v>95.63</v>
      </c>
      <c r="L139" s="3489">
        <v>31.14</v>
      </c>
    </row>
    <row r="140" spans="2:12" ht="23.25" customHeight="1" thickBot="1">
      <c r="B140" s="3488">
        <v>136</v>
      </c>
      <c r="C140" s="3490" t="s">
        <v>4974</v>
      </c>
      <c r="D140" s="3490" t="s">
        <v>3712</v>
      </c>
      <c r="E140" s="3490">
        <v>95.63</v>
      </c>
      <c r="F140" s="3490">
        <v>31.14</v>
      </c>
      <c r="H140" s="3488">
        <v>136</v>
      </c>
      <c r="I140" s="3489" t="s">
        <v>4974</v>
      </c>
      <c r="J140" s="3490" t="s">
        <v>4975</v>
      </c>
      <c r="K140" s="3490">
        <v>96.11</v>
      </c>
      <c r="L140" s="3489">
        <v>31.3</v>
      </c>
    </row>
    <row r="141" spans="2:12" ht="23.25" customHeight="1" thickBot="1">
      <c r="B141" s="3488">
        <v>137</v>
      </c>
      <c r="C141" s="3490" t="s">
        <v>4974</v>
      </c>
      <c r="D141" s="3490" t="s">
        <v>3713</v>
      </c>
      <c r="E141" s="3490">
        <v>95.59</v>
      </c>
      <c r="F141" s="3490">
        <v>31.13</v>
      </c>
      <c r="H141" s="3488">
        <v>137</v>
      </c>
      <c r="I141" s="3489" t="s">
        <v>4974</v>
      </c>
      <c r="J141" s="3490" t="s">
        <v>4927</v>
      </c>
      <c r="K141" s="3490">
        <v>88.55</v>
      </c>
      <c r="L141" s="3489">
        <v>28.84</v>
      </c>
    </row>
    <row r="142" spans="2:12" ht="23.25" customHeight="1" thickBot="1">
      <c r="B142" s="3488">
        <v>138</v>
      </c>
      <c r="C142" s="3490" t="s">
        <v>4974</v>
      </c>
      <c r="D142" s="3490" t="s">
        <v>3714</v>
      </c>
      <c r="E142" s="3490">
        <v>115.85</v>
      </c>
      <c r="F142" s="3490">
        <v>37.729999999999997</v>
      </c>
      <c r="H142" s="3488">
        <v>138</v>
      </c>
      <c r="I142" s="3489" t="s">
        <v>4974</v>
      </c>
      <c r="J142" s="3490" t="s">
        <v>4928</v>
      </c>
      <c r="K142" s="3490">
        <v>72.290000000000006</v>
      </c>
      <c r="L142" s="3489">
        <v>23.54</v>
      </c>
    </row>
    <row r="143" spans="2:12" ht="23.25" customHeight="1" thickBot="1">
      <c r="B143" s="3488">
        <v>139</v>
      </c>
      <c r="C143" s="3490" t="s">
        <v>4974</v>
      </c>
      <c r="D143" s="3490" t="s">
        <v>3715</v>
      </c>
      <c r="E143" s="3490">
        <v>95.59</v>
      </c>
      <c r="F143" s="3490">
        <v>31.13</v>
      </c>
      <c r="H143" s="3488">
        <v>139</v>
      </c>
      <c r="I143" s="3489" t="s">
        <v>4974</v>
      </c>
      <c r="J143" s="3490" t="s">
        <v>4929</v>
      </c>
      <c r="K143" s="3490">
        <v>88.55</v>
      </c>
      <c r="L143" s="3489">
        <v>28.84</v>
      </c>
    </row>
    <row r="144" spans="2:12" ht="23.25" customHeight="1" thickBot="1">
      <c r="B144" s="3488">
        <v>140</v>
      </c>
      <c r="C144" s="3490" t="s">
        <v>4974</v>
      </c>
      <c r="D144" s="3490" t="s">
        <v>3716</v>
      </c>
      <c r="E144" s="3490">
        <v>115.85</v>
      </c>
      <c r="F144" s="3490">
        <v>37.729999999999997</v>
      </c>
      <c r="H144" s="3488">
        <v>140</v>
      </c>
      <c r="I144" s="3489" t="s">
        <v>4974</v>
      </c>
      <c r="J144" s="3490" t="s">
        <v>4930</v>
      </c>
      <c r="K144" s="3490">
        <v>72.290000000000006</v>
      </c>
      <c r="L144" s="3489">
        <v>23.54</v>
      </c>
    </row>
    <row r="145" spans="2:12" ht="23.25" customHeight="1" thickBot="1">
      <c r="B145" s="3488">
        <v>141</v>
      </c>
      <c r="C145" s="3490" t="s">
        <v>4974</v>
      </c>
      <c r="D145" s="3490" t="s">
        <v>3717</v>
      </c>
      <c r="E145" s="3490">
        <v>115.85</v>
      </c>
      <c r="F145" s="3490">
        <v>37.729999999999997</v>
      </c>
      <c r="H145" s="3488">
        <v>141</v>
      </c>
      <c r="I145" s="3489" t="s">
        <v>4974</v>
      </c>
      <c r="J145" s="3490" t="s">
        <v>4931</v>
      </c>
      <c r="K145" s="3490">
        <v>88.55</v>
      </c>
      <c r="L145" s="3489">
        <v>28.84</v>
      </c>
    </row>
    <row r="146" spans="2:12" ht="23.25" customHeight="1" thickBot="1">
      <c r="B146" s="3488">
        <v>142</v>
      </c>
      <c r="C146" s="3490" t="s">
        <v>4974</v>
      </c>
      <c r="D146" s="3490" t="s">
        <v>3718</v>
      </c>
      <c r="E146" s="3490">
        <v>96.08</v>
      </c>
      <c r="F146" s="3490">
        <v>31.29</v>
      </c>
      <c r="H146" s="3488">
        <v>142</v>
      </c>
      <c r="I146" s="3489" t="s">
        <v>4974</v>
      </c>
      <c r="J146" s="3490" t="s">
        <v>4932</v>
      </c>
      <c r="K146" s="3490">
        <v>72.290000000000006</v>
      </c>
      <c r="L146" s="3489">
        <v>23.54</v>
      </c>
    </row>
    <row r="147" spans="2:12" ht="23.25" customHeight="1" thickBot="1">
      <c r="B147" s="3488">
        <v>143</v>
      </c>
      <c r="C147" s="3490" t="s">
        <v>4974</v>
      </c>
      <c r="D147" s="3490" t="s">
        <v>3719</v>
      </c>
      <c r="E147" s="3490">
        <v>115.85</v>
      </c>
      <c r="F147" s="3490">
        <v>37.729999999999997</v>
      </c>
      <c r="H147" s="3488">
        <v>143</v>
      </c>
      <c r="I147" s="3489" t="s">
        <v>4974</v>
      </c>
      <c r="J147" s="3490" t="s">
        <v>4933</v>
      </c>
      <c r="K147" s="3490">
        <v>88.55</v>
      </c>
      <c r="L147" s="3489">
        <v>28.84</v>
      </c>
    </row>
    <row r="148" spans="2:12" ht="23.25" customHeight="1" thickBot="1">
      <c r="B148" s="3488">
        <v>144</v>
      </c>
      <c r="C148" s="3490" t="s">
        <v>4974</v>
      </c>
      <c r="D148" s="3490" t="s">
        <v>3720</v>
      </c>
      <c r="E148" s="3490">
        <v>96.08</v>
      </c>
      <c r="F148" s="3490">
        <v>31.29</v>
      </c>
      <c r="H148" s="3488">
        <v>144</v>
      </c>
      <c r="I148" s="3489" t="s">
        <v>4974</v>
      </c>
      <c r="J148" s="3490" t="s">
        <v>4934</v>
      </c>
      <c r="K148" s="3490">
        <v>72.290000000000006</v>
      </c>
      <c r="L148" s="3489">
        <v>23.54</v>
      </c>
    </row>
    <row r="149" spans="2:12" ht="23.25" customHeight="1" thickBot="1">
      <c r="B149" s="3488">
        <v>145</v>
      </c>
      <c r="C149" s="3490" t="s">
        <v>4974</v>
      </c>
      <c r="D149" s="3490" t="s">
        <v>3721</v>
      </c>
      <c r="E149" s="3490">
        <v>72.239999999999995</v>
      </c>
      <c r="F149" s="3490">
        <v>23.53</v>
      </c>
      <c r="H149" s="3488">
        <v>145</v>
      </c>
      <c r="I149" s="3489" t="s">
        <v>4974</v>
      </c>
      <c r="J149" s="3490" t="s">
        <v>4935</v>
      </c>
      <c r="K149" s="3490">
        <v>88.55</v>
      </c>
      <c r="L149" s="3489">
        <v>28.84</v>
      </c>
    </row>
    <row r="150" spans="2:12" ht="23.25" customHeight="1" thickBot="1">
      <c r="B150" s="3488">
        <v>146</v>
      </c>
      <c r="C150" s="3490" t="s">
        <v>4974</v>
      </c>
      <c r="D150" s="3490" t="s">
        <v>3722</v>
      </c>
      <c r="E150" s="3490">
        <v>88.51</v>
      </c>
      <c r="F150" s="3490">
        <v>28.83</v>
      </c>
      <c r="H150" s="3488">
        <v>146</v>
      </c>
      <c r="I150" s="3489" t="s">
        <v>4974</v>
      </c>
      <c r="J150" s="3490" t="s">
        <v>4936</v>
      </c>
      <c r="K150" s="3490">
        <v>72.290000000000006</v>
      </c>
      <c r="L150" s="3489">
        <v>23.54</v>
      </c>
    </row>
    <row r="151" spans="2:12" ht="23.25" customHeight="1" thickBot="1">
      <c r="B151" s="3488">
        <v>147</v>
      </c>
      <c r="C151" s="3490" t="s">
        <v>4974</v>
      </c>
      <c r="D151" s="3490" t="s">
        <v>3723</v>
      </c>
      <c r="E151" s="3490">
        <v>88.56</v>
      </c>
      <c r="F151" s="3490">
        <v>28.84</v>
      </c>
      <c r="H151" s="3488">
        <v>147</v>
      </c>
      <c r="I151" s="3489" t="s">
        <v>4974</v>
      </c>
      <c r="J151" s="3490" t="s">
        <v>4937</v>
      </c>
      <c r="K151" s="3490">
        <v>72.290000000000006</v>
      </c>
      <c r="L151" s="3489">
        <v>23.54</v>
      </c>
    </row>
    <row r="152" spans="2:12" ht="23.25" customHeight="1" thickBot="1">
      <c r="B152" s="3488">
        <v>148</v>
      </c>
      <c r="C152" s="3490" t="s">
        <v>4974</v>
      </c>
      <c r="D152" s="3490" t="s">
        <v>3724</v>
      </c>
      <c r="E152" s="3490">
        <v>72.290000000000006</v>
      </c>
      <c r="F152" s="3490">
        <v>23.54</v>
      </c>
      <c r="H152" s="3488">
        <v>148</v>
      </c>
      <c r="I152" s="3489" t="s">
        <v>4974</v>
      </c>
      <c r="J152" s="3490" t="s">
        <v>4938</v>
      </c>
      <c r="K152" s="3490">
        <v>88.55</v>
      </c>
      <c r="L152" s="3489">
        <v>28.84</v>
      </c>
    </row>
    <row r="153" spans="2:12" ht="23.25" customHeight="1" thickBot="1">
      <c r="B153" s="3488">
        <v>149</v>
      </c>
      <c r="C153" s="3490" t="s">
        <v>4974</v>
      </c>
      <c r="D153" s="3490" t="s">
        <v>3725</v>
      </c>
      <c r="E153" s="3490">
        <v>88.56</v>
      </c>
      <c r="F153" s="3490">
        <v>28.84</v>
      </c>
      <c r="H153" s="3488">
        <v>149</v>
      </c>
      <c r="I153" s="3489" t="s">
        <v>4974</v>
      </c>
      <c r="J153" s="3490" t="s">
        <v>4939</v>
      </c>
      <c r="K153" s="3490">
        <v>72.290000000000006</v>
      </c>
      <c r="L153" s="3489">
        <v>23.54</v>
      </c>
    </row>
    <row r="154" spans="2:12" ht="23.25" customHeight="1" thickBot="1">
      <c r="B154" s="3488">
        <v>150</v>
      </c>
      <c r="C154" s="3490" t="s">
        <v>4974</v>
      </c>
      <c r="D154" s="3490" t="s">
        <v>3726</v>
      </c>
      <c r="E154" s="3490">
        <v>88.56</v>
      </c>
      <c r="F154" s="3490">
        <v>28.84</v>
      </c>
      <c r="H154" s="3488">
        <v>150</v>
      </c>
      <c r="I154" s="3489" t="s">
        <v>4974</v>
      </c>
      <c r="J154" s="3490" t="s">
        <v>4940</v>
      </c>
      <c r="K154" s="3490">
        <v>88.55</v>
      </c>
      <c r="L154" s="3489">
        <v>28.84</v>
      </c>
    </row>
    <row r="155" spans="2:12" ht="23.25" customHeight="1" thickBot="1">
      <c r="B155" s="3488">
        <v>151</v>
      </c>
      <c r="C155" s="3490" t="s">
        <v>4974</v>
      </c>
      <c r="D155" s="3490" t="s">
        <v>3727</v>
      </c>
      <c r="E155" s="3490">
        <v>72.290000000000006</v>
      </c>
      <c r="F155" s="3490">
        <v>23.54</v>
      </c>
      <c r="H155" s="3488">
        <v>151</v>
      </c>
      <c r="I155" s="3489" t="s">
        <v>4974</v>
      </c>
      <c r="J155" s="3490" t="s">
        <v>4941</v>
      </c>
      <c r="K155" s="3490">
        <v>72.290000000000006</v>
      </c>
      <c r="L155" s="3489">
        <v>23.54</v>
      </c>
    </row>
    <row r="156" spans="2:12" ht="23.25" customHeight="1" thickBot="1">
      <c r="B156" s="3488">
        <v>152</v>
      </c>
      <c r="C156" s="3490" t="s">
        <v>4974</v>
      </c>
      <c r="D156" s="3490" t="s">
        <v>3728</v>
      </c>
      <c r="E156" s="3490">
        <v>96.11</v>
      </c>
      <c r="F156" s="3490">
        <v>31.3</v>
      </c>
      <c r="H156" s="3488">
        <v>152</v>
      </c>
      <c r="I156" s="3489" t="s">
        <v>4974</v>
      </c>
      <c r="J156" s="3490" t="s">
        <v>4942</v>
      </c>
      <c r="K156" s="3490">
        <v>88.55</v>
      </c>
      <c r="L156" s="3489">
        <v>28.84</v>
      </c>
    </row>
    <row r="157" spans="2:12" ht="23.25" customHeight="1" thickBot="1">
      <c r="B157" s="3488">
        <v>153</v>
      </c>
      <c r="C157" s="3490" t="s">
        <v>4974</v>
      </c>
      <c r="D157" s="3490" t="s">
        <v>3729</v>
      </c>
      <c r="E157" s="3490">
        <v>95.63</v>
      </c>
      <c r="F157" s="3490">
        <v>31.14</v>
      </c>
      <c r="H157" s="3488">
        <v>153</v>
      </c>
      <c r="I157" s="3489" t="s">
        <v>4974</v>
      </c>
      <c r="J157" s="3490" t="s">
        <v>4943</v>
      </c>
      <c r="K157" s="3490">
        <v>72.290000000000006</v>
      </c>
      <c r="L157" s="3489">
        <v>23.54</v>
      </c>
    </row>
    <row r="158" spans="2:12" ht="23.25" customHeight="1" thickBot="1">
      <c r="B158" s="3488">
        <v>154</v>
      </c>
      <c r="C158" s="3490" t="s">
        <v>4974</v>
      </c>
      <c r="D158" s="3490" t="s">
        <v>3730</v>
      </c>
      <c r="E158" s="3490">
        <v>96.11</v>
      </c>
      <c r="F158" s="3490">
        <v>31.3</v>
      </c>
      <c r="H158" s="3488">
        <v>154</v>
      </c>
      <c r="I158" s="3489" t="s">
        <v>4974</v>
      </c>
      <c r="J158" s="3490" t="s">
        <v>4944</v>
      </c>
      <c r="K158" s="3490">
        <v>88.55</v>
      </c>
      <c r="L158" s="3489">
        <v>28.84</v>
      </c>
    </row>
    <row r="159" spans="2:12" ht="23.25" customHeight="1" thickBot="1">
      <c r="B159" s="3488">
        <v>155</v>
      </c>
      <c r="C159" s="3490" t="s">
        <v>4974</v>
      </c>
      <c r="D159" s="3490" t="s">
        <v>3731</v>
      </c>
      <c r="E159" s="3490">
        <v>95.59</v>
      </c>
      <c r="F159" s="3490">
        <v>31.13</v>
      </c>
      <c r="H159" s="3488">
        <v>155</v>
      </c>
      <c r="I159" s="3489" t="s">
        <v>4974</v>
      </c>
      <c r="J159" s="3490" t="s">
        <v>4945</v>
      </c>
      <c r="K159" s="3490">
        <v>72.290000000000006</v>
      </c>
      <c r="L159" s="3489">
        <v>23.54</v>
      </c>
    </row>
    <row r="160" spans="2:12" ht="23.25" customHeight="1" thickBot="1">
      <c r="B160" s="3488">
        <v>156</v>
      </c>
      <c r="C160" s="3490" t="s">
        <v>4974</v>
      </c>
      <c r="D160" s="3490" t="s">
        <v>3732</v>
      </c>
      <c r="E160" s="3490">
        <v>115.85</v>
      </c>
      <c r="F160" s="3490">
        <v>37.729999999999997</v>
      </c>
      <c r="H160" s="3488">
        <v>156</v>
      </c>
      <c r="I160" s="3489" t="s">
        <v>4974</v>
      </c>
      <c r="J160" s="3490" t="s">
        <v>4946</v>
      </c>
      <c r="K160" s="3490">
        <v>88.55</v>
      </c>
      <c r="L160" s="3489">
        <v>28.84</v>
      </c>
    </row>
    <row r="161" spans="2:12" ht="23.25" customHeight="1" thickBot="1">
      <c r="B161" s="3488">
        <v>157</v>
      </c>
      <c r="C161" s="3490" t="s">
        <v>4974</v>
      </c>
      <c r="D161" s="3490" t="s">
        <v>3733</v>
      </c>
      <c r="E161" s="3490">
        <v>115.85</v>
      </c>
      <c r="F161" s="3490">
        <v>37.729999999999997</v>
      </c>
      <c r="H161" s="3488">
        <v>157</v>
      </c>
      <c r="I161" s="3489" t="s">
        <v>4974</v>
      </c>
      <c r="J161" s="3490" t="s">
        <v>4947</v>
      </c>
      <c r="K161" s="3489">
        <v>72.290000000000006</v>
      </c>
      <c r="L161" s="3489">
        <v>23.54</v>
      </c>
    </row>
    <row r="162" spans="2:12" ht="23.25" customHeight="1" thickBot="1">
      <c r="B162" s="3488">
        <v>158</v>
      </c>
      <c r="C162" s="3490" t="s">
        <v>4974</v>
      </c>
      <c r="D162" s="3490" t="s">
        <v>3734</v>
      </c>
      <c r="E162" s="3490">
        <v>95.59</v>
      </c>
      <c r="F162" s="3490">
        <v>31.13</v>
      </c>
      <c r="H162" s="3488">
        <v>158</v>
      </c>
      <c r="I162" s="3489" t="s">
        <v>4974</v>
      </c>
      <c r="J162" s="3490" t="s">
        <v>4948</v>
      </c>
      <c r="K162" s="3489">
        <v>72.290000000000006</v>
      </c>
      <c r="L162" s="3489">
        <v>23.54</v>
      </c>
    </row>
    <row r="163" spans="2:12" ht="23.25" customHeight="1" thickBot="1">
      <c r="B163" s="3488">
        <v>159</v>
      </c>
      <c r="C163" s="3490" t="s">
        <v>4974</v>
      </c>
      <c r="D163" s="3490" t="s">
        <v>3735</v>
      </c>
      <c r="E163" s="3490">
        <v>115.85</v>
      </c>
      <c r="F163" s="3490">
        <v>37.729999999999997</v>
      </c>
      <c r="H163" s="3488">
        <v>159</v>
      </c>
      <c r="I163" s="3489" t="s">
        <v>4974</v>
      </c>
      <c r="J163" s="3490" t="s">
        <v>4949</v>
      </c>
      <c r="K163" s="3489">
        <v>88.56</v>
      </c>
      <c r="L163" s="3489">
        <v>28.84</v>
      </c>
    </row>
    <row r="164" spans="2:12" ht="23.25" customHeight="1" thickBot="1">
      <c r="B164" s="3488">
        <v>160</v>
      </c>
      <c r="C164" s="3490" t="s">
        <v>4974</v>
      </c>
      <c r="D164" s="3490" t="s">
        <v>3736</v>
      </c>
      <c r="E164" s="3490">
        <v>115.85</v>
      </c>
      <c r="F164" s="3490">
        <v>37.729999999999997</v>
      </c>
      <c r="H164" s="3488">
        <v>160</v>
      </c>
      <c r="I164" s="3489" t="s">
        <v>4974</v>
      </c>
      <c r="J164" s="3490" t="s">
        <v>4950</v>
      </c>
      <c r="K164" s="3489">
        <v>72.290000000000006</v>
      </c>
      <c r="L164" s="3489">
        <v>23.54</v>
      </c>
    </row>
    <row r="165" spans="2:12" ht="23.25" customHeight="1" thickBot="1">
      <c r="B165" s="3488">
        <v>161</v>
      </c>
      <c r="C165" s="3490" t="s">
        <v>4974</v>
      </c>
      <c r="D165" s="3490" t="s">
        <v>3737</v>
      </c>
      <c r="E165" s="3490">
        <v>96.08</v>
      </c>
      <c r="F165" s="3490">
        <v>31.29</v>
      </c>
      <c r="H165" s="3488">
        <v>161</v>
      </c>
      <c r="I165" s="3489" t="s">
        <v>4974</v>
      </c>
      <c r="J165" s="3490" t="s">
        <v>4951</v>
      </c>
      <c r="K165" s="3489">
        <v>88.56</v>
      </c>
      <c r="L165" s="3489">
        <v>28.84</v>
      </c>
    </row>
    <row r="166" spans="2:12" ht="23.25" customHeight="1" thickBot="1">
      <c r="B166" s="3488">
        <v>162</v>
      </c>
      <c r="C166" s="3490" t="s">
        <v>4974</v>
      </c>
      <c r="D166" s="3490" t="s">
        <v>3738</v>
      </c>
      <c r="E166" s="3490">
        <v>115.85</v>
      </c>
      <c r="F166" s="3490">
        <v>37.729999999999997</v>
      </c>
      <c r="H166" s="3488">
        <v>162</v>
      </c>
      <c r="I166" s="3489" t="s">
        <v>4974</v>
      </c>
      <c r="J166" s="3490" t="s">
        <v>4952</v>
      </c>
      <c r="K166" s="3489">
        <v>88.56</v>
      </c>
      <c r="L166" s="3489">
        <v>28.84</v>
      </c>
    </row>
    <row r="167" spans="2:12" ht="23.25" customHeight="1" thickBot="1">
      <c r="B167" s="3488">
        <v>163</v>
      </c>
      <c r="C167" s="3490" t="s">
        <v>4974</v>
      </c>
      <c r="D167" s="3490" t="s">
        <v>3739</v>
      </c>
      <c r="E167" s="3490">
        <v>96.08</v>
      </c>
      <c r="F167" s="3490">
        <v>31.29</v>
      </c>
      <c r="H167" s="3488">
        <v>163</v>
      </c>
      <c r="I167" s="3489" t="s">
        <v>4974</v>
      </c>
      <c r="J167" s="3490" t="s">
        <v>4953</v>
      </c>
      <c r="K167" s="3489">
        <v>88.56</v>
      </c>
      <c r="L167" s="3489">
        <v>28.84</v>
      </c>
    </row>
    <row r="168" spans="2:12" ht="23.25" customHeight="1" thickBot="1">
      <c r="B168" s="3488">
        <v>164</v>
      </c>
      <c r="C168" s="3490" t="s">
        <v>4974</v>
      </c>
      <c r="D168" s="3490" t="s">
        <v>3740</v>
      </c>
      <c r="E168" s="3490">
        <v>96.08</v>
      </c>
      <c r="F168" s="3490">
        <v>31.29</v>
      </c>
      <c r="H168" s="3488">
        <v>164</v>
      </c>
      <c r="I168" s="3489" t="s">
        <v>4974</v>
      </c>
      <c r="J168" s="3490" t="s">
        <v>4954</v>
      </c>
      <c r="K168" s="3489">
        <v>72.290000000000006</v>
      </c>
      <c r="L168" s="3489">
        <v>23.54</v>
      </c>
    </row>
    <row r="169" spans="2:12" ht="23.25" customHeight="1" thickBot="1">
      <c r="B169" s="3488">
        <v>165</v>
      </c>
      <c r="C169" s="3490" t="s">
        <v>4974</v>
      </c>
      <c r="D169" s="3490" t="s">
        <v>3741</v>
      </c>
      <c r="E169" s="3490">
        <v>115.85</v>
      </c>
      <c r="F169" s="3490">
        <v>37.729999999999997</v>
      </c>
      <c r="H169" s="3488">
        <v>165</v>
      </c>
      <c r="I169" s="3489" t="s">
        <v>4974</v>
      </c>
      <c r="J169" s="3490" t="s">
        <v>4955</v>
      </c>
      <c r="K169" s="3489">
        <v>88.56</v>
      </c>
      <c r="L169" s="3489">
        <v>28.84</v>
      </c>
    </row>
    <row r="170" spans="2:12" ht="23.25" customHeight="1" thickBot="1">
      <c r="B170" s="3488">
        <v>166</v>
      </c>
      <c r="C170" s="3490" t="s">
        <v>4974</v>
      </c>
      <c r="D170" s="3490" t="s">
        <v>3742</v>
      </c>
      <c r="E170" s="3490">
        <v>96.08</v>
      </c>
      <c r="F170" s="3490">
        <v>31.29</v>
      </c>
      <c r="H170" s="3488">
        <v>166</v>
      </c>
      <c r="I170" s="3489" t="s">
        <v>4974</v>
      </c>
      <c r="J170" s="3490" t="s">
        <v>4956</v>
      </c>
      <c r="K170" s="3489">
        <v>72.290000000000006</v>
      </c>
      <c r="L170" s="3489">
        <v>23.54</v>
      </c>
    </row>
    <row r="171" spans="2:12" ht="23.25" customHeight="1" thickBot="1">
      <c r="B171" s="3488">
        <v>167</v>
      </c>
      <c r="C171" s="3490" t="s">
        <v>4974</v>
      </c>
      <c r="D171" s="3490" t="s">
        <v>3743</v>
      </c>
      <c r="E171" s="3490">
        <v>115.85</v>
      </c>
      <c r="F171" s="3490">
        <v>37.729999999999997</v>
      </c>
      <c r="H171" s="3488">
        <v>167</v>
      </c>
      <c r="I171" s="3489" t="s">
        <v>4974</v>
      </c>
      <c r="J171" s="3490" t="s">
        <v>4957</v>
      </c>
      <c r="K171" s="3489">
        <v>88.56</v>
      </c>
      <c r="L171" s="3489">
        <v>28.84</v>
      </c>
    </row>
    <row r="172" spans="2:12" ht="23.25" customHeight="1" thickBot="1">
      <c r="B172" s="3488">
        <v>168</v>
      </c>
      <c r="C172" s="3490" t="s">
        <v>4974</v>
      </c>
      <c r="D172" s="3490" t="s">
        <v>3744</v>
      </c>
      <c r="E172" s="3490">
        <v>96.08</v>
      </c>
      <c r="F172" s="3490">
        <v>31.29</v>
      </c>
      <c r="H172" s="3488">
        <v>168</v>
      </c>
      <c r="I172" s="3489" t="s">
        <v>4974</v>
      </c>
      <c r="J172" s="3490" t="s">
        <v>4958</v>
      </c>
      <c r="K172" s="3489">
        <v>72.290000000000006</v>
      </c>
      <c r="L172" s="3489">
        <v>23.54</v>
      </c>
    </row>
    <row r="173" spans="2:12" ht="23.25" customHeight="1" thickBot="1">
      <c r="B173" s="3488">
        <v>169</v>
      </c>
      <c r="C173" s="3490" t="s">
        <v>4974</v>
      </c>
      <c r="D173" s="3490" t="s">
        <v>3745</v>
      </c>
      <c r="E173" s="3490">
        <v>115.85</v>
      </c>
      <c r="F173" s="3490">
        <v>37.729999999999997</v>
      </c>
      <c r="H173" s="3488">
        <v>169</v>
      </c>
      <c r="I173" s="3489" t="s">
        <v>4974</v>
      </c>
      <c r="J173" s="3490" t="s">
        <v>4959</v>
      </c>
      <c r="K173" s="3489">
        <v>88.56</v>
      </c>
      <c r="L173" s="3489">
        <v>28.84</v>
      </c>
    </row>
    <row r="174" spans="2:12" ht="23.25" customHeight="1" thickBot="1">
      <c r="B174" s="3488">
        <v>170</v>
      </c>
      <c r="C174" s="3490" t="s">
        <v>4974</v>
      </c>
      <c r="D174" s="3490" t="s">
        <v>3746</v>
      </c>
      <c r="E174" s="3490">
        <v>115.85</v>
      </c>
      <c r="F174" s="3490">
        <v>37.729999999999997</v>
      </c>
      <c r="H174" s="3488">
        <v>170</v>
      </c>
      <c r="I174" s="3489" t="s">
        <v>4974</v>
      </c>
      <c r="J174" s="3490" t="s">
        <v>4960</v>
      </c>
      <c r="K174" s="3489">
        <v>88.56</v>
      </c>
      <c r="L174" s="3489">
        <v>28.84</v>
      </c>
    </row>
    <row r="175" spans="2:12" ht="23.25" customHeight="1" thickBot="1">
      <c r="B175" s="3488">
        <v>171</v>
      </c>
      <c r="C175" s="3490" t="s">
        <v>4974</v>
      </c>
      <c r="D175" s="3490" t="s">
        <v>3747</v>
      </c>
      <c r="E175" s="3490">
        <v>95.59</v>
      </c>
      <c r="F175" s="3490">
        <v>31.13</v>
      </c>
      <c r="H175" s="3488">
        <v>171</v>
      </c>
      <c r="I175" s="3489" t="s">
        <v>4974</v>
      </c>
      <c r="J175" s="3490" t="s">
        <v>4961</v>
      </c>
      <c r="K175" s="3489">
        <v>72.290000000000006</v>
      </c>
      <c r="L175" s="3489">
        <v>23.54</v>
      </c>
    </row>
    <row r="176" spans="2:12" ht="23.25" customHeight="1" thickBot="1">
      <c r="B176" s="3488">
        <v>172</v>
      </c>
      <c r="C176" s="3490" t="s">
        <v>4974</v>
      </c>
      <c r="D176" s="3490" t="s">
        <v>3748</v>
      </c>
      <c r="E176" s="3490">
        <v>115.85</v>
      </c>
      <c r="F176" s="3490">
        <v>37.729999999999997</v>
      </c>
      <c r="H176" s="3488">
        <v>172</v>
      </c>
      <c r="I176" s="3489" t="s">
        <v>4974</v>
      </c>
      <c r="J176" s="3490" t="s">
        <v>4962</v>
      </c>
      <c r="K176" s="3489">
        <v>88.56</v>
      </c>
      <c r="L176" s="3489">
        <v>28.84</v>
      </c>
    </row>
    <row r="177" spans="2:14" ht="23.25" customHeight="1" thickBot="1">
      <c r="B177" s="3488">
        <v>173</v>
      </c>
      <c r="C177" s="3490" t="s">
        <v>4974</v>
      </c>
      <c r="D177" s="3490" t="s">
        <v>3749</v>
      </c>
      <c r="E177" s="3490">
        <v>95.59</v>
      </c>
      <c r="F177" s="3490">
        <v>31.13</v>
      </c>
      <c r="H177" s="3488">
        <v>173</v>
      </c>
      <c r="I177" s="3489" t="s">
        <v>4974</v>
      </c>
      <c r="J177" s="3490" t="s">
        <v>4963</v>
      </c>
      <c r="K177" s="3489">
        <v>72.290000000000006</v>
      </c>
      <c r="L177" s="3489">
        <v>23.54</v>
      </c>
    </row>
    <row r="178" spans="2:14" ht="23.25" customHeight="1" thickBot="1">
      <c r="B178" s="3488">
        <v>174</v>
      </c>
      <c r="C178" s="3490" t="s">
        <v>4974</v>
      </c>
      <c r="D178" s="3490" t="s">
        <v>3750</v>
      </c>
      <c r="E178" s="3490">
        <v>115.85</v>
      </c>
      <c r="F178" s="3490">
        <v>37.729999999999997</v>
      </c>
      <c r="H178" s="3488">
        <v>174</v>
      </c>
      <c r="I178" s="3489" t="s">
        <v>4974</v>
      </c>
      <c r="J178" s="3490" t="s">
        <v>4964</v>
      </c>
      <c r="K178" s="3489">
        <v>88.56</v>
      </c>
      <c r="L178" s="3489">
        <v>28.84</v>
      </c>
    </row>
    <row r="179" spans="2:14" ht="23.25" customHeight="1" thickBot="1">
      <c r="B179" s="3488">
        <v>175</v>
      </c>
      <c r="C179" s="3490" t="s">
        <v>4974</v>
      </c>
      <c r="D179" s="3490" t="s">
        <v>3751</v>
      </c>
      <c r="E179" s="3490">
        <v>95.59</v>
      </c>
      <c r="F179" s="3490">
        <v>31.13</v>
      </c>
      <c r="H179" s="3488">
        <v>175</v>
      </c>
      <c r="I179" s="3489" t="s">
        <v>4974</v>
      </c>
      <c r="J179" s="3490" t="s">
        <v>4965</v>
      </c>
      <c r="K179" s="3489">
        <v>106.52</v>
      </c>
      <c r="L179" s="3489">
        <v>34.69</v>
      </c>
    </row>
    <row r="180" spans="2:14" ht="23.25" customHeight="1" thickBot="1">
      <c r="B180" s="3488">
        <v>176</v>
      </c>
      <c r="C180" s="3490" t="s">
        <v>4974</v>
      </c>
      <c r="D180" s="3490" t="s">
        <v>3752</v>
      </c>
      <c r="E180" s="3490">
        <v>95.63</v>
      </c>
      <c r="F180" s="3490">
        <v>31.14</v>
      </c>
      <c r="H180" s="3488">
        <v>176</v>
      </c>
      <c r="I180" s="3489" t="s">
        <v>4974</v>
      </c>
      <c r="J180" s="3490" t="s">
        <v>4966</v>
      </c>
      <c r="K180" s="3489">
        <v>103.81</v>
      </c>
      <c r="L180" s="3489">
        <v>33.81</v>
      </c>
    </row>
    <row r="181" spans="2:14" ht="23.25" customHeight="1" thickBot="1">
      <c r="B181" s="3488">
        <v>177</v>
      </c>
      <c r="C181" s="3490" t="s">
        <v>4974</v>
      </c>
      <c r="D181" s="3490" t="s">
        <v>3753</v>
      </c>
      <c r="E181" s="3490">
        <v>96.11</v>
      </c>
      <c r="F181" s="3490">
        <v>31.3</v>
      </c>
      <c r="H181" s="3488">
        <v>177</v>
      </c>
      <c r="I181" s="3489" t="s">
        <v>4974</v>
      </c>
      <c r="J181" s="3490" t="s">
        <v>4967</v>
      </c>
      <c r="K181" s="3489">
        <v>98.48</v>
      </c>
      <c r="L181" s="3489">
        <v>32.07</v>
      </c>
    </row>
    <row r="182" spans="2:14" ht="23.25" customHeight="1" thickBot="1">
      <c r="B182" s="3488">
        <v>178</v>
      </c>
      <c r="C182" s="3490" t="s">
        <v>4974</v>
      </c>
      <c r="D182" s="3490" t="s">
        <v>3754</v>
      </c>
      <c r="E182" s="3490">
        <v>95.63</v>
      </c>
      <c r="F182" s="3490">
        <v>31.14</v>
      </c>
      <c r="H182" s="3488">
        <v>178</v>
      </c>
      <c r="I182" s="3489" t="s">
        <v>4974</v>
      </c>
      <c r="J182" s="3490" t="s">
        <v>4968</v>
      </c>
      <c r="K182" s="3489">
        <v>106.52</v>
      </c>
      <c r="L182" s="3489">
        <v>34.69</v>
      </c>
    </row>
    <row r="183" spans="2:14" ht="23.25" customHeight="1" thickBot="1">
      <c r="B183" s="3488">
        <v>179</v>
      </c>
      <c r="C183" s="3490" t="s">
        <v>4974</v>
      </c>
      <c r="D183" s="3490" t="s">
        <v>3755</v>
      </c>
      <c r="E183" s="3490">
        <v>96.11</v>
      </c>
      <c r="F183" s="3490">
        <v>31.3</v>
      </c>
      <c r="H183" s="3488">
        <v>179</v>
      </c>
      <c r="I183" s="3489" t="s">
        <v>4974</v>
      </c>
      <c r="J183" s="3490" t="s">
        <v>4969</v>
      </c>
      <c r="K183" s="3489">
        <v>74.260000000000005</v>
      </c>
      <c r="L183" s="3489">
        <v>24.18</v>
      </c>
    </row>
    <row r="184" spans="2:14" ht="23.25" customHeight="1" thickBot="1">
      <c r="B184" s="3488">
        <v>180</v>
      </c>
      <c r="C184" s="3490" t="s">
        <v>4974</v>
      </c>
      <c r="D184" s="3490" t="s">
        <v>3756</v>
      </c>
      <c r="E184" s="3490">
        <v>95.63</v>
      </c>
      <c r="F184" s="3490">
        <v>31.14</v>
      </c>
      <c r="H184" s="3488">
        <v>180</v>
      </c>
      <c r="I184" s="3489" t="s">
        <v>4974</v>
      </c>
      <c r="J184" s="3490" t="s">
        <v>4970</v>
      </c>
      <c r="K184" s="3489">
        <v>88.56</v>
      </c>
      <c r="L184" s="3489">
        <v>28.84</v>
      </c>
    </row>
    <row r="185" spans="2:14" ht="23.25" customHeight="1" thickBot="1">
      <c r="B185" s="3488">
        <v>181</v>
      </c>
      <c r="C185" s="3490" t="s">
        <v>4974</v>
      </c>
      <c r="D185" s="3490" t="s">
        <v>3757</v>
      </c>
      <c r="E185" s="3490">
        <v>96.11</v>
      </c>
      <c r="F185" s="3490">
        <v>31.3</v>
      </c>
      <c r="H185" s="3488">
        <v>181</v>
      </c>
      <c r="I185" s="3489" t="s">
        <v>4974</v>
      </c>
      <c r="J185" s="3490" t="s">
        <v>4971</v>
      </c>
      <c r="K185" s="3489">
        <v>88.56</v>
      </c>
      <c r="L185" s="3489">
        <v>28.84</v>
      </c>
    </row>
    <row r="186" spans="2:14" ht="23.25" customHeight="1" thickBot="1">
      <c r="B186" s="3488">
        <v>182</v>
      </c>
      <c r="C186" s="3490" t="s">
        <v>4974</v>
      </c>
      <c r="D186" s="3490" t="s">
        <v>3758</v>
      </c>
      <c r="E186" s="3490">
        <v>88.5</v>
      </c>
      <c r="F186" s="3490">
        <v>28.82</v>
      </c>
      <c r="H186" s="3488">
        <v>182</v>
      </c>
      <c r="I186" s="3489" t="s">
        <v>4974</v>
      </c>
      <c r="J186" s="3490" t="s">
        <v>4972</v>
      </c>
      <c r="K186" s="3489">
        <v>88.56</v>
      </c>
      <c r="L186" s="3489">
        <v>28.84</v>
      </c>
    </row>
    <row r="187" spans="2:14" ht="18.75" thickBot="1">
      <c r="B187" s="3488">
        <v>183</v>
      </c>
      <c r="C187" s="3490" t="s">
        <v>4974</v>
      </c>
      <c r="D187" s="3490" t="s">
        <v>3759</v>
      </c>
      <c r="E187" s="3490">
        <v>72.239999999999995</v>
      </c>
      <c r="F187" s="3490">
        <v>23.53</v>
      </c>
      <c r="H187" s="3585" t="s">
        <v>4790</v>
      </c>
      <c r="I187" s="3586"/>
      <c r="J187" s="3587"/>
      <c r="K187" s="3487">
        <v>16854.86</v>
      </c>
      <c r="L187" s="3487">
        <v>5489.13</v>
      </c>
      <c r="N187">
        <f>182+285</f>
        <v>467</v>
      </c>
    </row>
    <row r="188" spans="2:14" ht="18.75" thickBot="1">
      <c r="B188" s="3488">
        <v>184</v>
      </c>
      <c r="C188" s="3490" t="s">
        <v>4974</v>
      </c>
      <c r="D188" s="3490" t="s">
        <v>3760</v>
      </c>
      <c r="E188" s="3490">
        <v>88.55</v>
      </c>
      <c r="F188" s="3490">
        <v>28.84</v>
      </c>
    </row>
    <row r="189" spans="2:14" ht="18.75" thickBot="1">
      <c r="B189" s="3488">
        <v>185</v>
      </c>
      <c r="C189" s="3490" t="s">
        <v>4974</v>
      </c>
      <c r="D189" s="3490" t="s">
        <v>3761</v>
      </c>
      <c r="E189" s="3490">
        <v>72.290000000000006</v>
      </c>
      <c r="F189" s="3490">
        <v>23.54</v>
      </c>
    </row>
    <row r="190" spans="2:14" ht="18.75" thickBot="1">
      <c r="B190" s="3488">
        <v>186</v>
      </c>
      <c r="C190" s="3490" t="s">
        <v>4974</v>
      </c>
      <c r="D190" s="3490" t="s">
        <v>3762</v>
      </c>
      <c r="E190" s="3490">
        <v>88.55</v>
      </c>
      <c r="F190" s="3490">
        <v>28.84</v>
      </c>
    </row>
    <row r="191" spans="2:14" ht="18.75" thickBot="1">
      <c r="B191" s="3488">
        <v>187</v>
      </c>
      <c r="C191" s="3490" t="s">
        <v>4974</v>
      </c>
      <c r="D191" s="3490" t="s">
        <v>3763</v>
      </c>
      <c r="E191" s="3490">
        <v>72.290000000000006</v>
      </c>
      <c r="F191" s="3490">
        <v>23.54</v>
      </c>
      <c r="I191" s="3452" t="s">
        <v>4976</v>
      </c>
      <c r="J191" s="3452" t="s">
        <v>4997</v>
      </c>
      <c r="K191" s="3452" t="s">
        <v>4998</v>
      </c>
      <c r="L191" s="3501" t="s">
        <v>4999</v>
      </c>
    </row>
    <row r="192" spans="2:14" ht="18.75" thickBot="1">
      <c r="B192" s="3488">
        <v>188</v>
      </c>
      <c r="C192" s="3490" t="s">
        <v>4974</v>
      </c>
      <c r="D192" s="3490" t="s">
        <v>3764</v>
      </c>
      <c r="E192" s="3490">
        <v>88.55</v>
      </c>
      <c r="F192" s="3490">
        <v>28.84</v>
      </c>
      <c r="I192" s="3452" t="s">
        <v>4977</v>
      </c>
      <c r="J192">
        <f>SUM(E5:E289)</f>
        <v>25456.039999999994</v>
      </c>
      <c r="K192">
        <f>SUM(F5:F289)</f>
        <v>8290.3499999999967</v>
      </c>
      <c r="L192">
        <v>285</v>
      </c>
    </row>
    <row r="193" spans="2:12" ht="18.75" thickBot="1">
      <c r="B193" s="3488">
        <v>189</v>
      </c>
      <c r="C193" s="3490" t="s">
        <v>4974</v>
      </c>
      <c r="D193" s="3490" t="s">
        <v>3765</v>
      </c>
      <c r="E193" s="3490">
        <v>72.290000000000006</v>
      </c>
      <c r="F193" s="3490">
        <v>23.54</v>
      </c>
      <c r="I193" s="3499" t="s">
        <v>4978</v>
      </c>
      <c r="J193">
        <f>SUM(E290:E1064)</f>
        <v>21458.77999999997</v>
      </c>
      <c r="K193">
        <f>SUM(F290:F1064)</f>
        <v>6989.7699999999968</v>
      </c>
      <c r="L193">
        <v>775</v>
      </c>
    </row>
    <row r="194" spans="2:12" ht="18.75" thickBot="1">
      <c r="B194" s="3488">
        <v>190</v>
      </c>
      <c r="C194" s="3490" t="s">
        <v>4974</v>
      </c>
      <c r="D194" s="3490" t="s">
        <v>3766</v>
      </c>
      <c r="E194" s="3490">
        <v>88.55</v>
      </c>
      <c r="F194" s="3490">
        <v>28.84</v>
      </c>
      <c r="I194" s="3498" t="s">
        <v>4979</v>
      </c>
      <c r="J194">
        <f>SUM(E1065:E1217)</f>
        <v>6138.5999999999922</v>
      </c>
      <c r="K194">
        <f>SUM(F1065:F1217)</f>
        <v>1999.1899999999994</v>
      </c>
      <c r="L194">
        <v>153</v>
      </c>
    </row>
    <row r="195" spans="2:12" ht="18.75" thickBot="1">
      <c r="B195" s="3488">
        <v>191</v>
      </c>
      <c r="C195" s="3490" t="s">
        <v>4974</v>
      </c>
      <c r="D195" s="3490" t="s">
        <v>3767</v>
      </c>
      <c r="E195" s="3490">
        <v>72.290000000000006</v>
      </c>
      <c r="F195" s="3490">
        <v>23.54</v>
      </c>
      <c r="I195" s="3452" t="s">
        <v>4980</v>
      </c>
      <c r="J195">
        <f>SUM(J192:J194)</f>
        <v>53053.419999999955</v>
      </c>
      <c r="K195">
        <f>SUM(K192:K194)</f>
        <v>17279.309999999994</v>
      </c>
    </row>
    <row r="196" spans="2:12" ht="18.75" thickBot="1">
      <c r="B196" s="3488">
        <v>192</v>
      </c>
      <c r="C196" s="3490" t="s">
        <v>4974</v>
      </c>
      <c r="D196" s="3490" t="s">
        <v>3768</v>
      </c>
      <c r="E196" s="3490">
        <v>88.55</v>
      </c>
      <c r="F196" s="3490">
        <v>28.84</v>
      </c>
    </row>
    <row r="197" spans="2:12" ht="18.75" thickBot="1">
      <c r="B197" s="3488">
        <v>193</v>
      </c>
      <c r="C197" s="3490" t="s">
        <v>4974</v>
      </c>
      <c r="D197" s="3490" t="s">
        <v>3769</v>
      </c>
      <c r="E197" s="3490">
        <v>72.290000000000006</v>
      </c>
      <c r="F197" s="3490">
        <v>23.54</v>
      </c>
      <c r="J197">
        <f>J195+K187</f>
        <v>69908.279999999955</v>
      </c>
      <c r="K197">
        <f>K195+L187</f>
        <v>22768.439999999995</v>
      </c>
    </row>
    <row r="198" spans="2:12" ht="18.75" thickBot="1">
      <c r="B198" s="3488">
        <v>194</v>
      </c>
      <c r="C198" s="3490" t="s">
        <v>4974</v>
      </c>
      <c r="D198" s="3490" t="s">
        <v>3770</v>
      </c>
      <c r="E198" s="3490">
        <v>72.239999999999995</v>
      </c>
      <c r="F198" s="3490">
        <v>23.53</v>
      </c>
    </row>
    <row r="199" spans="2:12" ht="18.75" thickBot="1">
      <c r="B199" s="3488">
        <v>195</v>
      </c>
      <c r="C199" s="3490" t="s">
        <v>4974</v>
      </c>
      <c r="D199" s="3490" t="s">
        <v>3771</v>
      </c>
      <c r="E199" s="3490">
        <v>88.5</v>
      </c>
      <c r="F199" s="3490">
        <v>28.82</v>
      </c>
    </row>
    <row r="200" spans="2:12" ht="18.75" thickBot="1">
      <c r="B200" s="3488">
        <v>196</v>
      </c>
      <c r="C200" s="3490" t="s">
        <v>4974</v>
      </c>
      <c r="D200" s="3490" t="s">
        <v>3772</v>
      </c>
      <c r="E200" s="3490">
        <v>72.290000000000006</v>
      </c>
      <c r="F200" s="3490">
        <v>23.54</v>
      </c>
    </row>
    <row r="201" spans="2:12" ht="18.75" thickBot="1">
      <c r="B201" s="3488">
        <v>197</v>
      </c>
      <c r="C201" s="3490" t="s">
        <v>4974</v>
      </c>
      <c r="D201" s="3490" t="s">
        <v>3773</v>
      </c>
      <c r="E201" s="3490">
        <v>88.55</v>
      </c>
      <c r="F201" s="3490">
        <v>28.84</v>
      </c>
    </row>
    <row r="202" spans="2:12" ht="18.75" thickBot="1">
      <c r="B202" s="3488">
        <v>198</v>
      </c>
      <c r="C202" s="3490" t="s">
        <v>4974</v>
      </c>
      <c r="D202" s="3490" t="s">
        <v>3774</v>
      </c>
      <c r="E202" s="3490">
        <v>72.290000000000006</v>
      </c>
      <c r="F202" s="3490">
        <v>23.54</v>
      </c>
    </row>
    <row r="203" spans="2:12" ht="18.75" thickBot="1">
      <c r="B203" s="3488">
        <v>199</v>
      </c>
      <c r="C203" s="3490" t="s">
        <v>4974</v>
      </c>
      <c r="D203" s="3490" t="s">
        <v>3775</v>
      </c>
      <c r="E203" s="3490">
        <v>88.55</v>
      </c>
      <c r="F203" s="3490">
        <v>28.84</v>
      </c>
    </row>
    <row r="204" spans="2:12" ht="18.75" thickBot="1">
      <c r="B204" s="3488">
        <v>200</v>
      </c>
      <c r="C204" s="3490" t="s">
        <v>4974</v>
      </c>
      <c r="D204" s="3490" t="s">
        <v>3776</v>
      </c>
      <c r="E204" s="3490">
        <v>72.290000000000006</v>
      </c>
      <c r="F204" s="3490">
        <v>23.54</v>
      </c>
    </row>
    <row r="205" spans="2:12" ht="18.75" thickBot="1">
      <c r="B205" s="3488">
        <v>201</v>
      </c>
      <c r="C205" s="3490" t="s">
        <v>4974</v>
      </c>
      <c r="D205" s="3490" t="s">
        <v>3777</v>
      </c>
      <c r="E205" s="3490">
        <v>88.55</v>
      </c>
      <c r="F205" s="3490">
        <v>28.84</v>
      </c>
    </row>
    <row r="206" spans="2:12" ht="18.75" thickBot="1">
      <c r="B206" s="3488">
        <v>202</v>
      </c>
      <c r="C206" s="3490" t="s">
        <v>4974</v>
      </c>
      <c r="D206" s="3490" t="s">
        <v>3778</v>
      </c>
      <c r="E206" s="3490">
        <v>72.290000000000006</v>
      </c>
      <c r="F206" s="3490">
        <v>23.54</v>
      </c>
    </row>
    <row r="207" spans="2:12" ht="18.75" thickBot="1">
      <c r="B207" s="3488">
        <v>203</v>
      </c>
      <c r="C207" s="3490" t="s">
        <v>4974</v>
      </c>
      <c r="D207" s="3490" t="s">
        <v>3779</v>
      </c>
      <c r="E207" s="3490">
        <v>88.55</v>
      </c>
      <c r="F207" s="3490">
        <v>28.84</v>
      </c>
    </row>
    <row r="208" spans="2:12" ht="18.75" thickBot="1">
      <c r="B208" s="3488">
        <v>204</v>
      </c>
      <c r="C208" s="3490" t="s">
        <v>4974</v>
      </c>
      <c r="D208" s="3490" t="s">
        <v>3780</v>
      </c>
      <c r="E208" s="3490">
        <v>72.290000000000006</v>
      </c>
      <c r="F208" s="3490">
        <v>23.54</v>
      </c>
    </row>
    <row r="209" spans="2:6" ht="18.75" thickBot="1">
      <c r="B209" s="3488">
        <v>205</v>
      </c>
      <c r="C209" s="3490" t="s">
        <v>4974</v>
      </c>
      <c r="D209" s="3490" t="s">
        <v>3781</v>
      </c>
      <c r="E209" s="3490">
        <v>88.55</v>
      </c>
      <c r="F209" s="3490">
        <v>28.84</v>
      </c>
    </row>
    <row r="210" spans="2:6" ht="18.75" thickBot="1">
      <c r="B210" s="3488">
        <v>206</v>
      </c>
      <c r="C210" s="3490" t="s">
        <v>4974</v>
      </c>
      <c r="D210" s="3490" t="s">
        <v>3782</v>
      </c>
      <c r="E210" s="3490">
        <v>88.51</v>
      </c>
      <c r="F210" s="3490">
        <v>28.83</v>
      </c>
    </row>
    <row r="211" spans="2:6" ht="18.75" thickBot="1">
      <c r="B211" s="3488">
        <v>207</v>
      </c>
      <c r="C211" s="3490" t="s">
        <v>4974</v>
      </c>
      <c r="D211" s="3490" t="s">
        <v>3783</v>
      </c>
      <c r="E211" s="3490">
        <v>72.239999999999995</v>
      </c>
      <c r="F211" s="3490">
        <v>23.53</v>
      </c>
    </row>
    <row r="212" spans="2:6" ht="18.75" thickBot="1">
      <c r="B212" s="3488">
        <v>208</v>
      </c>
      <c r="C212" s="3490" t="s">
        <v>4974</v>
      </c>
      <c r="D212" s="3490" t="s">
        <v>3784</v>
      </c>
      <c r="E212" s="3490">
        <v>88.56</v>
      </c>
      <c r="F212" s="3490">
        <v>28.84</v>
      </c>
    </row>
    <row r="213" spans="2:6" ht="18.75" thickBot="1">
      <c r="B213" s="3488">
        <v>209</v>
      </c>
      <c r="C213" s="3490" t="s">
        <v>4974</v>
      </c>
      <c r="D213" s="3490" t="s">
        <v>3785</v>
      </c>
      <c r="E213" s="3490">
        <v>72.290000000000006</v>
      </c>
      <c r="F213" s="3490">
        <v>23.54</v>
      </c>
    </row>
    <row r="214" spans="2:6" ht="18.75" thickBot="1">
      <c r="B214" s="3488">
        <v>210</v>
      </c>
      <c r="C214" s="3490" t="s">
        <v>4974</v>
      </c>
      <c r="D214" s="3490" t="s">
        <v>3786</v>
      </c>
      <c r="E214" s="3490">
        <v>88.56</v>
      </c>
      <c r="F214" s="3490">
        <v>28.84</v>
      </c>
    </row>
    <row r="215" spans="2:6" ht="18.75" thickBot="1">
      <c r="B215" s="3488">
        <v>211</v>
      </c>
      <c r="C215" s="3490" t="s">
        <v>4974</v>
      </c>
      <c r="D215" s="3490" t="s">
        <v>3787</v>
      </c>
      <c r="E215" s="3489">
        <v>88.56</v>
      </c>
      <c r="F215" s="3490">
        <v>28.84</v>
      </c>
    </row>
    <row r="216" spans="2:6" ht="18.75" thickBot="1">
      <c r="B216" s="3488">
        <v>212</v>
      </c>
      <c r="C216" s="3490" t="s">
        <v>4974</v>
      </c>
      <c r="D216" s="3490" t="s">
        <v>3788</v>
      </c>
      <c r="E216" s="3489">
        <v>72.290000000000006</v>
      </c>
      <c r="F216" s="3490">
        <v>23.54</v>
      </c>
    </row>
    <row r="217" spans="2:6" ht="18.75" thickBot="1">
      <c r="B217" s="3488">
        <v>213</v>
      </c>
      <c r="C217" s="3490" t="s">
        <v>4974</v>
      </c>
      <c r="D217" s="3490" t="s">
        <v>3789</v>
      </c>
      <c r="E217" s="3489">
        <v>72.239999999999995</v>
      </c>
      <c r="F217" s="3490">
        <v>23.53</v>
      </c>
    </row>
    <row r="218" spans="2:6" ht="18.75" thickBot="1">
      <c r="B218" s="3488">
        <v>214</v>
      </c>
      <c r="C218" s="3490" t="s">
        <v>4974</v>
      </c>
      <c r="D218" s="3490" t="s">
        <v>3790</v>
      </c>
      <c r="E218" s="3489">
        <v>88.51</v>
      </c>
      <c r="F218" s="3490">
        <v>28.83</v>
      </c>
    </row>
    <row r="219" spans="2:6" ht="18.75" thickBot="1">
      <c r="B219" s="3488">
        <v>215</v>
      </c>
      <c r="C219" s="3490" t="s">
        <v>4974</v>
      </c>
      <c r="D219" s="3490" t="s">
        <v>3791</v>
      </c>
      <c r="E219" s="3489">
        <v>72.290000000000006</v>
      </c>
      <c r="F219" s="3490">
        <v>23.54</v>
      </c>
    </row>
    <row r="220" spans="2:6" ht="18.75" thickBot="1">
      <c r="B220" s="3488">
        <v>216</v>
      </c>
      <c r="C220" s="3490" t="s">
        <v>4974</v>
      </c>
      <c r="D220" s="3490" t="s">
        <v>3792</v>
      </c>
      <c r="E220" s="3489">
        <v>88.56</v>
      </c>
      <c r="F220" s="3490">
        <v>28.84</v>
      </c>
    </row>
    <row r="221" spans="2:6" ht="18.75" thickBot="1">
      <c r="B221" s="3488">
        <v>217</v>
      </c>
      <c r="C221" s="3490" t="s">
        <v>4974</v>
      </c>
      <c r="D221" s="3490" t="s">
        <v>3793</v>
      </c>
      <c r="E221" s="3489">
        <v>88.56</v>
      </c>
      <c r="F221" s="3490">
        <v>28.84</v>
      </c>
    </row>
    <row r="222" spans="2:6" ht="18.75" thickBot="1">
      <c r="B222" s="3488">
        <v>218</v>
      </c>
      <c r="C222" s="3490" t="s">
        <v>4974</v>
      </c>
      <c r="D222" s="3490" t="s">
        <v>3794</v>
      </c>
      <c r="E222" s="3489">
        <v>88.56</v>
      </c>
      <c r="F222" s="3490">
        <v>28.84</v>
      </c>
    </row>
    <row r="223" spans="2:6" ht="18.75" thickBot="1">
      <c r="B223" s="3488">
        <v>219</v>
      </c>
      <c r="C223" s="3490" t="s">
        <v>4974</v>
      </c>
      <c r="D223" s="3490" t="s">
        <v>3795</v>
      </c>
      <c r="E223" s="3489">
        <v>98.48</v>
      </c>
      <c r="F223" s="3490">
        <v>32.07</v>
      </c>
    </row>
    <row r="224" spans="2:6" ht="18.75" thickBot="1">
      <c r="B224" s="3488">
        <v>220</v>
      </c>
      <c r="C224" s="3490" t="s">
        <v>4974</v>
      </c>
      <c r="D224" s="3490" t="s">
        <v>3796</v>
      </c>
      <c r="E224" s="3489">
        <v>72.28</v>
      </c>
      <c r="F224" s="3490">
        <v>23.54</v>
      </c>
    </row>
    <row r="225" spans="2:6" ht="18.75" thickBot="1">
      <c r="B225" s="3488">
        <v>221</v>
      </c>
      <c r="C225" s="3490" t="s">
        <v>4974</v>
      </c>
      <c r="D225" s="3490" t="s">
        <v>3797</v>
      </c>
      <c r="E225" s="3489">
        <v>98.48</v>
      </c>
      <c r="F225" s="3490">
        <v>32.07</v>
      </c>
    </row>
    <row r="226" spans="2:6" ht="18.75" thickBot="1">
      <c r="B226" s="3488">
        <v>222</v>
      </c>
      <c r="C226" s="3490" t="s">
        <v>4974</v>
      </c>
      <c r="D226" s="3490" t="s">
        <v>3798</v>
      </c>
      <c r="E226" s="3489">
        <v>72.28</v>
      </c>
      <c r="F226" s="3490">
        <v>23.54</v>
      </c>
    </row>
    <row r="227" spans="2:6" ht="18.75" thickBot="1">
      <c r="B227" s="3488">
        <v>223</v>
      </c>
      <c r="C227" s="3490" t="s">
        <v>4974</v>
      </c>
      <c r="D227" s="3490" t="s">
        <v>3799</v>
      </c>
      <c r="E227" s="3489">
        <v>98.48</v>
      </c>
      <c r="F227" s="3490">
        <v>32.07</v>
      </c>
    </row>
    <row r="228" spans="2:6" ht="18.75" thickBot="1">
      <c r="B228" s="3488">
        <v>224</v>
      </c>
      <c r="C228" s="3490" t="s">
        <v>4974</v>
      </c>
      <c r="D228" s="3490" t="s">
        <v>3800</v>
      </c>
      <c r="E228" s="3489">
        <v>98.48</v>
      </c>
      <c r="F228" s="3490">
        <v>32.07</v>
      </c>
    </row>
    <row r="229" spans="2:6" ht="18.75" thickBot="1">
      <c r="B229" s="3488">
        <v>225</v>
      </c>
      <c r="C229" s="3490" t="s">
        <v>4974</v>
      </c>
      <c r="D229" s="3490" t="s">
        <v>3801</v>
      </c>
      <c r="E229" s="3489">
        <v>72.28</v>
      </c>
      <c r="F229" s="3490">
        <v>23.54</v>
      </c>
    </row>
    <row r="230" spans="2:6" ht="18.75" thickBot="1">
      <c r="B230" s="3488">
        <v>226</v>
      </c>
      <c r="C230" s="3490" t="s">
        <v>4974</v>
      </c>
      <c r="D230" s="3490" t="s">
        <v>3802</v>
      </c>
      <c r="E230" s="3489">
        <v>98.48</v>
      </c>
      <c r="F230" s="3490">
        <v>32.07</v>
      </c>
    </row>
    <row r="231" spans="2:6" ht="18.75" thickBot="1">
      <c r="B231" s="3488">
        <v>227</v>
      </c>
      <c r="C231" s="3490" t="s">
        <v>4974</v>
      </c>
      <c r="D231" s="3490" t="s">
        <v>3803</v>
      </c>
      <c r="E231" s="3489">
        <v>72.28</v>
      </c>
      <c r="F231" s="3490">
        <v>23.54</v>
      </c>
    </row>
    <row r="232" spans="2:6" ht="18.75" thickBot="1">
      <c r="B232" s="3488">
        <v>228</v>
      </c>
      <c r="C232" s="3490" t="s">
        <v>4974</v>
      </c>
      <c r="D232" s="3490" t="s">
        <v>3804</v>
      </c>
      <c r="E232" s="3489">
        <v>74.260000000000005</v>
      </c>
      <c r="F232" s="3490">
        <v>24.18</v>
      </c>
    </row>
    <row r="233" spans="2:6" ht="18.75" thickBot="1">
      <c r="B233" s="3488">
        <v>229</v>
      </c>
      <c r="C233" s="3490" t="s">
        <v>4974</v>
      </c>
      <c r="D233" s="3490" t="s">
        <v>3805</v>
      </c>
      <c r="E233" s="3489">
        <v>72.239999999999995</v>
      </c>
      <c r="F233" s="3490">
        <v>23.53</v>
      </c>
    </row>
    <row r="234" spans="2:6" ht="18.75" thickBot="1">
      <c r="B234" s="3488">
        <v>230</v>
      </c>
      <c r="C234" s="3490" t="s">
        <v>4974</v>
      </c>
      <c r="D234" s="3490" t="s">
        <v>3806</v>
      </c>
      <c r="E234" s="3489">
        <v>72.239999999999995</v>
      </c>
      <c r="F234" s="3490">
        <v>23.53</v>
      </c>
    </row>
    <row r="235" spans="2:6" ht="18.75" thickBot="1">
      <c r="B235" s="3488">
        <v>231</v>
      </c>
      <c r="C235" s="3490" t="s">
        <v>4974</v>
      </c>
      <c r="D235" s="3490" t="s">
        <v>3807</v>
      </c>
      <c r="E235" s="3489">
        <v>72.28</v>
      </c>
      <c r="F235" s="3490">
        <v>23.54</v>
      </c>
    </row>
    <row r="236" spans="2:6" ht="18.75" thickBot="1">
      <c r="B236" s="3488">
        <v>232</v>
      </c>
      <c r="C236" s="3490" t="s">
        <v>4974</v>
      </c>
      <c r="D236" s="3490" t="s">
        <v>3808</v>
      </c>
      <c r="E236" s="3489">
        <v>72.28</v>
      </c>
      <c r="F236" s="3490">
        <v>23.54</v>
      </c>
    </row>
    <row r="237" spans="2:6" ht="18.75" thickBot="1">
      <c r="B237" s="3488">
        <v>233</v>
      </c>
      <c r="C237" s="3490" t="s">
        <v>4974</v>
      </c>
      <c r="D237" s="3490" t="s">
        <v>3809</v>
      </c>
      <c r="E237" s="3489">
        <v>72.28</v>
      </c>
      <c r="F237" s="3490">
        <v>23.54</v>
      </c>
    </row>
    <row r="238" spans="2:6" ht="18.75" thickBot="1">
      <c r="B238" s="3488">
        <v>234</v>
      </c>
      <c r="C238" s="3490" t="s">
        <v>4974</v>
      </c>
      <c r="D238" s="3490" t="s">
        <v>3810</v>
      </c>
      <c r="E238" s="3489">
        <v>72.28</v>
      </c>
      <c r="F238" s="3490">
        <v>23.54</v>
      </c>
    </row>
    <row r="239" spans="2:6" ht="18.75" thickBot="1">
      <c r="B239" s="3488">
        <v>235</v>
      </c>
      <c r="C239" s="3490" t="s">
        <v>4974</v>
      </c>
      <c r="D239" s="3490" t="s">
        <v>3811</v>
      </c>
      <c r="E239" s="3489">
        <v>103.81</v>
      </c>
      <c r="F239" s="3490">
        <v>33.81</v>
      </c>
    </row>
    <row r="240" spans="2:6" ht="18.75" thickBot="1">
      <c r="B240" s="3488">
        <v>236</v>
      </c>
      <c r="C240" s="3490" t="s">
        <v>4974</v>
      </c>
      <c r="D240" s="3490" t="s">
        <v>3812</v>
      </c>
      <c r="E240" s="3489">
        <v>72.239999999999995</v>
      </c>
      <c r="F240" s="3490">
        <v>23.53</v>
      </c>
    </row>
    <row r="241" spans="2:6" ht="18.75" thickBot="1">
      <c r="B241" s="3488">
        <v>237</v>
      </c>
      <c r="C241" s="3490" t="s">
        <v>4974</v>
      </c>
      <c r="D241" s="3490" t="s">
        <v>3813</v>
      </c>
      <c r="E241" s="3489">
        <v>72.239999999999995</v>
      </c>
      <c r="F241" s="3490">
        <v>23.53</v>
      </c>
    </row>
    <row r="242" spans="2:6" ht="18.75" thickBot="1">
      <c r="B242" s="3488">
        <v>238</v>
      </c>
      <c r="C242" s="3490" t="s">
        <v>4974</v>
      </c>
      <c r="D242" s="3490" t="s">
        <v>3814</v>
      </c>
      <c r="E242" s="3489">
        <v>72.28</v>
      </c>
      <c r="F242" s="3490">
        <v>23.54</v>
      </c>
    </row>
    <row r="243" spans="2:6" ht="18.75" thickBot="1">
      <c r="B243" s="3488">
        <v>239</v>
      </c>
      <c r="C243" s="3490" t="s">
        <v>4974</v>
      </c>
      <c r="D243" s="3490" t="s">
        <v>3815</v>
      </c>
      <c r="E243" s="3489">
        <v>72.28</v>
      </c>
      <c r="F243" s="3490">
        <v>23.54</v>
      </c>
    </row>
    <row r="244" spans="2:6" ht="18.75" thickBot="1">
      <c r="B244" s="3488">
        <v>240</v>
      </c>
      <c r="C244" s="3490" t="s">
        <v>4974</v>
      </c>
      <c r="D244" s="3490" t="s">
        <v>3816</v>
      </c>
      <c r="E244" s="3489">
        <v>72.28</v>
      </c>
      <c r="F244" s="3490">
        <v>23.54</v>
      </c>
    </row>
    <row r="245" spans="2:6" ht="18.75" thickBot="1">
      <c r="B245" s="3488">
        <v>241</v>
      </c>
      <c r="C245" s="3490" t="s">
        <v>4974</v>
      </c>
      <c r="D245" s="3490" t="s">
        <v>3817</v>
      </c>
      <c r="E245" s="3489">
        <v>72.28</v>
      </c>
      <c r="F245" s="3490">
        <v>23.54</v>
      </c>
    </row>
    <row r="246" spans="2:6" ht="18.75" thickBot="1">
      <c r="B246" s="3488">
        <v>242</v>
      </c>
      <c r="C246" s="3490" t="s">
        <v>4974</v>
      </c>
      <c r="D246" s="3490" t="s">
        <v>3818</v>
      </c>
      <c r="E246" s="3489">
        <v>72.28</v>
      </c>
      <c r="F246" s="3490">
        <v>23.54</v>
      </c>
    </row>
    <row r="247" spans="2:6" ht="18.75" thickBot="1">
      <c r="B247" s="3488">
        <v>243</v>
      </c>
      <c r="C247" s="3490" t="s">
        <v>4974</v>
      </c>
      <c r="D247" s="3490" t="s">
        <v>3819</v>
      </c>
      <c r="E247" s="3489">
        <v>72.28</v>
      </c>
      <c r="F247" s="3490">
        <v>23.54</v>
      </c>
    </row>
    <row r="248" spans="2:6" ht="18.75" thickBot="1">
      <c r="B248" s="3488">
        <v>244</v>
      </c>
      <c r="C248" s="3490" t="s">
        <v>4974</v>
      </c>
      <c r="D248" s="3490" t="s">
        <v>3820</v>
      </c>
      <c r="E248" s="3489">
        <v>106.52</v>
      </c>
      <c r="F248" s="3490">
        <v>34.69</v>
      </c>
    </row>
    <row r="249" spans="2:6" ht="18.75" thickBot="1">
      <c r="B249" s="3488">
        <v>245</v>
      </c>
      <c r="C249" s="3490" t="s">
        <v>4974</v>
      </c>
      <c r="D249" s="3490" t="s">
        <v>3821</v>
      </c>
      <c r="E249" s="3489">
        <v>72.23</v>
      </c>
      <c r="F249" s="3490">
        <v>23.52</v>
      </c>
    </row>
    <row r="250" spans="2:6" ht="18.75" thickBot="1">
      <c r="B250" s="3488">
        <v>246</v>
      </c>
      <c r="C250" s="3490" t="s">
        <v>4974</v>
      </c>
      <c r="D250" s="3490" t="s">
        <v>3822</v>
      </c>
      <c r="E250" s="3489">
        <v>88.5</v>
      </c>
      <c r="F250" s="3490">
        <v>28.82</v>
      </c>
    </row>
    <row r="251" spans="2:6" ht="18.75" thickBot="1">
      <c r="B251" s="3488">
        <v>247</v>
      </c>
      <c r="C251" s="3490" t="s">
        <v>4974</v>
      </c>
      <c r="D251" s="3490" t="s">
        <v>3823</v>
      </c>
      <c r="E251" s="3489">
        <v>72.28</v>
      </c>
      <c r="F251" s="3490">
        <v>23.54</v>
      </c>
    </row>
    <row r="252" spans="2:6" ht="18.75" thickBot="1">
      <c r="B252" s="3488">
        <v>248</v>
      </c>
      <c r="C252" s="3490" t="s">
        <v>4974</v>
      </c>
      <c r="D252" s="3490" t="s">
        <v>3824</v>
      </c>
      <c r="E252" s="3489">
        <v>88.54</v>
      </c>
      <c r="F252" s="3490">
        <v>28.84</v>
      </c>
    </row>
    <row r="253" spans="2:6" ht="18.75" thickBot="1">
      <c r="B253" s="3488">
        <v>249</v>
      </c>
      <c r="C253" s="3490" t="s">
        <v>4974</v>
      </c>
      <c r="D253" s="3490" t="s">
        <v>3825</v>
      </c>
      <c r="E253" s="3489">
        <v>72.28</v>
      </c>
      <c r="F253" s="3490">
        <v>23.54</v>
      </c>
    </row>
    <row r="254" spans="2:6" ht="18.75" thickBot="1">
      <c r="B254" s="3488">
        <v>250</v>
      </c>
      <c r="C254" s="3490" t="s">
        <v>4974</v>
      </c>
      <c r="D254" s="3490" t="s">
        <v>3826</v>
      </c>
      <c r="E254" s="3489">
        <v>72.28</v>
      </c>
      <c r="F254" s="3490">
        <v>23.54</v>
      </c>
    </row>
    <row r="255" spans="2:6" ht="18.75" thickBot="1">
      <c r="B255" s="3488">
        <v>251</v>
      </c>
      <c r="C255" s="3490" t="s">
        <v>4974</v>
      </c>
      <c r="D255" s="3490" t="s">
        <v>3827</v>
      </c>
      <c r="E255" s="3489">
        <v>88.54</v>
      </c>
      <c r="F255" s="3490">
        <v>28.84</v>
      </c>
    </row>
    <row r="256" spans="2:6" ht="18.75" thickBot="1">
      <c r="B256" s="3488">
        <v>252</v>
      </c>
      <c r="C256" s="3490" t="s">
        <v>4974</v>
      </c>
      <c r="D256" s="3490" t="s">
        <v>3828</v>
      </c>
      <c r="E256" s="3489">
        <v>106.52</v>
      </c>
      <c r="F256" s="3490">
        <v>34.69</v>
      </c>
    </row>
    <row r="257" spans="2:6" ht="18.75" thickBot="1">
      <c r="B257" s="3488">
        <v>253</v>
      </c>
      <c r="C257" s="3490" t="s">
        <v>4974</v>
      </c>
      <c r="D257" s="3490" t="s">
        <v>3829</v>
      </c>
      <c r="E257" s="3489">
        <v>60.51</v>
      </c>
      <c r="F257" s="3490">
        <v>19.71</v>
      </c>
    </row>
    <row r="258" spans="2:6" ht="18.75" thickBot="1">
      <c r="B258" s="3488">
        <v>254</v>
      </c>
      <c r="C258" s="3490" t="s">
        <v>4974</v>
      </c>
      <c r="D258" s="3490" t="s">
        <v>3830</v>
      </c>
      <c r="E258" s="3489">
        <v>72.23</v>
      </c>
      <c r="F258" s="3490">
        <v>23.52</v>
      </c>
    </row>
    <row r="259" spans="2:6" ht="18.75" thickBot="1">
      <c r="B259" s="3488">
        <v>255</v>
      </c>
      <c r="C259" s="3490" t="s">
        <v>4974</v>
      </c>
      <c r="D259" s="3490" t="s">
        <v>3831</v>
      </c>
      <c r="E259" s="3489">
        <v>72.28</v>
      </c>
      <c r="F259" s="3490">
        <v>23.54</v>
      </c>
    </row>
    <row r="260" spans="2:6" ht="18.75" thickBot="1">
      <c r="B260" s="3488">
        <v>256</v>
      </c>
      <c r="C260" s="3490" t="s">
        <v>4974</v>
      </c>
      <c r="D260" s="3490" t="s">
        <v>3832</v>
      </c>
      <c r="E260" s="3489">
        <v>88.54</v>
      </c>
      <c r="F260" s="3490">
        <v>28.84</v>
      </c>
    </row>
    <row r="261" spans="2:6" ht="18.75" thickBot="1">
      <c r="B261" s="3488">
        <v>257</v>
      </c>
      <c r="C261" s="3490" t="s">
        <v>4974</v>
      </c>
      <c r="D261" s="3490" t="s">
        <v>3833</v>
      </c>
      <c r="E261" s="3489">
        <v>72.28</v>
      </c>
      <c r="F261" s="3490">
        <v>23.54</v>
      </c>
    </row>
    <row r="262" spans="2:6" ht="18.75" thickBot="1">
      <c r="B262" s="3488">
        <v>258</v>
      </c>
      <c r="C262" s="3490" t="s">
        <v>4974</v>
      </c>
      <c r="D262" s="3490" t="s">
        <v>3834</v>
      </c>
      <c r="E262" s="3489">
        <v>88.54</v>
      </c>
      <c r="F262" s="3490">
        <v>28.84</v>
      </c>
    </row>
    <row r="263" spans="2:6" ht="18.75" thickBot="1">
      <c r="B263" s="3488">
        <v>259</v>
      </c>
      <c r="C263" s="3490" t="s">
        <v>4974</v>
      </c>
      <c r="D263" s="3490" t="s">
        <v>3835</v>
      </c>
      <c r="E263" s="3489">
        <v>72.239999999999995</v>
      </c>
      <c r="F263" s="3490">
        <v>23.53</v>
      </c>
    </row>
    <row r="264" spans="2:6" ht="18.75" thickBot="1">
      <c r="B264" s="3488">
        <v>260</v>
      </c>
      <c r="C264" s="3490" t="s">
        <v>4974</v>
      </c>
      <c r="D264" s="3490" t="s">
        <v>3836</v>
      </c>
      <c r="E264" s="3489">
        <v>72.239999999999995</v>
      </c>
      <c r="F264" s="3490">
        <v>23.53</v>
      </c>
    </row>
    <row r="265" spans="2:6" ht="18.75" thickBot="1">
      <c r="B265" s="3488">
        <v>261</v>
      </c>
      <c r="C265" s="3490" t="s">
        <v>4974</v>
      </c>
      <c r="D265" s="3490" t="s">
        <v>3837</v>
      </c>
      <c r="E265" s="3489">
        <v>72.28</v>
      </c>
      <c r="F265" s="3490">
        <v>23.54</v>
      </c>
    </row>
    <row r="266" spans="2:6" ht="18.75" thickBot="1">
      <c r="B266" s="3488">
        <v>262</v>
      </c>
      <c r="C266" s="3490" t="s">
        <v>4974</v>
      </c>
      <c r="D266" s="3490" t="s">
        <v>3838</v>
      </c>
      <c r="E266" s="3489">
        <v>72.28</v>
      </c>
      <c r="F266" s="3490">
        <v>23.54</v>
      </c>
    </row>
    <row r="267" spans="2:6" ht="18.75" thickBot="1">
      <c r="B267" s="3488">
        <v>263</v>
      </c>
      <c r="C267" s="3490" t="s">
        <v>4974</v>
      </c>
      <c r="D267" s="3490" t="s">
        <v>3839</v>
      </c>
      <c r="E267" s="3489">
        <v>72.239999999999995</v>
      </c>
      <c r="F267" s="3490">
        <v>23.53</v>
      </c>
    </row>
    <row r="268" spans="2:6" ht="18.75" thickBot="1">
      <c r="B268" s="3488">
        <v>264</v>
      </c>
      <c r="C268" s="3490" t="s">
        <v>4974</v>
      </c>
      <c r="D268" s="3490" t="s">
        <v>3840</v>
      </c>
      <c r="E268" s="3489">
        <v>72.239999999999995</v>
      </c>
      <c r="F268" s="3490">
        <v>23.53</v>
      </c>
    </row>
    <row r="269" spans="2:6" ht="18.75" thickBot="1">
      <c r="B269" s="3488">
        <v>265</v>
      </c>
      <c r="C269" s="3490" t="s">
        <v>4974</v>
      </c>
      <c r="D269" s="3490" t="s">
        <v>3841</v>
      </c>
      <c r="E269" s="3489">
        <v>72.28</v>
      </c>
      <c r="F269" s="3490">
        <v>23.54</v>
      </c>
    </row>
    <row r="270" spans="2:6" ht="18.75" thickBot="1">
      <c r="B270" s="3488">
        <v>266</v>
      </c>
      <c r="C270" s="3490" t="s">
        <v>4974</v>
      </c>
      <c r="D270" s="3490" t="s">
        <v>3842</v>
      </c>
      <c r="E270" s="3489">
        <v>72.28</v>
      </c>
      <c r="F270" s="3490">
        <v>23.54</v>
      </c>
    </row>
    <row r="271" spans="2:6" ht="18.75" thickBot="1">
      <c r="B271" s="3488">
        <v>267</v>
      </c>
      <c r="C271" s="3490" t="s">
        <v>4974</v>
      </c>
      <c r="D271" s="3490" t="s">
        <v>3843</v>
      </c>
      <c r="E271" s="3489">
        <v>72.28</v>
      </c>
      <c r="F271" s="3490">
        <v>23.54</v>
      </c>
    </row>
    <row r="272" spans="2:6" ht="18.75" thickBot="1">
      <c r="B272" s="3488">
        <v>268</v>
      </c>
      <c r="C272" s="3490" t="s">
        <v>4974</v>
      </c>
      <c r="D272" s="3490" t="s">
        <v>3844</v>
      </c>
      <c r="E272" s="3489">
        <v>72.28</v>
      </c>
      <c r="F272" s="3490">
        <v>23.54</v>
      </c>
    </row>
    <row r="273" spans="2:6" ht="18.75" thickBot="1">
      <c r="B273" s="3488">
        <v>269</v>
      </c>
      <c r="C273" s="3490" t="s">
        <v>4974</v>
      </c>
      <c r="D273" s="3490" t="s">
        <v>3845</v>
      </c>
      <c r="E273" s="3489">
        <v>72.28</v>
      </c>
      <c r="F273" s="3490">
        <v>23.54</v>
      </c>
    </row>
    <row r="274" spans="2:6" ht="18.75" thickBot="1">
      <c r="B274" s="3488">
        <v>270</v>
      </c>
      <c r="C274" s="3490" t="s">
        <v>4974</v>
      </c>
      <c r="D274" s="3490" t="s">
        <v>3846</v>
      </c>
      <c r="E274" s="3489">
        <v>72.28</v>
      </c>
      <c r="F274" s="3490">
        <v>23.54</v>
      </c>
    </row>
    <row r="275" spans="2:6" ht="18.75" thickBot="1">
      <c r="B275" s="3488">
        <v>271</v>
      </c>
      <c r="C275" s="3490" t="s">
        <v>4974</v>
      </c>
      <c r="D275" s="3490" t="s">
        <v>3847</v>
      </c>
      <c r="E275" s="3489">
        <v>72.28</v>
      </c>
      <c r="F275" s="3490">
        <v>23.54</v>
      </c>
    </row>
    <row r="276" spans="2:6" ht="18.75" thickBot="1">
      <c r="B276" s="3488">
        <v>272</v>
      </c>
      <c r="C276" s="3490" t="s">
        <v>4974</v>
      </c>
      <c r="D276" s="3490" t="s">
        <v>3848</v>
      </c>
      <c r="E276" s="3489">
        <v>72.28</v>
      </c>
      <c r="F276" s="3490">
        <v>23.54</v>
      </c>
    </row>
    <row r="277" spans="2:6" ht="18.75" thickBot="1">
      <c r="B277" s="3488">
        <v>273</v>
      </c>
      <c r="C277" s="3490" t="s">
        <v>4974</v>
      </c>
      <c r="D277" s="3490" t="s">
        <v>3849</v>
      </c>
      <c r="E277" s="3489">
        <v>98.48</v>
      </c>
      <c r="F277" s="3490">
        <v>32.07</v>
      </c>
    </row>
    <row r="278" spans="2:6" ht="18.75" thickBot="1">
      <c r="B278" s="3488">
        <v>274</v>
      </c>
      <c r="C278" s="3490" t="s">
        <v>4974</v>
      </c>
      <c r="D278" s="3490" t="s">
        <v>3850</v>
      </c>
      <c r="E278" s="3489">
        <v>72.28</v>
      </c>
      <c r="F278" s="3490">
        <v>23.54</v>
      </c>
    </row>
    <row r="279" spans="2:6" ht="18.75" thickBot="1">
      <c r="B279" s="3488">
        <v>275</v>
      </c>
      <c r="C279" s="3490" t="s">
        <v>4974</v>
      </c>
      <c r="D279" s="3490" t="s">
        <v>3851</v>
      </c>
      <c r="E279" s="3489">
        <v>72.28</v>
      </c>
      <c r="F279" s="3490">
        <v>23.54</v>
      </c>
    </row>
    <row r="280" spans="2:6" ht="18.75" thickBot="1">
      <c r="B280" s="3488">
        <v>276</v>
      </c>
      <c r="C280" s="3490" t="s">
        <v>4974</v>
      </c>
      <c r="D280" s="3490" t="s">
        <v>3852</v>
      </c>
      <c r="E280" s="3489">
        <v>98.48</v>
      </c>
      <c r="F280" s="3490">
        <v>32.07</v>
      </c>
    </row>
    <row r="281" spans="2:6" ht="18.75" thickBot="1">
      <c r="B281" s="3488">
        <v>277</v>
      </c>
      <c r="C281" s="3490" t="s">
        <v>4974</v>
      </c>
      <c r="D281" s="3490" t="s">
        <v>3853</v>
      </c>
      <c r="E281" s="3489">
        <v>98.48</v>
      </c>
      <c r="F281" s="3490">
        <v>32.07</v>
      </c>
    </row>
    <row r="282" spans="2:6" ht="18.75" thickBot="1">
      <c r="B282" s="3488">
        <v>278</v>
      </c>
      <c r="C282" s="3490" t="s">
        <v>4974</v>
      </c>
      <c r="D282" s="3490" t="s">
        <v>3854</v>
      </c>
      <c r="E282" s="3489">
        <v>98.48</v>
      </c>
      <c r="F282" s="3490">
        <v>32.07</v>
      </c>
    </row>
    <row r="283" spans="2:6" ht="18.75" thickBot="1">
      <c r="B283" s="3488">
        <v>279</v>
      </c>
      <c r="C283" s="3490" t="s">
        <v>4974</v>
      </c>
      <c r="D283" s="3490" t="s">
        <v>3855</v>
      </c>
      <c r="E283" s="3489">
        <v>72.239999999999995</v>
      </c>
      <c r="F283" s="3490">
        <v>23.53</v>
      </c>
    </row>
    <row r="284" spans="2:6" ht="18.75" thickBot="1">
      <c r="B284" s="3488">
        <v>280</v>
      </c>
      <c r="C284" s="3490" t="s">
        <v>4974</v>
      </c>
      <c r="D284" s="3490" t="s">
        <v>3856</v>
      </c>
      <c r="E284" s="3489">
        <v>88.56</v>
      </c>
      <c r="F284" s="3490">
        <v>28.84</v>
      </c>
    </row>
    <row r="285" spans="2:6" ht="18.75" thickBot="1">
      <c r="B285" s="3488">
        <v>281</v>
      </c>
      <c r="C285" s="3490" t="s">
        <v>4974</v>
      </c>
      <c r="D285" s="3490" t="s">
        <v>3857</v>
      </c>
      <c r="E285" s="3489">
        <v>72.239999999999995</v>
      </c>
      <c r="F285" s="3490">
        <v>23.53</v>
      </c>
    </row>
    <row r="286" spans="2:6" ht="18.75" thickBot="1">
      <c r="B286" s="3488">
        <v>282</v>
      </c>
      <c r="C286" s="3490" t="s">
        <v>4974</v>
      </c>
      <c r="D286" s="3490" t="s">
        <v>3858</v>
      </c>
      <c r="E286" s="3489">
        <v>88.51</v>
      </c>
      <c r="F286" s="3490">
        <v>28.83</v>
      </c>
    </row>
    <row r="287" spans="2:6" ht="18.75" thickBot="1">
      <c r="B287" s="3488">
        <v>283</v>
      </c>
      <c r="C287" s="3490" t="s">
        <v>4974</v>
      </c>
      <c r="D287" s="3490" t="s">
        <v>3859</v>
      </c>
      <c r="E287" s="3489">
        <v>88.56</v>
      </c>
      <c r="F287" s="3490">
        <v>28.84</v>
      </c>
    </row>
    <row r="288" spans="2:6" ht="18.75" thickBot="1">
      <c r="B288" s="3488">
        <v>284</v>
      </c>
      <c r="C288" s="3490" t="s">
        <v>4974</v>
      </c>
      <c r="D288" s="3490" t="s">
        <v>3860</v>
      </c>
      <c r="E288" s="3489">
        <v>88.56</v>
      </c>
      <c r="F288" s="3490">
        <v>28.84</v>
      </c>
    </row>
    <row r="289" spans="2:6" ht="18.75" thickBot="1">
      <c r="B289" s="3488">
        <v>285</v>
      </c>
      <c r="C289" s="3490" t="s">
        <v>4974</v>
      </c>
      <c r="D289" s="3490" t="s">
        <v>3861</v>
      </c>
      <c r="E289" s="3489">
        <v>88.56</v>
      </c>
      <c r="F289" s="3490">
        <v>28.84</v>
      </c>
    </row>
    <row r="290" spans="2:6" ht="18.75" thickBot="1">
      <c r="B290" s="3491">
        <v>286</v>
      </c>
      <c r="C290" s="3492" t="s">
        <v>4974</v>
      </c>
      <c r="D290" s="3493" t="s">
        <v>3862</v>
      </c>
      <c r="E290" s="3493">
        <v>27.63</v>
      </c>
      <c r="F290" s="3492">
        <v>9</v>
      </c>
    </row>
    <row r="291" spans="2:6" ht="18.75" thickBot="1">
      <c r="B291" s="3491">
        <v>287</v>
      </c>
      <c r="C291" s="3492" t="s">
        <v>4974</v>
      </c>
      <c r="D291" s="3493" t="s">
        <v>3863</v>
      </c>
      <c r="E291" s="3493">
        <v>27.63</v>
      </c>
      <c r="F291" s="3492">
        <v>9</v>
      </c>
    </row>
    <row r="292" spans="2:6" ht="18.75" thickBot="1">
      <c r="B292" s="3491">
        <v>288</v>
      </c>
      <c r="C292" s="3492" t="s">
        <v>4974</v>
      </c>
      <c r="D292" s="3493" t="s">
        <v>3864</v>
      </c>
      <c r="E292" s="3493">
        <v>27.63</v>
      </c>
      <c r="F292" s="3492">
        <v>9</v>
      </c>
    </row>
    <row r="293" spans="2:6" ht="18.75" thickBot="1">
      <c r="B293" s="3491">
        <v>289</v>
      </c>
      <c r="C293" s="3492" t="s">
        <v>4974</v>
      </c>
      <c r="D293" s="3493" t="s">
        <v>3865</v>
      </c>
      <c r="E293" s="3493">
        <v>27.63</v>
      </c>
      <c r="F293" s="3492">
        <v>9</v>
      </c>
    </row>
    <row r="294" spans="2:6" ht="18.75" thickBot="1">
      <c r="B294" s="3491">
        <v>290</v>
      </c>
      <c r="C294" s="3492" t="s">
        <v>4974</v>
      </c>
      <c r="D294" s="3493" t="s">
        <v>3866</v>
      </c>
      <c r="E294" s="3493">
        <v>27.63</v>
      </c>
      <c r="F294" s="3492">
        <v>9</v>
      </c>
    </row>
    <row r="295" spans="2:6" ht="18.75" thickBot="1">
      <c r="B295" s="3491">
        <v>291</v>
      </c>
      <c r="C295" s="3492" t="s">
        <v>4974</v>
      </c>
      <c r="D295" s="3493" t="s">
        <v>3867</v>
      </c>
      <c r="E295" s="3493">
        <v>27.63</v>
      </c>
      <c r="F295" s="3492">
        <v>9</v>
      </c>
    </row>
    <row r="296" spans="2:6" ht="18.75" thickBot="1">
      <c r="B296" s="3491">
        <v>292</v>
      </c>
      <c r="C296" s="3492" t="s">
        <v>4974</v>
      </c>
      <c r="D296" s="3493" t="s">
        <v>3868</v>
      </c>
      <c r="E296" s="3493">
        <v>27.63</v>
      </c>
      <c r="F296" s="3492">
        <v>9</v>
      </c>
    </row>
    <row r="297" spans="2:6" ht="18.75" thickBot="1">
      <c r="B297" s="3491">
        <v>293</v>
      </c>
      <c r="C297" s="3492" t="s">
        <v>4974</v>
      </c>
      <c r="D297" s="3493" t="s">
        <v>3869</v>
      </c>
      <c r="E297" s="3493">
        <v>27.63</v>
      </c>
      <c r="F297" s="3492">
        <v>9</v>
      </c>
    </row>
    <row r="298" spans="2:6" ht="18.75" thickBot="1">
      <c r="B298" s="3491">
        <v>294</v>
      </c>
      <c r="C298" s="3492" t="s">
        <v>4974</v>
      </c>
      <c r="D298" s="3493" t="s">
        <v>3870</v>
      </c>
      <c r="E298" s="3493">
        <v>27.63</v>
      </c>
      <c r="F298" s="3492">
        <v>9</v>
      </c>
    </row>
    <row r="299" spans="2:6" ht="18.75" thickBot="1">
      <c r="B299" s="3491">
        <v>295</v>
      </c>
      <c r="C299" s="3492" t="s">
        <v>4974</v>
      </c>
      <c r="D299" s="3493" t="s">
        <v>3871</v>
      </c>
      <c r="E299" s="3493">
        <v>27.63</v>
      </c>
      <c r="F299" s="3492">
        <v>9</v>
      </c>
    </row>
    <row r="300" spans="2:6" ht="18.75" thickBot="1">
      <c r="B300" s="3491">
        <v>296</v>
      </c>
      <c r="C300" s="3492" t="s">
        <v>4974</v>
      </c>
      <c r="D300" s="3493" t="s">
        <v>3872</v>
      </c>
      <c r="E300" s="3493">
        <v>27.63</v>
      </c>
      <c r="F300" s="3492">
        <v>9</v>
      </c>
    </row>
    <row r="301" spans="2:6" ht="18.75" thickBot="1">
      <c r="B301" s="3491">
        <v>297</v>
      </c>
      <c r="C301" s="3492" t="s">
        <v>4974</v>
      </c>
      <c r="D301" s="3493" t="s">
        <v>3873</v>
      </c>
      <c r="E301" s="3493">
        <v>27.63</v>
      </c>
      <c r="F301" s="3492">
        <v>9</v>
      </c>
    </row>
    <row r="302" spans="2:6" ht="18.75" thickBot="1">
      <c r="B302" s="3491">
        <v>298</v>
      </c>
      <c r="C302" s="3492" t="s">
        <v>4974</v>
      </c>
      <c r="D302" s="3493" t="s">
        <v>3874</v>
      </c>
      <c r="E302" s="3493">
        <v>27.63</v>
      </c>
      <c r="F302" s="3492">
        <v>9</v>
      </c>
    </row>
    <row r="303" spans="2:6" ht="18.75" thickBot="1">
      <c r="B303" s="3491">
        <v>299</v>
      </c>
      <c r="C303" s="3492" t="s">
        <v>4974</v>
      </c>
      <c r="D303" s="3493" t="s">
        <v>3875</v>
      </c>
      <c r="E303" s="3493">
        <v>27.63</v>
      </c>
      <c r="F303" s="3492">
        <v>9</v>
      </c>
    </row>
    <row r="304" spans="2:6" ht="18.75" thickBot="1">
      <c r="B304" s="3491">
        <v>300</v>
      </c>
      <c r="C304" s="3492" t="s">
        <v>4974</v>
      </c>
      <c r="D304" s="3493" t="s">
        <v>3876</v>
      </c>
      <c r="E304" s="3493">
        <v>27.63</v>
      </c>
      <c r="F304" s="3492">
        <v>9</v>
      </c>
    </row>
    <row r="305" spans="2:6" ht="18.75" thickBot="1">
      <c r="B305" s="3491">
        <v>301</v>
      </c>
      <c r="C305" s="3492" t="s">
        <v>4974</v>
      </c>
      <c r="D305" s="3493" t="s">
        <v>3877</v>
      </c>
      <c r="E305" s="3493">
        <v>27.63</v>
      </c>
      <c r="F305" s="3492">
        <v>9</v>
      </c>
    </row>
    <row r="306" spans="2:6" ht="18.75" thickBot="1">
      <c r="B306" s="3491">
        <v>302</v>
      </c>
      <c r="C306" s="3492" t="s">
        <v>4974</v>
      </c>
      <c r="D306" s="3493" t="s">
        <v>3878</v>
      </c>
      <c r="E306" s="3493">
        <v>27.63</v>
      </c>
      <c r="F306" s="3492">
        <v>9</v>
      </c>
    </row>
    <row r="307" spans="2:6" ht="18.75" thickBot="1">
      <c r="B307" s="3491">
        <v>303</v>
      </c>
      <c r="C307" s="3492" t="s">
        <v>4974</v>
      </c>
      <c r="D307" s="3493" t="s">
        <v>3879</v>
      </c>
      <c r="E307" s="3493">
        <v>27.63</v>
      </c>
      <c r="F307" s="3492">
        <v>9</v>
      </c>
    </row>
    <row r="308" spans="2:6" ht="18.75" thickBot="1">
      <c r="B308" s="3491">
        <v>304</v>
      </c>
      <c r="C308" s="3492" t="s">
        <v>4974</v>
      </c>
      <c r="D308" s="3493" t="s">
        <v>3880</v>
      </c>
      <c r="E308" s="3493">
        <v>27.63</v>
      </c>
      <c r="F308" s="3492">
        <v>9</v>
      </c>
    </row>
    <row r="309" spans="2:6" ht="18.75" thickBot="1">
      <c r="B309" s="3491">
        <v>305</v>
      </c>
      <c r="C309" s="3492" t="s">
        <v>4974</v>
      </c>
      <c r="D309" s="3493" t="s">
        <v>3881</v>
      </c>
      <c r="E309" s="3493">
        <v>27.63</v>
      </c>
      <c r="F309" s="3492">
        <v>9</v>
      </c>
    </row>
    <row r="310" spans="2:6" ht="18.75" thickBot="1">
      <c r="B310" s="3491">
        <v>306</v>
      </c>
      <c r="C310" s="3492" t="s">
        <v>4974</v>
      </c>
      <c r="D310" s="3493" t="s">
        <v>3882</v>
      </c>
      <c r="E310" s="3493">
        <v>27.63</v>
      </c>
      <c r="F310" s="3492">
        <v>9</v>
      </c>
    </row>
    <row r="311" spans="2:6" ht="18.75" thickBot="1">
      <c r="B311" s="3491">
        <v>307</v>
      </c>
      <c r="C311" s="3492" t="s">
        <v>4974</v>
      </c>
      <c r="D311" s="3493" t="s">
        <v>3883</v>
      </c>
      <c r="E311" s="3493">
        <v>27.63</v>
      </c>
      <c r="F311" s="3492">
        <v>9</v>
      </c>
    </row>
    <row r="312" spans="2:6" ht="18.75" thickBot="1">
      <c r="B312" s="3491">
        <v>308</v>
      </c>
      <c r="C312" s="3492" t="s">
        <v>4974</v>
      </c>
      <c r="D312" s="3493" t="s">
        <v>3884</v>
      </c>
      <c r="E312" s="3493">
        <v>27.63</v>
      </c>
      <c r="F312" s="3492">
        <v>9</v>
      </c>
    </row>
    <row r="313" spans="2:6" ht="18.75" thickBot="1">
      <c r="B313" s="3491">
        <v>309</v>
      </c>
      <c r="C313" s="3492" t="s">
        <v>4974</v>
      </c>
      <c r="D313" s="3493" t="s">
        <v>3885</v>
      </c>
      <c r="E313" s="3493">
        <v>27.63</v>
      </c>
      <c r="F313" s="3492">
        <v>9</v>
      </c>
    </row>
    <row r="314" spans="2:6" ht="18.75" thickBot="1">
      <c r="B314" s="3491">
        <v>310</v>
      </c>
      <c r="C314" s="3492" t="s">
        <v>4974</v>
      </c>
      <c r="D314" s="3493" t="s">
        <v>3886</v>
      </c>
      <c r="E314" s="3493">
        <v>27.63</v>
      </c>
      <c r="F314" s="3492">
        <v>9</v>
      </c>
    </row>
    <row r="315" spans="2:6" ht="18.75" thickBot="1">
      <c r="B315" s="3491">
        <v>311</v>
      </c>
      <c r="C315" s="3492" t="s">
        <v>4974</v>
      </c>
      <c r="D315" s="3493" t="s">
        <v>3887</v>
      </c>
      <c r="E315" s="3493">
        <v>27.63</v>
      </c>
      <c r="F315" s="3492">
        <v>9</v>
      </c>
    </row>
    <row r="316" spans="2:6" ht="18.75" thickBot="1">
      <c r="B316" s="3491">
        <v>312</v>
      </c>
      <c r="C316" s="3492" t="s">
        <v>4974</v>
      </c>
      <c r="D316" s="3493" t="s">
        <v>3888</v>
      </c>
      <c r="E316" s="3493">
        <v>27.63</v>
      </c>
      <c r="F316" s="3492">
        <v>9</v>
      </c>
    </row>
    <row r="317" spans="2:6" ht="18.75" thickBot="1">
      <c r="B317" s="3491">
        <v>313</v>
      </c>
      <c r="C317" s="3492" t="s">
        <v>4974</v>
      </c>
      <c r="D317" s="3493" t="s">
        <v>3889</v>
      </c>
      <c r="E317" s="3493">
        <v>27.63</v>
      </c>
      <c r="F317" s="3492">
        <v>9</v>
      </c>
    </row>
    <row r="318" spans="2:6" ht="18.75" thickBot="1">
      <c r="B318" s="3491">
        <v>314</v>
      </c>
      <c r="C318" s="3492" t="s">
        <v>4974</v>
      </c>
      <c r="D318" s="3493" t="s">
        <v>3890</v>
      </c>
      <c r="E318" s="3493">
        <v>27.63</v>
      </c>
      <c r="F318" s="3492">
        <v>9</v>
      </c>
    </row>
    <row r="319" spans="2:6" ht="18.75" thickBot="1">
      <c r="B319" s="3491">
        <v>315</v>
      </c>
      <c r="C319" s="3492" t="s">
        <v>4974</v>
      </c>
      <c r="D319" s="3493" t="s">
        <v>3891</v>
      </c>
      <c r="E319" s="3493">
        <v>27.63</v>
      </c>
      <c r="F319" s="3492">
        <v>9</v>
      </c>
    </row>
    <row r="320" spans="2:6" ht="18.75" thickBot="1">
      <c r="B320" s="3491">
        <v>316</v>
      </c>
      <c r="C320" s="3492" t="s">
        <v>4974</v>
      </c>
      <c r="D320" s="3493" t="s">
        <v>3892</v>
      </c>
      <c r="E320" s="3493">
        <v>27.63</v>
      </c>
      <c r="F320" s="3492">
        <v>9</v>
      </c>
    </row>
    <row r="321" spans="2:6" ht="18.75" thickBot="1">
      <c r="B321" s="3491">
        <v>317</v>
      </c>
      <c r="C321" s="3492" t="s">
        <v>4974</v>
      </c>
      <c r="D321" s="3493" t="s">
        <v>3893</v>
      </c>
      <c r="E321" s="3493">
        <v>27.63</v>
      </c>
      <c r="F321" s="3492">
        <v>9</v>
      </c>
    </row>
    <row r="322" spans="2:6" ht="18.75" thickBot="1">
      <c r="B322" s="3491">
        <v>318</v>
      </c>
      <c r="C322" s="3492" t="s">
        <v>4974</v>
      </c>
      <c r="D322" s="3493" t="s">
        <v>3894</v>
      </c>
      <c r="E322" s="3493">
        <v>27.63</v>
      </c>
      <c r="F322" s="3492">
        <v>9</v>
      </c>
    </row>
    <row r="323" spans="2:6" ht="18.75" thickBot="1">
      <c r="B323" s="3491">
        <v>319</v>
      </c>
      <c r="C323" s="3492" t="s">
        <v>4974</v>
      </c>
      <c r="D323" s="3493" t="s">
        <v>3895</v>
      </c>
      <c r="E323" s="3493">
        <v>27.63</v>
      </c>
      <c r="F323" s="3492">
        <v>9</v>
      </c>
    </row>
    <row r="324" spans="2:6" ht="18.75" thickBot="1">
      <c r="B324" s="3491">
        <v>320</v>
      </c>
      <c r="C324" s="3492" t="s">
        <v>4974</v>
      </c>
      <c r="D324" s="3493" t="s">
        <v>3896</v>
      </c>
      <c r="E324" s="3493">
        <v>27.63</v>
      </c>
      <c r="F324" s="3492">
        <v>9</v>
      </c>
    </row>
    <row r="325" spans="2:6" ht="18.75" thickBot="1">
      <c r="B325" s="3491">
        <v>321</v>
      </c>
      <c r="C325" s="3492" t="s">
        <v>4974</v>
      </c>
      <c r="D325" s="3493" t="s">
        <v>3897</v>
      </c>
      <c r="E325" s="3493">
        <v>27.63</v>
      </c>
      <c r="F325" s="3492">
        <v>9</v>
      </c>
    </row>
    <row r="326" spans="2:6" ht="18.75" thickBot="1">
      <c r="B326" s="3491">
        <v>322</v>
      </c>
      <c r="C326" s="3492" t="s">
        <v>4974</v>
      </c>
      <c r="D326" s="3493" t="s">
        <v>3898</v>
      </c>
      <c r="E326" s="3493">
        <v>27.63</v>
      </c>
      <c r="F326" s="3492">
        <v>9</v>
      </c>
    </row>
    <row r="327" spans="2:6" ht="18.75" thickBot="1">
      <c r="B327" s="3491">
        <v>323</v>
      </c>
      <c r="C327" s="3492" t="s">
        <v>4974</v>
      </c>
      <c r="D327" s="3493" t="s">
        <v>3899</v>
      </c>
      <c r="E327" s="3493">
        <v>27.63</v>
      </c>
      <c r="F327" s="3492">
        <v>9</v>
      </c>
    </row>
    <row r="328" spans="2:6" ht="18.75" thickBot="1">
      <c r="B328" s="3491">
        <v>324</v>
      </c>
      <c r="C328" s="3492" t="s">
        <v>4974</v>
      </c>
      <c r="D328" s="3493" t="s">
        <v>3900</v>
      </c>
      <c r="E328" s="3493">
        <v>27.63</v>
      </c>
      <c r="F328" s="3492">
        <v>9</v>
      </c>
    </row>
    <row r="329" spans="2:6" ht="18.75" thickBot="1">
      <c r="B329" s="3491">
        <v>325</v>
      </c>
      <c r="C329" s="3492" t="s">
        <v>4974</v>
      </c>
      <c r="D329" s="3493" t="s">
        <v>3901</v>
      </c>
      <c r="E329" s="3493">
        <v>27.63</v>
      </c>
      <c r="F329" s="3492">
        <v>9</v>
      </c>
    </row>
    <row r="330" spans="2:6" ht="18.75" thickBot="1">
      <c r="B330" s="3491">
        <v>326</v>
      </c>
      <c r="C330" s="3492" t="s">
        <v>4974</v>
      </c>
      <c r="D330" s="3493" t="s">
        <v>3902</v>
      </c>
      <c r="E330" s="3493">
        <v>27.63</v>
      </c>
      <c r="F330" s="3492">
        <v>9</v>
      </c>
    </row>
    <row r="331" spans="2:6" ht="18.75" thickBot="1">
      <c r="B331" s="3491">
        <v>327</v>
      </c>
      <c r="C331" s="3492" t="s">
        <v>4974</v>
      </c>
      <c r="D331" s="3493" t="s">
        <v>3903</v>
      </c>
      <c r="E331" s="3493">
        <v>27.63</v>
      </c>
      <c r="F331" s="3492">
        <v>9</v>
      </c>
    </row>
    <row r="332" spans="2:6" ht="18.75" thickBot="1">
      <c r="B332" s="3491">
        <v>328</v>
      </c>
      <c r="C332" s="3492" t="s">
        <v>4974</v>
      </c>
      <c r="D332" s="3493" t="s">
        <v>3904</v>
      </c>
      <c r="E332" s="3493">
        <v>27.63</v>
      </c>
      <c r="F332" s="3492">
        <v>9</v>
      </c>
    </row>
    <row r="333" spans="2:6" ht="18.75" thickBot="1">
      <c r="B333" s="3491">
        <v>329</v>
      </c>
      <c r="C333" s="3492" t="s">
        <v>4974</v>
      </c>
      <c r="D333" s="3493" t="s">
        <v>3905</v>
      </c>
      <c r="E333" s="3493">
        <v>27.63</v>
      </c>
      <c r="F333" s="3492">
        <v>9</v>
      </c>
    </row>
    <row r="334" spans="2:6" ht="18.75" thickBot="1">
      <c r="B334" s="3491">
        <v>330</v>
      </c>
      <c r="C334" s="3492" t="s">
        <v>4974</v>
      </c>
      <c r="D334" s="3493" t="s">
        <v>3906</v>
      </c>
      <c r="E334" s="3493">
        <v>27.63</v>
      </c>
      <c r="F334" s="3492">
        <v>9</v>
      </c>
    </row>
    <row r="335" spans="2:6" ht="18.75" thickBot="1">
      <c r="B335" s="3491">
        <v>331</v>
      </c>
      <c r="C335" s="3492" t="s">
        <v>4974</v>
      </c>
      <c r="D335" s="3493" t="s">
        <v>3907</v>
      </c>
      <c r="E335" s="3493">
        <v>27.63</v>
      </c>
      <c r="F335" s="3492">
        <v>9</v>
      </c>
    </row>
    <row r="336" spans="2:6" ht="18.75" thickBot="1">
      <c r="B336" s="3491">
        <v>332</v>
      </c>
      <c r="C336" s="3492" t="s">
        <v>4974</v>
      </c>
      <c r="D336" s="3493" t="s">
        <v>3908</v>
      </c>
      <c r="E336" s="3493">
        <v>27.63</v>
      </c>
      <c r="F336" s="3492">
        <v>9</v>
      </c>
    </row>
    <row r="337" spans="2:6" ht="18.75" thickBot="1">
      <c r="B337" s="3491">
        <v>333</v>
      </c>
      <c r="C337" s="3492" t="s">
        <v>4974</v>
      </c>
      <c r="D337" s="3493" t="s">
        <v>3909</v>
      </c>
      <c r="E337" s="3493">
        <v>27.63</v>
      </c>
      <c r="F337" s="3492">
        <v>9</v>
      </c>
    </row>
    <row r="338" spans="2:6" ht="18.75" thickBot="1">
      <c r="B338" s="3491">
        <v>334</v>
      </c>
      <c r="C338" s="3492" t="s">
        <v>4974</v>
      </c>
      <c r="D338" s="3493" t="s">
        <v>3910</v>
      </c>
      <c r="E338" s="3493">
        <v>27.63</v>
      </c>
      <c r="F338" s="3492">
        <v>9</v>
      </c>
    </row>
    <row r="339" spans="2:6" ht="18.75" thickBot="1">
      <c r="B339" s="3491">
        <v>335</v>
      </c>
      <c r="C339" s="3492" t="s">
        <v>4974</v>
      </c>
      <c r="D339" s="3493" t="s">
        <v>3911</v>
      </c>
      <c r="E339" s="3493">
        <v>27.63</v>
      </c>
      <c r="F339" s="3492">
        <v>9</v>
      </c>
    </row>
    <row r="340" spans="2:6" ht="18.75" thickBot="1">
      <c r="B340" s="3491">
        <v>336</v>
      </c>
      <c r="C340" s="3492" t="s">
        <v>4974</v>
      </c>
      <c r="D340" s="3493" t="s">
        <v>3912</v>
      </c>
      <c r="E340" s="3493">
        <v>27.63</v>
      </c>
      <c r="F340" s="3492">
        <v>9</v>
      </c>
    </row>
    <row r="341" spans="2:6" ht="18.75" thickBot="1">
      <c r="B341" s="3491">
        <v>337</v>
      </c>
      <c r="C341" s="3492" t="s">
        <v>4974</v>
      </c>
      <c r="D341" s="3493" t="s">
        <v>3913</v>
      </c>
      <c r="E341" s="3493">
        <v>27.63</v>
      </c>
      <c r="F341" s="3492">
        <v>9</v>
      </c>
    </row>
    <row r="342" spans="2:6" ht="18.75" thickBot="1">
      <c r="B342" s="3491">
        <v>338</v>
      </c>
      <c r="C342" s="3492" t="s">
        <v>4974</v>
      </c>
      <c r="D342" s="3493" t="s">
        <v>3914</v>
      </c>
      <c r="E342" s="3493">
        <v>27.63</v>
      </c>
      <c r="F342" s="3492">
        <v>9</v>
      </c>
    </row>
    <row r="343" spans="2:6" ht="18.75" thickBot="1">
      <c r="B343" s="3491">
        <v>339</v>
      </c>
      <c r="C343" s="3492" t="s">
        <v>4974</v>
      </c>
      <c r="D343" s="3493" t="s">
        <v>3915</v>
      </c>
      <c r="E343" s="3493">
        <v>27.63</v>
      </c>
      <c r="F343" s="3492">
        <v>9</v>
      </c>
    </row>
    <row r="344" spans="2:6" ht="18.75" thickBot="1">
      <c r="B344" s="3491">
        <v>340</v>
      </c>
      <c r="C344" s="3492" t="s">
        <v>4974</v>
      </c>
      <c r="D344" s="3493" t="s">
        <v>3916</v>
      </c>
      <c r="E344" s="3493">
        <v>27.63</v>
      </c>
      <c r="F344" s="3492">
        <v>9</v>
      </c>
    </row>
    <row r="345" spans="2:6" ht="18.75" thickBot="1">
      <c r="B345" s="3491">
        <v>341</v>
      </c>
      <c r="C345" s="3492" t="s">
        <v>4974</v>
      </c>
      <c r="D345" s="3493" t="s">
        <v>3917</v>
      </c>
      <c r="E345" s="3493">
        <v>27.63</v>
      </c>
      <c r="F345" s="3492">
        <v>9</v>
      </c>
    </row>
    <row r="346" spans="2:6" ht="18.75" thickBot="1">
      <c r="B346" s="3491">
        <v>342</v>
      </c>
      <c r="C346" s="3492" t="s">
        <v>4974</v>
      </c>
      <c r="D346" s="3493" t="s">
        <v>3918</v>
      </c>
      <c r="E346" s="3493">
        <v>27.63</v>
      </c>
      <c r="F346" s="3492">
        <v>9</v>
      </c>
    </row>
    <row r="347" spans="2:6" ht="18.75" thickBot="1">
      <c r="B347" s="3491">
        <v>343</v>
      </c>
      <c r="C347" s="3492" t="s">
        <v>4974</v>
      </c>
      <c r="D347" s="3493" t="s">
        <v>3919</v>
      </c>
      <c r="E347" s="3493">
        <v>27.63</v>
      </c>
      <c r="F347" s="3492">
        <v>9</v>
      </c>
    </row>
    <row r="348" spans="2:6" ht="18.75" thickBot="1">
      <c r="B348" s="3491">
        <v>344</v>
      </c>
      <c r="C348" s="3492" t="s">
        <v>4974</v>
      </c>
      <c r="D348" s="3493" t="s">
        <v>3920</v>
      </c>
      <c r="E348" s="3493">
        <v>27.63</v>
      </c>
      <c r="F348" s="3492">
        <v>9</v>
      </c>
    </row>
    <row r="349" spans="2:6" ht="18.75" thickBot="1">
      <c r="B349" s="3491">
        <v>345</v>
      </c>
      <c r="C349" s="3492" t="s">
        <v>4974</v>
      </c>
      <c r="D349" s="3493" t="s">
        <v>3921</v>
      </c>
      <c r="E349" s="3493">
        <v>27.63</v>
      </c>
      <c r="F349" s="3492">
        <v>9</v>
      </c>
    </row>
    <row r="350" spans="2:6" ht="18.75" thickBot="1">
      <c r="B350" s="3491">
        <v>346</v>
      </c>
      <c r="C350" s="3492" t="s">
        <v>4974</v>
      </c>
      <c r="D350" s="3493" t="s">
        <v>3922</v>
      </c>
      <c r="E350" s="3493">
        <v>27.63</v>
      </c>
      <c r="F350" s="3492">
        <v>9</v>
      </c>
    </row>
    <row r="351" spans="2:6" ht="18.75" thickBot="1">
      <c r="B351" s="3491">
        <v>347</v>
      </c>
      <c r="C351" s="3492" t="s">
        <v>4974</v>
      </c>
      <c r="D351" s="3493" t="s">
        <v>3923</v>
      </c>
      <c r="E351" s="3493">
        <v>27.63</v>
      </c>
      <c r="F351" s="3492">
        <v>9</v>
      </c>
    </row>
    <row r="352" spans="2:6" ht="18.75" thickBot="1">
      <c r="B352" s="3491">
        <v>348</v>
      </c>
      <c r="C352" s="3492" t="s">
        <v>4974</v>
      </c>
      <c r="D352" s="3493" t="s">
        <v>3924</v>
      </c>
      <c r="E352" s="3493">
        <v>27.63</v>
      </c>
      <c r="F352" s="3492">
        <v>9</v>
      </c>
    </row>
    <row r="353" spans="2:6" ht="18.75" thickBot="1">
      <c r="B353" s="3491">
        <v>349</v>
      </c>
      <c r="C353" s="3492" t="s">
        <v>4974</v>
      </c>
      <c r="D353" s="3493" t="s">
        <v>3925</v>
      </c>
      <c r="E353" s="3493">
        <v>27.63</v>
      </c>
      <c r="F353" s="3492">
        <v>9</v>
      </c>
    </row>
    <row r="354" spans="2:6" ht="18.75" thickBot="1">
      <c r="B354" s="3491">
        <v>350</v>
      </c>
      <c r="C354" s="3492" t="s">
        <v>4974</v>
      </c>
      <c r="D354" s="3493" t="s">
        <v>3926</v>
      </c>
      <c r="E354" s="3493">
        <v>27.63</v>
      </c>
      <c r="F354" s="3492">
        <v>9</v>
      </c>
    </row>
    <row r="355" spans="2:6" ht="18.75" thickBot="1">
      <c r="B355" s="3491">
        <v>351</v>
      </c>
      <c r="C355" s="3492" t="s">
        <v>4974</v>
      </c>
      <c r="D355" s="3493" t="s">
        <v>3927</v>
      </c>
      <c r="E355" s="3493">
        <v>27.63</v>
      </c>
      <c r="F355" s="3492">
        <v>9</v>
      </c>
    </row>
    <row r="356" spans="2:6" ht="18.75" thickBot="1">
      <c r="B356" s="3491">
        <v>352</v>
      </c>
      <c r="C356" s="3492" t="s">
        <v>4974</v>
      </c>
      <c r="D356" s="3493" t="s">
        <v>3928</v>
      </c>
      <c r="E356" s="3493">
        <v>27.63</v>
      </c>
      <c r="F356" s="3492">
        <v>9</v>
      </c>
    </row>
    <row r="357" spans="2:6" ht="18.75" thickBot="1">
      <c r="B357" s="3491">
        <v>353</v>
      </c>
      <c r="C357" s="3492" t="s">
        <v>4974</v>
      </c>
      <c r="D357" s="3493" t="s">
        <v>3929</v>
      </c>
      <c r="E357" s="3493">
        <v>27.63</v>
      </c>
      <c r="F357" s="3492">
        <v>9</v>
      </c>
    </row>
    <row r="358" spans="2:6" ht="18.75" thickBot="1">
      <c r="B358" s="3491">
        <v>354</v>
      </c>
      <c r="C358" s="3492" t="s">
        <v>4974</v>
      </c>
      <c r="D358" s="3493" t="s">
        <v>3930</v>
      </c>
      <c r="E358" s="3493">
        <v>27.63</v>
      </c>
      <c r="F358" s="3492">
        <v>9</v>
      </c>
    </row>
    <row r="359" spans="2:6" ht="18.75" thickBot="1">
      <c r="B359" s="3491">
        <v>355</v>
      </c>
      <c r="C359" s="3492" t="s">
        <v>4974</v>
      </c>
      <c r="D359" s="3493" t="s">
        <v>3931</v>
      </c>
      <c r="E359" s="3493">
        <v>27.63</v>
      </c>
      <c r="F359" s="3492">
        <v>9</v>
      </c>
    </row>
    <row r="360" spans="2:6" ht="18.75" thickBot="1">
      <c r="B360" s="3491">
        <v>356</v>
      </c>
      <c r="C360" s="3492" t="s">
        <v>4974</v>
      </c>
      <c r="D360" s="3493" t="s">
        <v>3932</v>
      </c>
      <c r="E360" s="3493">
        <v>27.63</v>
      </c>
      <c r="F360" s="3492">
        <v>9</v>
      </c>
    </row>
    <row r="361" spans="2:6" ht="18.75" thickBot="1">
      <c r="B361" s="3491">
        <v>357</v>
      </c>
      <c r="C361" s="3492" t="s">
        <v>4974</v>
      </c>
      <c r="D361" s="3493" t="s">
        <v>3933</v>
      </c>
      <c r="E361" s="3493">
        <v>27.63</v>
      </c>
      <c r="F361" s="3492">
        <v>9</v>
      </c>
    </row>
    <row r="362" spans="2:6" ht="18.75" thickBot="1">
      <c r="B362" s="3491">
        <v>358</v>
      </c>
      <c r="C362" s="3492" t="s">
        <v>4974</v>
      </c>
      <c r="D362" s="3493" t="s">
        <v>3934</v>
      </c>
      <c r="E362" s="3493">
        <v>27.63</v>
      </c>
      <c r="F362" s="3492">
        <v>9</v>
      </c>
    </row>
    <row r="363" spans="2:6" ht="18.75" thickBot="1">
      <c r="B363" s="3491">
        <v>359</v>
      </c>
      <c r="C363" s="3492" t="s">
        <v>4974</v>
      </c>
      <c r="D363" s="3493" t="s">
        <v>3935</v>
      </c>
      <c r="E363" s="3493">
        <v>27.63</v>
      </c>
      <c r="F363" s="3492">
        <v>9</v>
      </c>
    </row>
    <row r="364" spans="2:6" ht="18.75" thickBot="1">
      <c r="B364" s="3491">
        <v>360</v>
      </c>
      <c r="C364" s="3492" t="s">
        <v>4974</v>
      </c>
      <c r="D364" s="3493" t="s">
        <v>3936</v>
      </c>
      <c r="E364" s="3493">
        <v>27.63</v>
      </c>
      <c r="F364" s="3492">
        <v>9</v>
      </c>
    </row>
    <row r="365" spans="2:6" ht="18.75" thickBot="1">
      <c r="B365" s="3491">
        <v>361</v>
      </c>
      <c r="C365" s="3492" t="s">
        <v>4974</v>
      </c>
      <c r="D365" s="3493" t="s">
        <v>3937</v>
      </c>
      <c r="E365" s="3493">
        <v>27.63</v>
      </c>
      <c r="F365" s="3492">
        <v>9</v>
      </c>
    </row>
    <row r="366" spans="2:6" ht="18.75" thickBot="1">
      <c r="B366" s="3491">
        <v>362</v>
      </c>
      <c r="C366" s="3492" t="s">
        <v>4974</v>
      </c>
      <c r="D366" s="3493" t="s">
        <v>3938</v>
      </c>
      <c r="E366" s="3493">
        <v>27.63</v>
      </c>
      <c r="F366" s="3492">
        <v>9</v>
      </c>
    </row>
    <row r="367" spans="2:6" ht="18.75" thickBot="1">
      <c r="B367" s="3491">
        <v>363</v>
      </c>
      <c r="C367" s="3492" t="s">
        <v>4974</v>
      </c>
      <c r="D367" s="3493" t="s">
        <v>3939</v>
      </c>
      <c r="E367" s="3493">
        <v>27.63</v>
      </c>
      <c r="F367" s="3492">
        <v>9</v>
      </c>
    </row>
    <row r="368" spans="2:6" ht="18.75" thickBot="1">
      <c r="B368" s="3491">
        <v>364</v>
      </c>
      <c r="C368" s="3492" t="s">
        <v>4974</v>
      </c>
      <c r="D368" s="3493" t="s">
        <v>3940</v>
      </c>
      <c r="E368" s="3493">
        <v>27.63</v>
      </c>
      <c r="F368" s="3492">
        <v>9</v>
      </c>
    </row>
    <row r="369" spans="2:6" ht="18.75" thickBot="1">
      <c r="B369" s="3491">
        <v>365</v>
      </c>
      <c r="C369" s="3492" t="s">
        <v>4974</v>
      </c>
      <c r="D369" s="3493" t="s">
        <v>3941</v>
      </c>
      <c r="E369" s="3493">
        <v>27.63</v>
      </c>
      <c r="F369" s="3492">
        <v>9</v>
      </c>
    </row>
    <row r="370" spans="2:6" ht="18.75" thickBot="1">
      <c r="B370" s="3491">
        <v>366</v>
      </c>
      <c r="C370" s="3492" t="s">
        <v>4974</v>
      </c>
      <c r="D370" s="3493" t="s">
        <v>3942</v>
      </c>
      <c r="E370" s="3493">
        <v>27.63</v>
      </c>
      <c r="F370" s="3492">
        <v>9</v>
      </c>
    </row>
    <row r="371" spans="2:6" ht="18.75" thickBot="1">
      <c r="B371" s="3491">
        <v>367</v>
      </c>
      <c r="C371" s="3492" t="s">
        <v>4974</v>
      </c>
      <c r="D371" s="3493" t="s">
        <v>3943</v>
      </c>
      <c r="E371" s="3493">
        <v>27.63</v>
      </c>
      <c r="F371" s="3492">
        <v>9</v>
      </c>
    </row>
    <row r="372" spans="2:6" ht="18.75" thickBot="1">
      <c r="B372" s="3491">
        <v>368</v>
      </c>
      <c r="C372" s="3492" t="s">
        <v>4974</v>
      </c>
      <c r="D372" s="3493" t="s">
        <v>3944</v>
      </c>
      <c r="E372" s="3493">
        <v>27.63</v>
      </c>
      <c r="F372" s="3492">
        <v>9</v>
      </c>
    </row>
    <row r="373" spans="2:6" ht="18.75" thickBot="1">
      <c r="B373" s="3491">
        <v>369</v>
      </c>
      <c r="C373" s="3492" t="s">
        <v>4974</v>
      </c>
      <c r="D373" s="3493" t="s">
        <v>3945</v>
      </c>
      <c r="E373" s="3493">
        <v>27.63</v>
      </c>
      <c r="F373" s="3492">
        <v>9</v>
      </c>
    </row>
    <row r="374" spans="2:6" ht="18.75" thickBot="1">
      <c r="B374" s="3491">
        <v>370</v>
      </c>
      <c r="C374" s="3492" t="s">
        <v>4974</v>
      </c>
      <c r="D374" s="3493" t="s">
        <v>3946</v>
      </c>
      <c r="E374" s="3493">
        <v>27.63</v>
      </c>
      <c r="F374" s="3492">
        <v>9</v>
      </c>
    </row>
    <row r="375" spans="2:6" ht="18.75" thickBot="1">
      <c r="B375" s="3491">
        <v>371</v>
      </c>
      <c r="C375" s="3492" t="s">
        <v>4974</v>
      </c>
      <c r="D375" s="3493" t="s">
        <v>3947</v>
      </c>
      <c r="E375" s="3493">
        <v>27.63</v>
      </c>
      <c r="F375" s="3492">
        <v>9</v>
      </c>
    </row>
    <row r="376" spans="2:6" ht="18.75" thickBot="1">
      <c r="B376" s="3491">
        <v>372</v>
      </c>
      <c r="C376" s="3492" t="s">
        <v>4974</v>
      </c>
      <c r="D376" s="3493" t="s">
        <v>3948</v>
      </c>
      <c r="E376" s="3493">
        <v>27.63</v>
      </c>
      <c r="F376" s="3492">
        <v>9</v>
      </c>
    </row>
    <row r="377" spans="2:6" ht="18.75" thickBot="1">
      <c r="B377" s="3491">
        <v>373</v>
      </c>
      <c r="C377" s="3492" t="s">
        <v>4974</v>
      </c>
      <c r="D377" s="3493" t="s">
        <v>3949</v>
      </c>
      <c r="E377" s="3493">
        <v>27.63</v>
      </c>
      <c r="F377" s="3492">
        <v>9</v>
      </c>
    </row>
    <row r="378" spans="2:6" ht="18.75" thickBot="1">
      <c r="B378" s="3491">
        <v>374</v>
      </c>
      <c r="C378" s="3492" t="s">
        <v>4974</v>
      </c>
      <c r="D378" s="3493" t="s">
        <v>3950</v>
      </c>
      <c r="E378" s="3493">
        <v>27.63</v>
      </c>
      <c r="F378" s="3492">
        <v>9</v>
      </c>
    </row>
    <row r="379" spans="2:6" ht="18.75" thickBot="1">
      <c r="B379" s="3491">
        <v>375</v>
      </c>
      <c r="C379" s="3492" t="s">
        <v>4974</v>
      </c>
      <c r="D379" s="3493" t="s">
        <v>3951</v>
      </c>
      <c r="E379" s="3493">
        <v>27.63</v>
      </c>
      <c r="F379" s="3492">
        <v>9</v>
      </c>
    </row>
    <row r="380" spans="2:6" ht="18.75" thickBot="1">
      <c r="B380" s="3491">
        <v>376</v>
      </c>
      <c r="C380" s="3492" t="s">
        <v>4974</v>
      </c>
      <c r="D380" s="3493" t="s">
        <v>3952</v>
      </c>
      <c r="E380" s="3493">
        <v>27.63</v>
      </c>
      <c r="F380" s="3492">
        <v>9</v>
      </c>
    </row>
    <row r="381" spans="2:6" ht="18.75" thickBot="1">
      <c r="B381" s="3491">
        <v>377</v>
      </c>
      <c r="C381" s="3492" t="s">
        <v>4974</v>
      </c>
      <c r="D381" s="3493" t="s">
        <v>3953</v>
      </c>
      <c r="E381" s="3493">
        <v>27.63</v>
      </c>
      <c r="F381" s="3492">
        <v>9</v>
      </c>
    </row>
    <row r="382" spans="2:6" ht="18.75" thickBot="1">
      <c r="B382" s="3491">
        <v>378</v>
      </c>
      <c r="C382" s="3492" t="s">
        <v>4974</v>
      </c>
      <c r="D382" s="3493" t="s">
        <v>3954</v>
      </c>
      <c r="E382" s="3493">
        <v>27.63</v>
      </c>
      <c r="F382" s="3492">
        <v>9</v>
      </c>
    </row>
    <row r="383" spans="2:6" ht="18.75" thickBot="1">
      <c r="B383" s="3491">
        <v>379</v>
      </c>
      <c r="C383" s="3492" t="s">
        <v>4974</v>
      </c>
      <c r="D383" s="3493" t="s">
        <v>3955</v>
      </c>
      <c r="E383" s="3493">
        <v>27.63</v>
      </c>
      <c r="F383" s="3492">
        <v>9</v>
      </c>
    </row>
    <row r="384" spans="2:6" ht="18.75" thickBot="1">
      <c r="B384" s="3491">
        <v>380</v>
      </c>
      <c r="C384" s="3492" t="s">
        <v>4974</v>
      </c>
      <c r="D384" s="3493" t="s">
        <v>3956</v>
      </c>
      <c r="E384" s="3493">
        <v>27.63</v>
      </c>
      <c r="F384" s="3492">
        <v>9</v>
      </c>
    </row>
    <row r="385" spans="2:6" ht="18.75" thickBot="1">
      <c r="B385" s="3491">
        <v>381</v>
      </c>
      <c r="C385" s="3492" t="s">
        <v>4974</v>
      </c>
      <c r="D385" s="3493" t="s">
        <v>3957</v>
      </c>
      <c r="E385" s="3493">
        <v>27.63</v>
      </c>
      <c r="F385" s="3492">
        <v>9</v>
      </c>
    </row>
    <row r="386" spans="2:6" ht="18.75" thickBot="1">
      <c r="B386" s="3491">
        <v>382</v>
      </c>
      <c r="C386" s="3492" t="s">
        <v>4974</v>
      </c>
      <c r="D386" s="3493" t="s">
        <v>3958</v>
      </c>
      <c r="E386" s="3493">
        <v>27.63</v>
      </c>
      <c r="F386" s="3492">
        <v>9</v>
      </c>
    </row>
    <row r="387" spans="2:6" ht="18.75" thickBot="1">
      <c r="B387" s="3491">
        <v>383</v>
      </c>
      <c r="C387" s="3492" t="s">
        <v>4974</v>
      </c>
      <c r="D387" s="3493" t="s">
        <v>3959</v>
      </c>
      <c r="E387" s="3493">
        <v>27.63</v>
      </c>
      <c r="F387" s="3492">
        <v>9</v>
      </c>
    </row>
    <row r="388" spans="2:6" ht="18.75" thickBot="1">
      <c r="B388" s="3491">
        <v>384</v>
      </c>
      <c r="C388" s="3492" t="s">
        <v>4974</v>
      </c>
      <c r="D388" s="3493" t="s">
        <v>3960</v>
      </c>
      <c r="E388" s="3493">
        <v>27.63</v>
      </c>
      <c r="F388" s="3492">
        <v>9</v>
      </c>
    </row>
    <row r="389" spans="2:6" ht="18.75" thickBot="1">
      <c r="B389" s="3491">
        <v>385</v>
      </c>
      <c r="C389" s="3492" t="s">
        <v>4974</v>
      </c>
      <c r="D389" s="3493" t="s">
        <v>3961</v>
      </c>
      <c r="E389" s="3493">
        <v>27.63</v>
      </c>
      <c r="F389" s="3492">
        <v>9</v>
      </c>
    </row>
    <row r="390" spans="2:6" ht="18.75" thickBot="1">
      <c r="B390" s="3491">
        <v>386</v>
      </c>
      <c r="C390" s="3492" t="s">
        <v>4974</v>
      </c>
      <c r="D390" s="3493" t="s">
        <v>3962</v>
      </c>
      <c r="E390" s="3493">
        <v>27.63</v>
      </c>
      <c r="F390" s="3492">
        <v>9</v>
      </c>
    </row>
    <row r="391" spans="2:6" ht="18.75" thickBot="1">
      <c r="B391" s="3491">
        <v>387</v>
      </c>
      <c r="C391" s="3492" t="s">
        <v>4974</v>
      </c>
      <c r="D391" s="3493" t="s">
        <v>3963</v>
      </c>
      <c r="E391" s="3493">
        <v>27.63</v>
      </c>
      <c r="F391" s="3492">
        <v>9</v>
      </c>
    </row>
    <row r="392" spans="2:6" ht="18.75" thickBot="1">
      <c r="B392" s="3491">
        <v>388</v>
      </c>
      <c r="C392" s="3492" t="s">
        <v>4974</v>
      </c>
      <c r="D392" s="3493" t="s">
        <v>3964</v>
      </c>
      <c r="E392" s="3493">
        <v>27.63</v>
      </c>
      <c r="F392" s="3492">
        <v>9</v>
      </c>
    </row>
    <row r="393" spans="2:6" ht="18.75" thickBot="1">
      <c r="B393" s="3491">
        <v>389</v>
      </c>
      <c r="C393" s="3492" t="s">
        <v>4974</v>
      </c>
      <c r="D393" s="3493" t="s">
        <v>3965</v>
      </c>
      <c r="E393" s="3493">
        <v>27.63</v>
      </c>
      <c r="F393" s="3492">
        <v>9</v>
      </c>
    </row>
    <row r="394" spans="2:6" ht="18.75" thickBot="1">
      <c r="B394" s="3491">
        <v>390</v>
      </c>
      <c r="C394" s="3492" t="s">
        <v>4974</v>
      </c>
      <c r="D394" s="3493" t="s">
        <v>3966</v>
      </c>
      <c r="E394" s="3493">
        <v>27.63</v>
      </c>
      <c r="F394" s="3492">
        <v>9</v>
      </c>
    </row>
    <row r="395" spans="2:6" ht="18.75" thickBot="1">
      <c r="B395" s="3491">
        <v>391</v>
      </c>
      <c r="C395" s="3492" t="s">
        <v>4974</v>
      </c>
      <c r="D395" s="3493" t="s">
        <v>3967</v>
      </c>
      <c r="E395" s="3493">
        <v>27.63</v>
      </c>
      <c r="F395" s="3492">
        <v>9</v>
      </c>
    </row>
    <row r="396" spans="2:6" ht="18.75" thickBot="1">
      <c r="B396" s="3491">
        <v>392</v>
      </c>
      <c r="C396" s="3492" t="s">
        <v>4974</v>
      </c>
      <c r="D396" s="3493" t="s">
        <v>3968</v>
      </c>
      <c r="E396" s="3493">
        <v>27.63</v>
      </c>
      <c r="F396" s="3492">
        <v>9</v>
      </c>
    </row>
    <row r="397" spans="2:6" ht="18.75" thickBot="1">
      <c r="B397" s="3491">
        <v>393</v>
      </c>
      <c r="C397" s="3492" t="s">
        <v>4974</v>
      </c>
      <c r="D397" s="3493" t="s">
        <v>3969</v>
      </c>
      <c r="E397" s="3493">
        <v>27.63</v>
      </c>
      <c r="F397" s="3492">
        <v>9</v>
      </c>
    </row>
    <row r="398" spans="2:6" ht="18.75" thickBot="1">
      <c r="B398" s="3491">
        <v>394</v>
      </c>
      <c r="C398" s="3492" t="s">
        <v>4974</v>
      </c>
      <c r="D398" s="3493" t="s">
        <v>3970</v>
      </c>
      <c r="E398" s="3493">
        <v>27.63</v>
      </c>
      <c r="F398" s="3492">
        <v>9</v>
      </c>
    </row>
    <row r="399" spans="2:6" ht="18.75" thickBot="1">
      <c r="B399" s="3491">
        <v>395</v>
      </c>
      <c r="C399" s="3492" t="s">
        <v>4974</v>
      </c>
      <c r="D399" s="3493" t="s">
        <v>3971</v>
      </c>
      <c r="E399" s="3493">
        <v>27.63</v>
      </c>
      <c r="F399" s="3492">
        <v>9</v>
      </c>
    </row>
    <row r="400" spans="2:6" ht="18.75" thickBot="1">
      <c r="B400" s="3491">
        <v>396</v>
      </c>
      <c r="C400" s="3492" t="s">
        <v>4974</v>
      </c>
      <c r="D400" s="3493" t="s">
        <v>3972</v>
      </c>
      <c r="E400" s="3493">
        <v>27.63</v>
      </c>
      <c r="F400" s="3492">
        <v>9</v>
      </c>
    </row>
    <row r="401" spans="2:6" ht="18.75" thickBot="1">
      <c r="B401" s="3491">
        <v>397</v>
      </c>
      <c r="C401" s="3492" t="s">
        <v>4974</v>
      </c>
      <c r="D401" s="3493" t="s">
        <v>3973</v>
      </c>
      <c r="E401" s="3493">
        <v>27.63</v>
      </c>
      <c r="F401" s="3492">
        <v>9</v>
      </c>
    </row>
    <row r="402" spans="2:6" ht="18.75" thickBot="1">
      <c r="B402" s="3491">
        <v>398</v>
      </c>
      <c r="C402" s="3492" t="s">
        <v>4974</v>
      </c>
      <c r="D402" s="3493" t="s">
        <v>3974</v>
      </c>
      <c r="E402" s="3493">
        <v>27.63</v>
      </c>
      <c r="F402" s="3492">
        <v>9</v>
      </c>
    </row>
    <row r="403" spans="2:6" ht="18.75" thickBot="1">
      <c r="B403" s="3491">
        <v>399</v>
      </c>
      <c r="C403" s="3492" t="s">
        <v>4974</v>
      </c>
      <c r="D403" s="3493" t="s">
        <v>3975</v>
      </c>
      <c r="E403" s="3493">
        <v>27.63</v>
      </c>
      <c r="F403" s="3492">
        <v>9</v>
      </c>
    </row>
    <row r="404" spans="2:6" ht="18.75" thickBot="1">
      <c r="B404" s="3491">
        <v>400</v>
      </c>
      <c r="C404" s="3492" t="s">
        <v>4974</v>
      </c>
      <c r="D404" s="3493" t="s">
        <v>3976</v>
      </c>
      <c r="E404" s="3493">
        <v>27.63</v>
      </c>
      <c r="F404" s="3492">
        <v>9</v>
      </c>
    </row>
    <row r="405" spans="2:6" ht="18.75" thickBot="1">
      <c r="B405" s="3491">
        <v>401</v>
      </c>
      <c r="C405" s="3492" t="s">
        <v>4974</v>
      </c>
      <c r="D405" s="3493" t="s">
        <v>3977</v>
      </c>
      <c r="E405" s="3493">
        <v>27.63</v>
      </c>
      <c r="F405" s="3492">
        <v>9</v>
      </c>
    </row>
    <row r="406" spans="2:6" ht="18.75" thickBot="1">
      <c r="B406" s="3491">
        <v>402</v>
      </c>
      <c r="C406" s="3492" t="s">
        <v>4974</v>
      </c>
      <c r="D406" s="3493" t="s">
        <v>3978</v>
      </c>
      <c r="E406" s="3493">
        <v>27.63</v>
      </c>
      <c r="F406" s="3492">
        <v>9</v>
      </c>
    </row>
    <row r="407" spans="2:6" ht="18.75" thickBot="1">
      <c r="B407" s="3491">
        <v>403</v>
      </c>
      <c r="C407" s="3492" t="s">
        <v>4974</v>
      </c>
      <c r="D407" s="3493" t="s">
        <v>3979</v>
      </c>
      <c r="E407" s="3493">
        <v>27.63</v>
      </c>
      <c r="F407" s="3492">
        <v>9</v>
      </c>
    </row>
    <row r="408" spans="2:6" ht="18.75" thickBot="1">
      <c r="B408" s="3491">
        <v>404</v>
      </c>
      <c r="C408" s="3492" t="s">
        <v>4974</v>
      </c>
      <c r="D408" s="3493" t="s">
        <v>3980</v>
      </c>
      <c r="E408" s="3493">
        <v>27.63</v>
      </c>
      <c r="F408" s="3492">
        <v>9</v>
      </c>
    </row>
    <row r="409" spans="2:6" ht="18.75" thickBot="1">
      <c r="B409" s="3491">
        <v>405</v>
      </c>
      <c r="C409" s="3492" t="s">
        <v>4974</v>
      </c>
      <c r="D409" s="3493" t="s">
        <v>3981</v>
      </c>
      <c r="E409" s="3493">
        <v>27.63</v>
      </c>
      <c r="F409" s="3492">
        <v>9</v>
      </c>
    </row>
    <row r="410" spans="2:6" ht="18.75" thickBot="1">
      <c r="B410" s="3491">
        <v>406</v>
      </c>
      <c r="C410" s="3492" t="s">
        <v>4974</v>
      </c>
      <c r="D410" s="3493" t="s">
        <v>3982</v>
      </c>
      <c r="E410" s="3493">
        <v>27.63</v>
      </c>
      <c r="F410" s="3492">
        <v>9</v>
      </c>
    </row>
    <row r="411" spans="2:6" ht="18.75" thickBot="1">
      <c r="B411" s="3491">
        <v>407</v>
      </c>
      <c r="C411" s="3492" t="s">
        <v>4974</v>
      </c>
      <c r="D411" s="3493" t="s">
        <v>3983</v>
      </c>
      <c r="E411" s="3493">
        <v>27.63</v>
      </c>
      <c r="F411" s="3492">
        <v>9</v>
      </c>
    </row>
    <row r="412" spans="2:6" ht="18.75" thickBot="1">
      <c r="B412" s="3491">
        <v>408</v>
      </c>
      <c r="C412" s="3492" t="s">
        <v>4974</v>
      </c>
      <c r="D412" s="3493" t="s">
        <v>3984</v>
      </c>
      <c r="E412" s="3493">
        <v>27.63</v>
      </c>
      <c r="F412" s="3492">
        <v>9</v>
      </c>
    </row>
    <row r="413" spans="2:6" ht="18.75" thickBot="1">
      <c r="B413" s="3491">
        <v>409</v>
      </c>
      <c r="C413" s="3492" t="s">
        <v>4974</v>
      </c>
      <c r="D413" s="3493" t="s">
        <v>3985</v>
      </c>
      <c r="E413" s="3493">
        <v>27.63</v>
      </c>
      <c r="F413" s="3492">
        <v>9</v>
      </c>
    </row>
    <row r="414" spans="2:6" ht="18.75" thickBot="1">
      <c r="B414" s="3491">
        <v>410</v>
      </c>
      <c r="C414" s="3492" t="s">
        <v>4974</v>
      </c>
      <c r="D414" s="3493" t="s">
        <v>3986</v>
      </c>
      <c r="E414" s="3493">
        <v>27.63</v>
      </c>
      <c r="F414" s="3492">
        <v>9</v>
      </c>
    </row>
    <row r="415" spans="2:6" ht="18.75" thickBot="1">
      <c r="B415" s="3491">
        <v>411</v>
      </c>
      <c r="C415" s="3492" t="s">
        <v>4974</v>
      </c>
      <c r="D415" s="3493" t="s">
        <v>3987</v>
      </c>
      <c r="E415" s="3493">
        <v>27.63</v>
      </c>
      <c r="F415" s="3492">
        <v>9</v>
      </c>
    </row>
    <row r="416" spans="2:6" ht="18.75" thickBot="1">
      <c r="B416" s="3491">
        <v>412</v>
      </c>
      <c r="C416" s="3492" t="s">
        <v>4974</v>
      </c>
      <c r="D416" s="3493" t="s">
        <v>3988</v>
      </c>
      <c r="E416" s="3493">
        <v>27.63</v>
      </c>
      <c r="F416" s="3492">
        <v>9</v>
      </c>
    </row>
    <row r="417" spans="2:6" ht="18.75" thickBot="1">
      <c r="B417" s="3491">
        <v>413</v>
      </c>
      <c r="C417" s="3492" t="s">
        <v>4974</v>
      </c>
      <c r="D417" s="3493" t="s">
        <v>3989</v>
      </c>
      <c r="E417" s="3493">
        <v>27.63</v>
      </c>
      <c r="F417" s="3492">
        <v>9</v>
      </c>
    </row>
    <row r="418" spans="2:6" ht="18.75" thickBot="1">
      <c r="B418" s="3491">
        <v>414</v>
      </c>
      <c r="C418" s="3492" t="s">
        <v>4974</v>
      </c>
      <c r="D418" s="3493" t="s">
        <v>3990</v>
      </c>
      <c r="E418" s="3493">
        <v>27.63</v>
      </c>
      <c r="F418" s="3492">
        <v>9</v>
      </c>
    </row>
    <row r="419" spans="2:6" ht="18.75" thickBot="1">
      <c r="B419" s="3491">
        <v>415</v>
      </c>
      <c r="C419" s="3492" t="s">
        <v>4974</v>
      </c>
      <c r="D419" s="3493" t="s">
        <v>3991</v>
      </c>
      <c r="E419" s="3493">
        <v>27.63</v>
      </c>
      <c r="F419" s="3492">
        <v>9</v>
      </c>
    </row>
    <row r="420" spans="2:6" ht="18.75" thickBot="1">
      <c r="B420" s="3491">
        <v>416</v>
      </c>
      <c r="C420" s="3492" t="s">
        <v>4974</v>
      </c>
      <c r="D420" s="3493" t="s">
        <v>3992</v>
      </c>
      <c r="E420" s="3493">
        <v>27.63</v>
      </c>
      <c r="F420" s="3492">
        <v>9</v>
      </c>
    </row>
    <row r="421" spans="2:6" ht="18.75" thickBot="1">
      <c r="B421" s="3491">
        <v>417</v>
      </c>
      <c r="C421" s="3492" t="s">
        <v>4974</v>
      </c>
      <c r="D421" s="3493" t="s">
        <v>3993</v>
      </c>
      <c r="E421" s="3493">
        <v>27.63</v>
      </c>
      <c r="F421" s="3492">
        <v>9</v>
      </c>
    </row>
    <row r="422" spans="2:6" ht="18.75" thickBot="1">
      <c r="B422" s="3491">
        <v>418</v>
      </c>
      <c r="C422" s="3492" t="s">
        <v>4974</v>
      </c>
      <c r="D422" s="3493" t="s">
        <v>3994</v>
      </c>
      <c r="E422" s="3493">
        <v>27.63</v>
      </c>
      <c r="F422" s="3492">
        <v>9</v>
      </c>
    </row>
    <row r="423" spans="2:6" ht="18.75" thickBot="1">
      <c r="B423" s="3491">
        <v>419</v>
      </c>
      <c r="C423" s="3492" t="s">
        <v>4974</v>
      </c>
      <c r="D423" s="3493" t="s">
        <v>3995</v>
      </c>
      <c r="E423" s="3493">
        <v>27.63</v>
      </c>
      <c r="F423" s="3492">
        <v>9</v>
      </c>
    </row>
    <row r="424" spans="2:6" ht="18.75" thickBot="1">
      <c r="B424" s="3491">
        <v>420</v>
      </c>
      <c r="C424" s="3492" t="s">
        <v>4974</v>
      </c>
      <c r="D424" s="3493" t="s">
        <v>3996</v>
      </c>
      <c r="E424" s="3493">
        <v>27.63</v>
      </c>
      <c r="F424" s="3492">
        <v>9</v>
      </c>
    </row>
    <row r="425" spans="2:6" ht="18.75" thickBot="1">
      <c r="B425" s="3491">
        <v>421</v>
      </c>
      <c r="C425" s="3492" t="s">
        <v>4974</v>
      </c>
      <c r="D425" s="3493" t="s">
        <v>3997</v>
      </c>
      <c r="E425" s="3493">
        <v>27.63</v>
      </c>
      <c r="F425" s="3492">
        <v>9</v>
      </c>
    </row>
    <row r="426" spans="2:6" ht="18.75" thickBot="1">
      <c r="B426" s="3491">
        <v>422</v>
      </c>
      <c r="C426" s="3492" t="s">
        <v>4974</v>
      </c>
      <c r="D426" s="3493" t="s">
        <v>3998</v>
      </c>
      <c r="E426" s="3493">
        <v>27.63</v>
      </c>
      <c r="F426" s="3492">
        <v>9</v>
      </c>
    </row>
    <row r="427" spans="2:6" ht="18.75" thickBot="1">
      <c r="B427" s="3491">
        <v>423</v>
      </c>
      <c r="C427" s="3492" t="s">
        <v>4974</v>
      </c>
      <c r="D427" s="3493" t="s">
        <v>3999</v>
      </c>
      <c r="E427" s="3493">
        <v>27.63</v>
      </c>
      <c r="F427" s="3492">
        <v>9</v>
      </c>
    </row>
    <row r="428" spans="2:6" ht="18.75" thickBot="1">
      <c r="B428" s="3491">
        <v>424</v>
      </c>
      <c r="C428" s="3492" t="s">
        <v>4974</v>
      </c>
      <c r="D428" s="3493" t="s">
        <v>4000</v>
      </c>
      <c r="E428" s="3493">
        <v>27.63</v>
      </c>
      <c r="F428" s="3492">
        <v>9</v>
      </c>
    </row>
    <row r="429" spans="2:6" ht="18.75" thickBot="1">
      <c r="B429" s="3491">
        <v>425</v>
      </c>
      <c r="C429" s="3492" t="s">
        <v>4974</v>
      </c>
      <c r="D429" s="3493" t="s">
        <v>4001</v>
      </c>
      <c r="E429" s="3493">
        <v>27.63</v>
      </c>
      <c r="F429" s="3492">
        <v>9</v>
      </c>
    </row>
    <row r="430" spans="2:6" ht="18.75" thickBot="1">
      <c r="B430" s="3491">
        <v>426</v>
      </c>
      <c r="C430" s="3492" t="s">
        <v>4974</v>
      </c>
      <c r="D430" s="3493" t="s">
        <v>4002</v>
      </c>
      <c r="E430" s="3493">
        <v>27.63</v>
      </c>
      <c r="F430" s="3492">
        <v>9</v>
      </c>
    </row>
    <row r="431" spans="2:6" ht="18.75" thickBot="1">
      <c r="B431" s="3491">
        <v>427</v>
      </c>
      <c r="C431" s="3492" t="s">
        <v>4974</v>
      </c>
      <c r="D431" s="3493" t="s">
        <v>4003</v>
      </c>
      <c r="E431" s="3493">
        <v>27.63</v>
      </c>
      <c r="F431" s="3492">
        <v>9</v>
      </c>
    </row>
    <row r="432" spans="2:6" ht="18.75" thickBot="1">
      <c r="B432" s="3491">
        <v>428</v>
      </c>
      <c r="C432" s="3492" t="s">
        <v>4974</v>
      </c>
      <c r="D432" s="3493" t="s">
        <v>4004</v>
      </c>
      <c r="E432" s="3493">
        <v>27.63</v>
      </c>
      <c r="F432" s="3492">
        <v>9</v>
      </c>
    </row>
    <row r="433" spans="2:6" ht="18.75" thickBot="1">
      <c r="B433" s="3491">
        <v>429</v>
      </c>
      <c r="C433" s="3492" t="s">
        <v>4974</v>
      </c>
      <c r="D433" s="3493" t="s">
        <v>4005</v>
      </c>
      <c r="E433" s="3493">
        <v>27.63</v>
      </c>
      <c r="F433" s="3492">
        <v>9</v>
      </c>
    </row>
    <row r="434" spans="2:6" ht="18.75" thickBot="1">
      <c r="B434" s="3491">
        <v>430</v>
      </c>
      <c r="C434" s="3492" t="s">
        <v>4974</v>
      </c>
      <c r="D434" s="3493" t="s">
        <v>4006</v>
      </c>
      <c r="E434" s="3493">
        <v>48.22</v>
      </c>
      <c r="F434" s="3492">
        <v>15.7</v>
      </c>
    </row>
    <row r="435" spans="2:6" ht="18.75" thickBot="1">
      <c r="B435" s="3491">
        <v>431</v>
      </c>
      <c r="C435" s="3492" t="s">
        <v>4974</v>
      </c>
      <c r="D435" s="3493" t="s">
        <v>4007</v>
      </c>
      <c r="E435" s="3493">
        <v>27.63</v>
      </c>
      <c r="F435" s="3492">
        <v>9</v>
      </c>
    </row>
    <row r="436" spans="2:6" ht="18.75" thickBot="1">
      <c r="B436" s="3491">
        <v>432</v>
      </c>
      <c r="C436" s="3492" t="s">
        <v>4974</v>
      </c>
      <c r="D436" s="3493" t="s">
        <v>4008</v>
      </c>
      <c r="E436" s="3493">
        <v>27.63</v>
      </c>
      <c r="F436" s="3492">
        <v>9</v>
      </c>
    </row>
    <row r="437" spans="2:6" ht="18.75" thickBot="1">
      <c r="B437" s="3491">
        <v>433</v>
      </c>
      <c r="C437" s="3492" t="s">
        <v>4974</v>
      </c>
      <c r="D437" s="3493" t="s">
        <v>4009</v>
      </c>
      <c r="E437" s="3493">
        <v>27.63</v>
      </c>
      <c r="F437" s="3492">
        <v>9</v>
      </c>
    </row>
    <row r="438" spans="2:6" ht="18.75" thickBot="1">
      <c r="B438" s="3491">
        <v>434</v>
      </c>
      <c r="C438" s="3492" t="s">
        <v>4974</v>
      </c>
      <c r="D438" s="3493" t="s">
        <v>4010</v>
      </c>
      <c r="E438" s="3493">
        <v>27.63</v>
      </c>
      <c r="F438" s="3492">
        <v>9</v>
      </c>
    </row>
    <row r="439" spans="2:6" ht="18.75" thickBot="1">
      <c r="B439" s="3491">
        <v>435</v>
      </c>
      <c r="C439" s="3492" t="s">
        <v>4974</v>
      </c>
      <c r="D439" s="3493" t="s">
        <v>4011</v>
      </c>
      <c r="E439" s="3493">
        <v>27.63</v>
      </c>
      <c r="F439" s="3492">
        <v>9</v>
      </c>
    </row>
    <row r="440" spans="2:6" ht="18.75" thickBot="1">
      <c r="B440" s="3491">
        <v>436</v>
      </c>
      <c r="C440" s="3492" t="s">
        <v>4974</v>
      </c>
      <c r="D440" s="3493" t="s">
        <v>4012</v>
      </c>
      <c r="E440" s="3493">
        <v>27.63</v>
      </c>
      <c r="F440" s="3492">
        <v>9</v>
      </c>
    </row>
    <row r="441" spans="2:6" ht="18.75" thickBot="1">
      <c r="B441" s="3491">
        <v>437</v>
      </c>
      <c r="C441" s="3492" t="s">
        <v>4974</v>
      </c>
      <c r="D441" s="3493" t="s">
        <v>4013</v>
      </c>
      <c r="E441" s="3493">
        <v>27.63</v>
      </c>
      <c r="F441" s="3492">
        <v>9</v>
      </c>
    </row>
    <row r="442" spans="2:6" ht="18.75" thickBot="1">
      <c r="B442" s="3491">
        <v>438</v>
      </c>
      <c r="C442" s="3492" t="s">
        <v>4974</v>
      </c>
      <c r="D442" s="3493" t="s">
        <v>4014</v>
      </c>
      <c r="E442" s="3493">
        <v>27.63</v>
      </c>
      <c r="F442" s="3492">
        <v>9</v>
      </c>
    </row>
    <row r="443" spans="2:6" ht="18.75" thickBot="1">
      <c r="B443" s="3491">
        <v>439</v>
      </c>
      <c r="C443" s="3492" t="s">
        <v>4974</v>
      </c>
      <c r="D443" s="3493" t="s">
        <v>4015</v>
      </c>
      <c r="E443" s="3493">
        <v>27.63</v>
      </c>
      <c r="F443" s="3492">
        <v>9</v>
      </c>
    </row>
    <row r="444" spans="2:6" ht="18.75" thickBot="1">
      <c r="B444" s="3491">
        <v>440</v>
      </c>
      <c r="C444" s="3492" t="s">
        <v>4974</v>
      </c>
      <c r="D444" s="3493" t="s">
        <v>4016</v>
      </c>
      <c r="E444" s="3493">
        <v>27.63</v>
      </c>
      <c r="F444" s="3492">
        <v>9</v>
      </c>
    </row>
    <row r="445" spans="2:6" ht="18.75" thickBot="1">
      <c r="B445" s="3491">
        <v>441</v>
      </c>
      <c r="C445" s="3492" t="s">
        <v>4974</v>
      </c>
      <c r="D445" s="3493" t="s">
        <v>4017</v>
      </c>
      <c r="E445" s="3493">
        <v>27.63</v>
      </c>
      <c r="F445" s="3492">
        <v>9</v>
      </c>
    </row>
    <row r="446" spans="2:6" ht="18.75" thickBot="1">
      <c r="B446" s="3491">
        <v>442</v>
      </c>
      <c r="C446" s="3492" t="s">
        <v>4974</v>
      </c>
      <c r="D446" s="3493" t="s">
        <v>4018</v>
      </c>
      <c r="E446" s="3493">
        <v>27.63</v>
      </c>
      <c r="F446" s="3492">
        <v>9</v>
      </c>
    </row>
    <row r="447" spans="2:6" ht="18.75" thickBot="1">
      <c r="B447" s="3491">
        <v>443</v>
      </c>
      <c r="C447" s="3492" t="s">
        <v>4974</v>
      </c>
      <c r="D447" s="3493" t="s">
        <v>4019</v>
      </c>
      <c r="E447" s="3493">
        <v>27.63</v>
      </c>
      <c r="F447" s="3492">
        <v>9</v>
      </c>
    </row>
    <row r="448" spans="2:6" ht="18.75" thickBot="1">
      <c r="B448" s="3491">
        <v>444</v>
      </c>
      <c r="C448" s="3492" t="s">
        <v>4974</v>
      </c>
      <c r="D448" s="3493" t="s">
        <v>4020</v>
      </c>
      <c r="E448" s="3493">
        <v>27.63</v>
      </c>
      <c r="F448" s="3492">
        <v>9</v>
      </c>
    </row>
    <row r="449" spans="2:6" ht="18.75" thickBot="1">
      <c r="B449" s="3491">
        <v>445</v>
      </c>
      <c r="C449" s="3492" t="s">
        <v>4974</v>
      </c>
      <c r="D449" s="3493" t="s">
        <v>4021</v>
      </c>
      <c r="E449" s="3493">
        <v>27.63</v>
      </c>
      <c r="F449" s="3492">
        <v>9</v>
      </c>
    </row>
    <row r="450" spans="2:6" ht="18.75" thickBot="1">
      <c r="B450" s="3491">
        <v>446</v>
      </c>
      <c r="C450" s="3492" t="s">
        <v>4974</v>
      </c>
      <c r="D450" s="3493" t="s">
        <v>4022</v>
      </c>
      <c r="E450" s="3493">
        <v>27.63</v>
      </c>
      <c r="F450" s="3492">
        <v>9</v>
      </c>
    </row>
    <row r="451" spans="2:6" ht="18.75" thickBot="1">
      <c r="B451" s="3491">
        <v>447</v>
      </c>
      <c r="C451" s="3492" t="s">
        <v>4974</v>
      </c>
      <c r="D451" s="3493" t="s">
        <v>4023</v>
      </c>
      <c r="E451" s="3493">
        <v>27.63</v>
      </c>
      <c r="F451" s="3492">
        <v>9</v>
      </c>
    </row>
    <row r="452" spans="2:6" ht="18.75" thickBot="1">
      <c r="B452" s="3491">
        <v>448</v>
      </c>
      <c r="C452" s="3492" t="s">
        <v>4974</v>
      </c>
      <c r="D452" s="3493" t="s">
        <v>4024</v>
      </c>
      <c r="E452" s="3493">
        <v>27.63</v>
      </c>
      <c r="F452" s="3492">
        <v>9</v>
      </c>
    </row>
    <row r="453" spans="2:6" ht="18.75" thickBot="1">
      <c r="B453" s="3491">
        <v>449</v>
      </c>
      <c r="C453" s="3492" t="s">
        <v>4974</v>
      </c>
      <c r="D453" s="3493" t="s">
        <v>4025</v>
      </c>
      <c r="E453" s="3493">
        <v>27.63</v>
      </c>
      <c r="F453" s="3492">
        <v>9</v>
      </c>
    </row>
    <row r="454" spans="2:6" ht="18.75" thickBot="1">
      <c r="B454" s="3491">
        <v>450</v>
      </c>
      <c r="C454" s="3492" t="s">
        <v>4974</v>
      </c>
      <c r="D454" s="3493" t="s">
        <v>4026</v>
      </c>
      <c r="E454" s="3493">
        <v>27.63</v>
      </c>
      <c r="F454" s="3492">
        <v>9</v>
      </c>
    </row>
    <row r="455" spans="2:6" ht="18.75" thickBot="1">
      <c r="B455" s="3491">
        <v>451</v>
      </c>
      <c r="C455" s="3492" t="s">
        <v>4974</v>
      </c>
      <c r="D455" s="3493" t="s">
        <v>4027</v>
      </c>
      <c r="E455" s="3493">
        <v>27.63</v>
      </c>
      <c r="F455" s="3492">
        <v>9</v>
      </c>
    </row>
    <row r="456" spans="2:6" ht="18.75" thickBot="1">
      <c r="B456" s="3491">
        <v>452</v>
      </c>
      <c r="C456" s="3492" t="s">
        <v>4974</v>
      </c>
      <c r="D456" s="3493" t="s">
        <v>4028</v>
      </c>
      <c r="E456" s="3493">
        <v>27.63</v>
      </c>
      <c r="F456" s="3492">
        <v>9</v>
      </c>
    </row>
    <row r="457" spans="2:6" ht="18.75" thickBot="1">
      <c r="B457" s="3491">
        <v>453</v>
      </c>
      <c r="C457" s="3492" t="s">
        <v>4974</v>
      </c>
      <c r="D457" s="3493" t="s">
        <v>4029</v>
      </c>
      <c r="E457" s="3493">
        <v>27.63</v>
      </c>
      <c r="F457" s="3492">
        <v>9</v>
      </c>
    </row>
    <row r="458" spans="2:6" ht="18.75" thickBot="1">
      <c r="B458" s="3491">
        <v>454</v>
      </c>
      <c r="C458" s="3492" t="s">
        <v>4974</v>
      </c>
      <c r="D458" s="3493" t="s">
        <v>4030</v>
      </c>
      <c r="E458" s="3493">
        <v>27.63</v>
      </c>
      <c r="F458" s="3492">
        <v>9</v>
      </c>
    </row>
    <row r="459" spans="2:6" ht="18.75" thickBot="1">
      <c r="B459" s="3491">
        <v>455</v>
      </c>
      <c r="C459" s="3492" t="s">
        <v>4974</v>
      </c>
      <c r="D459" s="3493" t="s">
        <v>4031</v>
      </c>
      <c r="E459" s="3493">
        <v>27.63</v>
      </c>
      <c r="F459" s="3492">
        <v>9</v>
      </c>
    </row>
    <row r="460" spans="2:6" ht="18.75" thickBot="1">
      <c r="B460" s="3491">
        <v>456</v>
      </c>
      <c r="C460" s="3492" t="s">
        <v>4974</v>
      </c>
      <c r="D460" s="3493" t="s">
        <v>4032</v>
      </c>
      <c r="E460" s="3493">
        <v>27.63</v>
      </c>
      <c r="F460" s="3492">
        <v>9</v>
      </c>
    </row>
    <row r="461" spans="2:6" ht="18.75" thickBot="1">
      <c r="B461" s="3491">
        <v>457</v>
      </c>
      <c r="C461" s="3492" t="s">
        <v>4974</v>
      </c>
      <c r="D461" s="3493" t="s">
        <v>4033</v>
      </c>
      <c r="E461" s="3493">
        <v>27.63</v>
      </c>
      <c r="F461" s="3492">
        <v>9</v>
      </c>
    </row>
    <row r="462" spans="2:6" ht="18.75" thickBot="1">
      <c r="B462" s="3491">
        <v>458</v>
      </c>
      <c r="C462" s="3492" t="s">
        <v>4974</v>
      </c>
      <c r="D462" s="3493" t="s">
        <v>4034</v>
      </c>
      <c r="E462" s="3493">
        <v>27.63</v>
      </c>
      <c r="F462" s="3492">
        <v>9</v>
      </c>
    </row>
    <row r="463" spans="2:6" ht="18.75" thickBot="1">
      <c r="B463" s="3491">
        <v>459</v>
      </c>
      <c r="C463" s="3492" t="s">
        <v>4974</v>
      </c>
      <c r="D463" s="3493" t="s">
        <v>4035</v>
      </c>
      <c r="E463" s="3493">
        <v>27.63</v>
      </c>
      <c r="F463" s="3492">
        <v>9</v>
      </c>
    </row>
    <row r="464" spans="2:6" ht="18.75" thickBot="1">
      <c r="B464" s="3491">
        <v>460</v>
      </c>
      <c r="C464" s="3492" t="s">
        <v>4974</v>
      </c>
      <c r="D464" s="3493" t="s">
        <v>4036</v>
      </c>
      <c r="E464" s="3493">
        <v>27.63</v>
      </c>
      <c r="F464" s="3492">
        <v>9</v>
      </c>
    </row>
    <row r="465" spans="2:6" ht="18.75" thickBot="1">
      <c r="B465" s="3491">
        <v>461</v>
      </c>
      <c r="C465" s="3492" t="s">
        <v>4974</v>
      </c>
      <c r="D465" s="3493" t="s">
        <v>4037</v>
      </c>
      <c r="E465" s="3493">
        <v>27.63</v>
      </c>
      <c r="F465" s="3492">
        <v>9</v>
      </c>
    </row>
    <row r="466" spans="2:6" ht="18.75" thickBot="1">
      <c r="B466" s="3491">
        <v>462</v>
      </c>
      <c r="C466" s="3492" t="s">
        <v>4974</v>
      </c>
      <c r="D466" s="3493" t="s">
        <v>4038</v>
      </c>
      <c r="E466" s="3493">
        <v>27.63</v>
      </c>
      <c r="F466" s="3492">
        <v>9</v>
      </c>
    </row>
    <row r="467" spans="2:6" ht="18.75" thickBot="1">
      <c r="B467" s="3491">
        <v>463</v>
      </c>
      <c r="C467" s="3492" t="s">
        <v>4974</v>
      </c>
      <c r="D467" s="3493" t="s">
        <v>4039</v>
      </c>
      <c r="E467" s="3493">
        <v>27.63</v>
      </c>
      <c r="F467" s="3492">
        <v>9</v>
      </c>
    </row>
    <row r="468" spans="2:6" ht="18.75" thickBot="1">
      <c r="B468" s="3491">
        <v>464</v>
      </c>
      <c r="C468" s="3492" t="s">
        <v>4974</v>
      </c>
      <c r="D468" s="3493" t="s">
        <v>4040</v>
      </c>
      <c r="E468" s="3493">
        <v>27.63</v>
      </c>
      <c r="F468" s="3492">
        <v>9</v>
      </c>
    </row>
    <row r="469" spans="2:6" ht="18.75" thickBot="1">
      <c r="B469" s="3491">
        <v>465</v>
      </c>
      <c r="C469" s="3492" t="s">
        <v>4974</v>
      </c>
      <c r="D469" s="3493" t="s">
        <v>4041</v>
      </c>
      <c r="E469" s="3493">
        <v>27.63</v>
      </c>
      <c r="F469" s="3492">
        <v>9</v>
      </c>
    </row>
    <row r="470" spans="2:6" ht="18.75" thickBot="1">
      <c r="B470" s="3491">
        <v>466</v>
      </c>
      <c r="C470" s="3492" t="s">
        <v>4974</v>
      </c>
      <c r="D470" s="3493" t="s">
        <v>4042</v>
      </c>
      <c r="E470" s="3493">
        <v>27.63</v>
      </c>
      <c r="F470" s="3492">
        <v>9</v>
      </c>
    </row>
    <row r="471" spans="2:6" ht="18.75" thickBot="1">
      <c r="B471" s="3491">
        <v>467</v>
      </c>
      <c r="C471" s="3492" t="s">
        <v>4974</v>
      </c>
      <c r="D471" s="3493" t="s">
        <v>4043</v>
      </c>
      <c r="E471" s="3493">
        <v>27.63</v>
      </c>
      <c r="F471" s="3492">
        <v>9</v>
      </c>
    </row>
    <row r="472" spans="2:6" ht="18.75" thickBot="1">
      <c r="B472" s="3491">
        <v>468</v>
      </c>
      <c r="C472" s="3492" t="s">
        <v>4974</v>
      </c>
      <c r="D472" s="3493" t="s">
        <v>4044</v>
      </c>
      <c r="E472" s="3493">
        <v>27.63</v>
      </c>
      <c r="F472" s="3492">
        <v>9</v>
      </c>
    </row>
    <row r="473" spans="2:6" ht="18.75" thickBot="1">
      <c r="B473" s="3491">
        <v>469</v>
      </c>
      <c r="C473" s="3492" t="s">
        <v>4974</v>
      </c>
      <c r="D473" s="3493" t="s">
        <v>4045</v>
      </c>
      <c r="E473" s="3493">
        <v>27.63</v>
      </c>
      <c r="F473" s="3492">
        <v>9</v>
      </c>
    </row>
    <row r="474" spans="2:6" ht="18.75" thickBot="1">
      <c r="B474" s="3491">
        <v>470</v>
      </c>
      <c r="C474" s="3492" t="s">
        <v>4974</v>
      </c>
      <c r="D474" s="3493" t="s">
        <v>4046</v>
      </c>
      <c r="E474" s="3493">
        <v>27.63</v>
      </c>
      <c r="F474" s="3492">
        <v>9</v>
      </c>
    </row>
    <row r="475" spans="2:6" ht="18.75" thickBot="1">
      <c r="B475" s="3491">
        <v>471</v>
      </c>
      <c r="C475" s="3492" t="s">
        <v>4974</v>
      </c>
      <c r="D475" s="3493" t="s">
        <v>4047</v>
      </c>
      <c r="E475" s="3493">
        <v>27.63</v>
      </c>
      <c r="F475" s="3492">
        <v>9</v>
      </c>
    </row>
    <row r="476" spans="2:6" ht="18.75" thickBot="1">
      <c r="B476" s="3491">
        <v>472</v>
      </c>
      <c r="C476" s="3492" t="s">
        <v>4974</v>
      </c>
      <c r="D476" s="3493" t="s">
        <v>4048</v>
      </c>
      <c r="E476" s="3493">
        <v>27.63</v>
      </c>
      <c r="F476" s="3492">
        <v>9</v>
      </c>
    </row>
    <row r="477" spans="2:6" ht="18.75" thickBot="1">
      <c r="B477" s="3491">
        <v>473</v>
      </c>
      <c r="C477" s="3492" t="s">
        <v>4974</v>
      </c>
      <c r="D477" s="3493" t="s">
        <v>4049</v>
      </c>
      <c r="E477" s="3493">
        <v>27.63</v>
      </c>
      <c r="F477" s="3492">
        <v>9</v>
      </c>
    </row>
    <row r="478" spans="2:6" ht="18.75" thickBot="1">
      <c r="B478" s="3491">
        <v>474</v>
      </c>
      <c r="C478" s="3492" t="s">
        <v>4974</v>
      </c>
      <c r="D478" s="3493" t="s">
        <v>4050</v>
      </c>
      <c r="E478" s="3493">
        <v>27.63</v>
      </c>
      <c r="F478" s="3492">
        <v>9</v>
      </c>
    </row>
    <row r="479" spans="2:6" ht="18.75" thickBot="1">
      <c r="B479" s="3491">
        <v>475</v>
      </c>
      <c r="C479" s="3492" t="s">
        <v>4974</v>
      </c>
      <c r="D479" s="3493" t="s">
        <v>4051</v>
      </c>
      <c r="E479" s="3493">
        <v>27.63</v>
      </c>
      <c r="F479" s="3492">
        <v>9</v>
      </c>
    </row>
    <row r="480" spans="2:6" ht="18.75" thickBot="1">
      <c r="B480" s="3491">
        <v>476</v>
      </c>
      <c r="C480" s="3492" t="s">
        <v>4974</v>
      </c>
      <c r="D480" s="3493" t="s">
        <v>4052</v>
      </c>
      <c r="E480" s="3493">
        <v>27.63</v>
      </c>
      <c r="F480" s="3492">
        <v>9</v>
      </c>
    </row>
    <row r="481" spans="2:6" ht="18.75" thickBot="1">
      <c r="B481" s="3491">
        <v>477</v>
      </c>
      <c r="C481" s="3492" t="s">
        <v>4974</v>
      </c>
      <c r="D481" s="3493" t="s">
        <v>4053</v>
      </c>
      <c r="E481" s="3493">
        <v>27.63</v>
      </c>
      <c r="F481" s="3492">
        <v>9</v>
      </c>
    </row>
    <row r="482" spans="2:6" ht="18.75" thickBot="1">
      <c r="B482" s="3491">
        <v>478</v>
      </c>
      <c r="C482" s="3492" t="s">
        <v>4974</v>
      </c>
      <c r="D482" s="3493" t="s">
        <v>4054</v>
      </c>
      <c r="E482" s="3493">
        <v>27.63</v>
      </c>
      <c r="F482" s="3492">
        <v>9</v>
      </c>
    </row>
    <row r="483" spans="2:6" ht="18.75" thickBot="1">
      <c r="B483" s="3491">
        <v>479</v>
      </c>
      <c r="C483" s="3492" t="s">
        <v>4974</v>
      </c>
      <c r="D483" s="3493" t="s">
        <v>4055</v>
      </c>
      <c r="E483" s="3493">
        <v>27.63</v>
      </c>
      <c r="F483" s="3492">
        <v>9</v>
      </c>
    </row>
    <row r="484" spans="2:6" ht="18.75" thickBot="1">
      <c r="B484" s="3491">
        <v>480</v>
      </c>
      <c r="C484" s="3492" t="s">
        <v>4974</v>
      </c>
      <c r="D484" s="3493" t="s">
        <v>4056</v>
      </c>
      <c r="E484" s="3493">
        <v>27.63</v>
      </c>
      <c r="F484" s="3492">
        <v>9</v>
      </c>
    </row>
    <row r="485" spans="2:6" ht="18.75" thickBot="1">
      <c r="B485" s="3491">
        <v>481</v>
      </c>
      <c r="C485" s="3492" t="s">
        <v>4974</v>
      </c>
      <c r="D485" s="3493" t="s">
        <v>4057</v>
      </c>
      <c r="E485" s="3493">
        <v>27.63</v>
      </c>
      <c r="F485" s="3492">
        <v>9</v>
      </c>
    </row>
    <row r="486" spans="2:6" ht="18.75" thickBot="1">
      <c r="B486" s="3491">
        <v>482</v>
      </c>
      <c r="C486" s="3492" t="s">
        <v>4974</v>
      </c>
      <c r="D486" s="3493" t="s">
        <v>4058</v>
      </c>
      <c r="E486" s="3493">
        <v>27.63</v>
      </c>
      <c r="F486" s="3492">
        <v>9</v>
      </c>
    </row>
    <row r="487" spans="2:6" ht="18.75" thickBot="1">
      <c r="B487" s="3491">
        <v>483</v>
      </c>
      <c r="C487" s="3492" t="s">
        <v>4974</v>
      </c>
      <c r="D487" s="3493" t="s">
        <v>4059</v>
      </c>
      <c r="E487" s="3493">
        <v>27.63</v>
      </c>
      <c r="F487" s="3492">
        <v>9</v>
      </c>
    </row>
    <row r="488" spans="2:6" ht="18.75" thickBot="1">
      <c r="B488" s="3491">
        <v>484</v>
      </c>
      <c r="C488" s="3492" t="s">
        <v>4974</v>
      </c>
      <c r="D488" s="3493" t="s">
        <v>4060</v>
      </c>
      <c r="E488" s="3493">
        <v>20.55</v>
      </c>
      <c r="F488" s="3492">
        <v>6.69</v>
      </c>
    </row>
    <row r="489" spans="2:6" ht="18.75" thickBot="1">
      <c r="B489" s="3491">
        <v>485</v>
      </c>
      <c r="C489" s="3492" t="s">
        <v>4974</v>
      </c>
      <c r="D489" s="3493" t="s">
        <v>4061</v>
      </c>
      <c r="E489" s="3493">
        <v>27.63</v>
      </c>
      <c r="F489" s="3492">
        <v>9</v>
      </c>
    </row>
    <row r="490" spans="2:6" ht="18.75" thickBot="1">
      <c r="B490" s="3491">
        <v>486</v>
      </c>
      <c r="C490" s="3492" t="s">
        <v>4974</v>
      </c>
      <c r="D490" s="3493" t="s">
        <v>4062</v>
      </c>
      <c r="E490" s="3493">
        <v>27.63</v>
      </c>
      <c r="F490" s="3492">
        <v>9</v>
      </c>
    </row>
    <row r="491" spans="2:6" ht="18.75" thickBot="1">
      <c r="B491" s="3491">
        <v>487</v>
      </c>
      <c r="C491" s="3492" t="s">
        <v>4974</v>
      </c>
      <c r="D491" s="3493" t="s">
        <v>4063</v>
      </c>
      <c r="E491" s="3493">
        <v>27.63</v>
      </c>
      <c r="F491" s="3492">
        <v>9</v>
      </c>
    </row>
    <row r="492" spans="2:6" ht="18.75" thickBot="1">
      <c r="B492" s="3491">
        <v>488</v>
      </c>
      <c r="C492" s="3492" t="s">
        <v>4974</v>
      </c>
      <c r="D492" s="3493" t="s">
        <v>4064</v>
      </c>
      <c r="E492" s="3493">
        <v>27.63</v>
      </c>
      <c r="F492" s="3492">
        <v>9</v>
      </c>
    </row>
    <row r="493" spans="2:6" ht="18.75" thickBot="1">
      <c r="B493" s="3491">
        <v>489</v>
      </c>
      <c r="C493" s="3492" t="s">
        <v>4974</v>
      </c>
      <c r="D493" s="3493" t="s">
        <v>4065</v>
      </c>
      <c r="E493" s="3493">
        <v>27.63</v>
      </c>
      <c r="F493" s="3492">
        <v>9</v>
      </c>
    </row>
    <row r="494" spans="2:6" ht="18.75" thickBot="1">
      <c r="B494" s="3491">
        <v>490</v>
      </c>
      <c r="C494" s="3492" t="s">
        <v>4974</v>
      </c>
      <c r="D494" s="3493" t="s">
        <v>4066</v>
      </c>
      <c r="E494" s="3493">
        <v>27.63</v>
      </c>
      <c r="F494" s="3492">
        <v>9</v>
      </c>
    </row>
    <row r="495" spans="2:6" ht="18.75" thickBot="1">
      <c r="B495" s="3491">
        <v>491</v>
      </c>
      <c r="C495" s="3492" t="s">
        <v>4974</v>
      </c>
      <c r="D495" s="3493" t="s">
        <v>4067</v>
      </c>
      <c r="E495" s="3493">
        <v>27.63</v>
      </c>
      <c r="F495" s="3492">
        <v>9</v>
      </c>
    </row>
    <row r="496" spans="2:6" ht="18.75" thickBot="1">
      <c r="B496" s="3491">
        <v>492</v>
      </c>
      <c r="C496" s="3492" t="s">
        <v>4974</v>
      </c>
      <c r="D496" s="3493" t="s">
        <v>4068</v>
      </c>
      <c r="E496" s="3493">
        <v>27.63</v>
      </c>
      <c r="F496" s="3492">
        <v>9</v>
      </c>
    </row>
    <row r="497" spans="2:6" ht="18.75" thickBot="1">
      <c r="B497" s="3491">
        <v>493</v>
      </c>
      <c r="C497" s="3492" t="s">
        <v>4974</v>
      </c>
      <c r="D497" s="3493" t="s">
        <v>4069</v>
      </c>
      <c r="E497" s="3493">
        <v>27.63</v>
      </c>
      <c r="F497" s="3492">
        <v>9</v>
      </c>
    </row>
    <row r="498" spans="2:6" ht="18.75" thickBot="1">
      <c r="B498" s="3491">
        <v>494</v>
      </c>
      <c r="C498" s="3492" t="s">
        <v>4974</v>
      </c>
      <c r="D498" s="3493" t="s">
        <v>4070</v>
      </c>
      <c r="E498" s="3493">
        <v>27.63</v>
      </c>
      <c r="F498" s="3492">
        <v>9</v>
      </c>
    </row>
    <row r="499" spans="2:6" ht="18.75" thickBot="1">
      <c r="B499" s="3491">
        <v>495</v>
      </c>
      <c r="C499" s="3492" t="s">
        <v>4974</v>
      </c>
      <c r="D499" s="3493" t="s">
        <v>4071</v>
      </c>
      <c r="E499" s="3493">
        <v>27.63</v>
      </c>
      <c r="F499" s="3492">
        <v>9</v>
      </c>
    </row>
    <row r="500" spans="2:6" ht="18.75" thickBot="1">
      <c r="B500" s="3491">
        <v>496</v>
      </c>
      <c r="C500" s="3492" t="s">
        <v>4974</v>
      </c>
      <c r="D500" s="3493" t="s">
        <v>4072</v>
      </c>
      <c r="E500" s="3493">
        <v>27.63</v>
      </c>
      <c r="F500" s="3492">
        <v>9</v>
      </c>
    </row>
    <row r="501" spans="2:6" ht="18.75" thickBot="1">
      <c r="B501" s="3491">
        <v>497</v>
      </c>
      <c r="C501" s="3492" t="s">
        <v>4974</v>
      </c>
      <c r="D501" s="3493" t="s">
        <v>4073</v>
      </c>
      <c r="E501" s="3493">
        <v>27.63</v>
      </c>
      <c r="F501" s="3492">
        <v>9</v>
      </c>
    </row>
    <row r="502" spans="2:6" ht="18.75" thickBot="1">
      <c r="B502" s="3491">
        <v>498</v>
      </c>
      <c r="C502" s="3492" t="s">
        <v>4974</v>
      </c>
      <c r="D502" s="3493" t="s">
        <v>4074</v>
      </c>
      <c r="E502" s="3493">
        <v>27.63</v>
      </c>
      <c r="F502" s="3492">
        <v>9</v>
      </c>
    </row>
    <row r="503" spans="2:6" ht="18.75" thickBot="1">
      <c r="B503" s="3491">
        <v>499</v>
      </c>
      <c r="C503" s="3492" t="s">
        <v>4974</v>
      </c>
      <c r="D503" s="3493" t="s">
        <v>4075</v>
      </c>
      <c r="E503" s="3493">
        <v>27.63</v>
      </c>
      <c r="F503" s="3492">
        <v>9</v>
      </c>
    </row>
    <row r="504" spans="2:6" ht="18.75" thickBot="1">
      <c r="B504" s="3491">
        <v>500</v>
      </c>
      <c r="C504" s="3492" t="s">
        <v>4974</v>
      </c>
      <c r="D504" s="3493" t="s">
        <v>4076</v>
      </c>
      <c r="E504" s="3493">
        <v>27.63</v>
      </c>
      <c r="F504" s="3492">
        <v>9</v>
      </c>
    </row>
    <row r="505" spans="2:6" ht="18.75" thickBot="1">
      <c r="B505" s="3491">
        <v>501</v>
      </c>
      <c r="C505" s="3492" t="s">
        <v>4974</v>
      </c>
      <c r="D505" s="3493" t="s">
        <v>4077</v>
      </c>
      <c r="E505" s="3493">
        <v>27.63</v>
      </c>
      <c r="F505" s="3492">
        <v>9</v>
      </c>
    </row>
    <row r="506" spans="2:6" ht="18.75" thickBot="1">
      <c r="B506" s="3491">
        <v>502</v>
      </c>
      <c r="C506" s="3492" t="s">
        <v>4974</v>
      </c>
      <c r="D506" s="3493" t="s">
        <v>4078</v>
      </c>
      <c r="E506" s="3493">
        <v>27.63</v>
      </c>
      <c r="F506" s="3492">
        <v>9</v>
      </c>
    </row>
    <row r="507" spans="2:6" ht="18.75" thickBot="1">
      <c r="B507" s="3491">
        <v>503</v>
      </c>
      <c r="C507" s="3492" t="s">
        <v>4974</v>
      </c>
      <c r="D507" s="3493" t="s">
        <v>4079</v>
      </c>
      <c r="E507" s="3493">
        <v>27.63</v>
      </c>
      <c r="F507" s="3492">
        <v>9</v>
      </c>
    </row>
    <row r="508" spans="2:6" ht="18.75" thickBot="1">
      <c r="B508" s="3491">
        <v>504</v>
      </c>
      <c r="C508" s="3492" t="s">
        <v>4974</v>
      </c>
      <c r="D508" s="3493" t="s">
        <v>4080</v>
      </c>
      <c r="E508" s="3493">
        <v>27.63</v>
      </c>
      <c r="F508" s="3492">
        <v>9</v>
      </c>
    </row>
    <row r="509" spans="2:6" ht="18.75" thickBot="1">
      <c r="B509" s="3491">
        <v>505</v>
      </c>
      <c r="C509" s="3492" t="s">
        <v>4974</v>
      </c>
      <c r="D509" s="3493" t="s">
        <v>4081</v>
      </c>
      <c r="E509" s="3493">
        <v>27.63</v>
      </c>
      <c r="F509" s="3492">
        <v>9</v>
      </c>
    </row>
    <row r="510" spans="2:6" ht="18.75" thickBot="1">
      <c r="B510" s="3491">
        <v>506</v>
      </c>
      <c r="C510" s="3492" t="s">
        <v>4974</v>
      </c>
      <c r="D510" s="3493" t="s">
        <v>4082</v>
      </c>
      <c r="E510" s="3493">
        <v>27.63</v>
      </c>
      <c r="F510" s="3492">
        <v>9</v>
      </c>
    </row>
    <row r="511" spans="2:6" ht="18.75" thickBot="1">
      <c r="B511" s="3491">
        <v>507</v>
      </c>
      <c r="C511" s="3492" t="s">
        <v>4974</v>
      </c>
      <c r="D511" s="3493" t="s">
        <v>4083</v>
      </c>
      <c r="E511" s="3493">
        <v>27.63</v>
      </c>
      <c r="F511" s="3492">
        <v>9</v>
      </c>
    </row>
    <row r="512" spans="2:6" ht="18.75" thickBot="1">
      <c r="B512" s="3491">
        <v>508</v>
      </c>
      <c r="C512" s="3492" t="s">
        <v>4974</v>
      </c>
      <c r="D512" s="3493" t="s">
        <v>4084</v>
      </c>
      <c r="E512" s="3493">
        <v>27.63</v>
      </c>
      <c r="F512" s="3492">
        <v>9</v>
      </c>
    </row>
    <row r="513" spans="2:6" ht="18.75" thickBot="1">
      <c r="B513" s="3491">
        <v>509</v>
      </c>
      <c r="C513" s="3492" t="s">
        <v>4974</v>
      </c>
      <c r="D513" s="3493" t="s">
        <v>4085</v>
      </c>
      <c r="E513" s="3493">
        <v>27.63</v>
      </c>
      <c r="F513" s="3492">
        <v>9</v>
      </c>
    </row>
    <row r="514" spans="2:6" ht="18.75" thickBot="1">
      <c r="B514" s="3491">
        <v>510</v>
      </c>
      <c r="C514" s="3492" t="s">
        <v>4974</v>
      </c>
      <c r="D514" s="3493" t="s">
        <v>4086</v>
      </c>
      <c r="E514" s="3493">
        <v>27.63</v>
      </c>
      <c r="F514" s="3492">
        <v>9</v>
      </c>
    </row>
    <row r="515" spans="2:6" ht="18.75" thickBot="1">
      <c r="B515" s="3491">
        <v>511</v>
      </c>
      <c r="C515" s="3492" t="s">
        <v>4974</v>
      </c>
      <c r="D515" s="3493" t="s">
        <v>4087</v>
      </c>
      <c r="E515" s="3493">
        <v>27.63</v>
      </c>
      <c r="F515" s="3492">
        <v>9</v>
      </c>
    </row>
    <row r="516" spans="2:6" ht="18.75" thickBot="1">
      <c r="B516" s="3491">
        <v>512</v>
      </c>
      <c r="C516" s="3492" t="s">
        <v>4974</v>
      </c>
      <c r="D516" s="3493" t="s">
        <v>4088</v>
      </c>
      <c r="E516" s="3493">
        <v>27.63</v>
      </c>
      <c r="F516" s="3492">
        <v>9</v>
      </c>
    </row>
    <row r="517" spans="2:6" ht="18.75" thickBot="1">
      <c r="B517" s="3491">
        <v>513</v>
      </c>
      <c r="C517" s="3492" t="s">
        <v>4974</v>
      </c>
      <c r="D517" s="3493" t="s">
        <v>4089</v>
      </c>
      <c r="E517" s="3493">
        <v>27.63</v>
      </c>
      <c r="F517" s="3492">
        <v>9</v>
      </c>
    </row>
    <row r="518" spans="2:6" ht="18.75" thickBot="1">
      <c r="B518" s="3491">
        <v>514</v>
      </c>
      <c r="C518" s="3492" t="s">
        <v>4974</v>
      </c>
      <c r="D518" s="3493" t="s">
        <v>4090</v>
      </c>
      <c r="E518" s="3493">
        <v>27.63</v>
      </c>
      <c r="F518" s="3492">
        <v>9</v>
      </c>
    </row>
    <row r="519" spans="2:6" ht="18.75" thickBot="1">
      <c r="B519" s="3491">
        <v>515</v>
      </c>
      <c r="C519" s="3492" t="s">
        <v>4974</v>
      </c>
      <c r="D519" s="3493" t="s">
        <v>4091</v>
      </c>
      <c r="E519" s="3493">
        <v>27.63</v>
      </c>
      <c r="F519" s="3492">
        <v>9</v>
      </c>
    </row>
    <row r="520" spans="2:6" ht="18.75" thickBot="1">
      <c r="B520" s="3491">
        <v>516</v>
      </c>
      <c r="C520" s="3492" t="s">
        <v>4974</v>
      </c>
      <c r="D520" s="3493" t="s">
        <v>4092</v>
      </c>
      <c r="E520" s="3493">
        <v>27.63</v>
      </c>
      <c r="F520" s="3492">
        <v>9</v>
      </c>
    </row>
    <row r="521" spans="2:6" ht="18.75" thickBot="1">
      <c r="B521" s="3491">
        <v>517</v>
      </c>
      <c r="C521" s="3492" t="s">
        <v>4974</v>
      </c>
      <c r="D521" s="3493" t="s">
        <v>4093</v>
      </c>
      <c r="E521" s="3493">
        <v>27.63</v>
      </c>
      <c r="F521" s="3492">
        <v>9</v>
      </c>
    </row>
    <row r="522" spans="2:6" ht="18.75" thickBot="1">
      <c r="B522" s="3491">
        <v>518</v>
      </c>
      <c r="C522" s="3492" t="s">
        <v>4974</v>
      </c>
      <c r="D522" s="3493" t="s">
        <v>4094</v>
      </c>
      <c r="E522" s="3493">
        <v>27.63</v>
      </c>
      <c r="F522" s="3492">
        <v>9</v>
      </c>
    </row>
    <row r="523" spans="2:6" ht="18.75" thickBot="1">
      <c r="B523" s="3491">
        <v>519</v>
      </c>
      <c r="C523" s="3492" t="s">
        <v>4974</v>
      </c>
      <c r="D523" s="3493" t="s">
        <v>4095</v>
      </c>
      <c r="E523" s="3493">
        <v>27.63</v>
      </c>
      <c r="F523" s="3492">
        <v>9</v>
      </c>
    </row>
    <row r="524" spans="2:6" ht="18.75" thickBot="1">
      <c r="B524" s="3491">
        <v>520</v>
      </c>
      <c r="C524" s="3492" t="s">
        <v>4974</v>
      </c>
      <c r="D524" s="3493" t="s">
        <v>4096</v>
      </c>
      <c r="E524" s="3493">
        <v>27.63</v>
      </c>
      <c r="F524" s="3492">
        <v>9</v>
      </c>
    </row>
    <row r="525" spans="2:6" ht="18.75" thickBot="1">
      <c r="B525" s="3491">
        <v>521</v>
      </c>
      <c r="C525" s="3492" t="s">
        <v>4974</v>
      </c>
      <c r="D525" s="3493" t="s">
        <v>4097</v>
      </c>
      <c r="E525" s="3493">
        <v>27.63</v>
      </c>
      <c r="F525" s="3492">
        <v>9</v>
      </c>
    </row>
    <row r="526" spans="2:6" ht="18.75" thickBot="1">
      <c r="B526" s="3491">
        <v>522</v>
      </c>
      <c r="C526" s="3492" t="s">
        <v>4974</v>
      </c>
      <c r="D526" s="3493" t="s">
        <v>4098</v>
      </c>
      <c r="E526" s="3493">
        <v>27.63</v>
      </c>
      <c r="F526" s="3492">
        <v>9</v>
      </c>
    </row>
    <row r="527" spans="2:6" ht="18.75" thickBot="1">
      <c r="B527" s="3491">
        <v>523</v>
      </c>
      <c r="C527" s="3492" t="s">
        <v>4974</v>
      </c>
      <c r="D527" s="3493" t="s">
        <v>4099</v>
      </c>
      <c r="E527" s="3493">
        <v>27.63</v>
      </c>
      <c r="F527" s="3492">
        <v>9</v>
      </c>
    </row>
    <row r="528" spans="2:6" ht="18.75" thickBot="1">
      <c r="B528" s="3491">
        <v>524</v>
      </c>
      <c r="C528" s="3492" t="s">
        <v>4974</v>
      </c>
      <c r="D528" s="3493" t="s">
        <v>4100</v>
      </c>
      <c r="E528" s="3493">
        <v>27.63</v>
      </c>
      <c r="F528" s="3492">
        <v>9</v>
      </c>
    </row>
    <row r="529" spans="2:6" ht="18.75" thickBot="1">
      <c r="B529" s="3491">
        <v>525</v>
      </c>
      <c r="C529" s="3492" t="s">
        <v>4974</v>
      </c>
      <c r="D529" s="3493" t="s">
        <v>4101</v>
      </c>
      <c r="E529" s="3493">
        <v>27.63</v>
      </c>
      <c r="F529" s="3492">
        <v>9</v>
      </c>
    </row>
    <row r="530" spans="2:6" ht="18.75" thickBot="1">
      <c r="B530" s="3491">
        <v>526</v>
      </c>
      <c r="C530" s="3492" t="s">
        <v>4974</v>
      </c>
      <c r="D530" s="3493" t="s">
        <v>4102</v>
      </c>
      <c r="E530" s="3493">
        <v>27.63</v>
      </c>
      <c r="F530" s="3492">
        <v>9</v>
      </c>
    </row>
    <row r="531" spans="2:6" ht="18.75" thickBot="1">
      <c r="B531" s="3491">
        <v>527</v>
      </c>
      <c r="C531" s="3492" t="s">
        <v>4974</v>
      </c>
      <c r="D531" s="3493" t="s">
        <v>4103</v>
      </c>
      <c r="E531" s="3493">
        <v>27.63</v>
      </c>
      <c r="F531" s="3492">
        <v>9</v>
      </c>
    </row>
    <row r="532" spans="2:6" ht="18.75" thickBot="1">
      <c r="B532" s="3491">
        <v>528</v>
      </c>
      <c r="C532" s="3492" t="s">
        <v>4974</v>
      </c>
      <c r="D532" s="3493" t="s">
        <v>4104</v>
      </c>
      <c r="E532" s="3493">
        <v>27.63</v>
      </c>
      <c r="F532" s="3492">
        <v>9</v>
      </c>
    </row>
    <row r="533" spans="2:6" ht="18.75" thickBot="1">
      <c r="B533" s="3491">
        <v>529</v>
      </c>
      <c r="C533" s="3492" t="s">
        <v>4974</v>
      </c>
      <c r="D533" s="3493" t="s">
        <v>4105</v>
      </c>
      <c r="E533" s="3493">
        <v>27.63</v>
      </c>
      <c r="F533" s="3492">
        <v>9</v>
      </c>
    </row>
    <row r="534" spans="2:6" ht="18.75" thickBot="1">
      <c r="B534" s="3491">
        <v>530</v>
      </c>
      <c r="C534" s="3492" t="s">
        <v>4974</v>
      </c>
      <c r="D534" s="3493" t="s">
        <v>4106</v>
      </c>
      <c r="E534" s="3493">
        <v>27.63</v>
      </c>
      <c r="F534" s="3492">
        <v>9</v>
      </c>
    </row>
    <row r="535" spans="2:6" ht="18.75" thickBot="1">
      <c r="B535" s="3491">
        <v>531</v>
      </c>
      <c r="C535" s="3492" t="s">
        <v>4974</v>
      </c>
      <c r="D535" s="3493" t="s">
        <v>4107</v>
      </c>
      <c r="E535" s="3493">
        <v>27.63</v>
      </c>
      <c r="F535" s="3492">
        <v>9</v>
      </c>
    </row>
    <row r="536" spans="2:6" ht="18.75" thickBot="1">
      <c r="B536" s="3491">
        <v>532</v>
      </c>
      <c r="C536" s="3492" t="s">
        <v>4974</v>
      </c>
      <c r="D536" s="3493" t="s">
        <v>4108</v>
      </c>
      <c r="E536" s="3493">
        <v>27.63</v>
      </c>
      <c r="F536" s="3492">
        <v>9</v>
      </c>
    </row>
    <row r="537" spans="2:6" ht="18.75" thickBot="1">
      <c r="B537" s="3491">
        <v>533</v>
      </c>
      <c r="C537" s="3492" t="s">
        <v>4974</v>
      </c>
      <c r="D537" s="3493" t="s">
        <v>4109</v>
      </c>
      <c r="E537" s="3493">
        <v>27.63</v>
      </c>
      <c r="F537" s="3492">
        <v>9</v>
      </c>
    </row>
    <row r="538" spans="2:6" ht="18.75" thickBot="1">
      <c r="B538" s="3491">
        <v>534</v>
      </c>
      <c r="C538" s="3492" t="s">
        <v>4974</v>
      </c>
      <c r="D538" s="3493" t="s">
        <v>4110</v>
      </c>
      <c r="E538" s="3493">
        <v>27.63</v>
      </c>
      <c r="F538" s="3492">
        <v>9</v>
      </c>
    </row>
    <row r="539" spans="2:6" ht="18.75" thickBot="1">
      <c r="B539" s="3491">
        <v>535</v>
      </c>
      <c r="C539" s="3492" t="s">
        <v>4974</v>
      </c>
      <c r="D539" s="3493" t="s">
        <v>4111</v>
      </c>
      <c r="E539" s="3493">
        <v>27.63</v>
      </c>
      <c r="F539" s="3492">
        <v>9</v>
      </c>
    </row>
    <row r="540" spans="2:6" ht="18.75" thickBot="1">
      <c r="B540" s="3491">
        <v>536</v>
      </c>
      <c r="C540" s="3492" t="s">
        <v>4974</v>
      </c>
      <c r="D540" s="3493" t="s">
        <v>4112</v>
      </c>
      <c r="E540" s="3493">
        <v>27.63</v>
      </c>
      <c r="F540" s="3492">
        <v>9</v>
      </c>
    </row>
    <row r="541" spans="2:6" ht="18.75" thickBot="1">
      <c r="B541" s="3491">
        <v>537</v>
      </c>
      <c r="C541" s="3492" t="s">
        <v>4974</v>
      </c>
      <c r="D541" s="3493" t="s">
        <v>4113</v>
      </c>
      <c r="E541" s="3493">
        <v>27.63</v>
      </c>
      <c r="F541" s="3492">
        <v>9</v>
      </c>
    </row>
    <row r="542" spans="2:6" ht="18.75" thickBot="1">
      <c r="B542" s="3491">
        <v>538</v>
      </c>
      <c r="C542" s="3492" t="s">
        <v>4974</v>
      </c>
      <c r="D542" s="3493" t="s">
        <v>4114</v>
      </c>
      <c r="E542" s="3493">
        <v>27.63</v>
      </c>
      <c r="F542" s="3492">
        <v>9</v>
      </c>
    </row>
    <row r="543" spans="2:6" ht="18.75" thickBot="1">
      <c r="B543" s="3491">
        <v>539</v>
      </c>
      <c r="C543" s="3492" t="s">
        <v>4974</v>
      </c>
      <c r="D543" s="3493" t="s">
        <v>4115</v>
      </c>
      <c r="E543" s="3493">
        <v>27.63</v>
      </c>
      <c r="F543" s="3492">
        <v>9</v>
      </c>
    </row>
    <row r="544" spans="2:6" ht="18.75" thickBot="1">
      <c r="B544" s="3491">
        <v>540</v>
      </c>
      <c r="C544" s="3492" t="s">
        <v>4974</v>
      </c>
      <c r="D544" s="3493" t="s">
        <v>4116</v>
      </c>
      <c r="E544" s="3493">
        <v>27.63</v>
      </c>
      <c r="F544" s="3492">
        <v>9</v>
      </c>
    </row>
    <row r="545" spans="2:6" ht="18.75" thickBot="1">
      <c r="B545" s="3491">
        <v>541</v>
      </c>
      <c r="C545" s="3492" t="s">
        <v>4974</v>
      </c>
      <c r="D545" s="3493" t="s">
        <v>4117</v>
      </c>
      <c r="E545" s="3493">
        <v>27.63</v>
      </c>
      <c r="F545" s="3492">
        <v>9</v>
      </c>
    </row>
    <row r="546" spans="2:6" ht="18.75" thickBot="1">
      <c r="B546" s="3491">
        <v>542</v>
      </c>
      <c r="C546" s="3492" t="s">
        <v>4974</v>
      </c>
      <c r="D546" s="3493" t="s">
        <v>4118</v>
      </c>
      <c r="E546" s="3493">
        <v>27.63</v>
      </c>
      <c r="F546" s="3492">
        <v>9</v>
      </c>
    </row>
    <row r="547" spans="2:6" ht="18.75" thickBot="1">
      <c r="B547" s="3491">
        <v>543</v>
      </c>
      <c r="C547" s="3492" t="s">
        <v>4974</v>
      </c>
      <c r="D547" s="3493" t="s">
        <v>4119</v>
      </c>
      <c r="E547" s="3493">
        <v>27.63</v>
      </c>
      <c r="F547" s="3492">
        <v>9</v>
      </c>
    </row>
    <row r="548" spans="2:6" ht="18.75" thickBot="1">
      <c r="B548" s="3491">
        <v>544</v>
      </c>
      <c r="C548" s="3492" t="s">
        <v>4974</v>
      </c>
      <c r="D548" s="3493" t="s">
        <v>4120</v>
      </c>
      <c r="E548" s="3493">
        <v>27.63</v>
      </c>
      <c r="F548" s="3492">
        <v>9</v>
      </c>
    </row>
    <row r="549" spans="2:6" ht="18.75" thickBot="1">
      <c r="B549" s="3491">
        <v>545</v>
      </c>
      <c r="C549" s="3492" t="s">
        <v>4974</v>
      </c>
      <c r="D549" s="3493" t="s">
        <v>4121</v>
      </c>
      <c r="E549" s="3493">
        <v>27.63</v>
      </c>
      <c r="F549" s="3492">
        <v>9</v>
      </c>
    </row>
    <row r="550" spans="2:6" ht="18.75" thickBot="1">
      <c r="B550" s="3491">
        <v>546</v>
      </c>
      <c r="C550" s="3492" t="s">
        <v>4974</v>
      </c>
      <c r="D550" s="3493" t="s">
        <v>4122</v>
      </c>
      <c r="E550" s="3493">
        <v>27.63</v>
      </c>
      <c r="F550" s="3492">
        <v>9</v>
      </c>
    </row>
    <row r="551" spans="2:6" ht="18.75" thickBot="1">
      <c r="B551" s="3491">
        <v>547</v>
      </c>
      <c r="C551" s="3492" t="s">
        <v>4974</v>
      </c>
      <c r="D551" s="3493" t="s">
        <v>4123</v>
      </c>
      <c r="E551" s="3493">
        <v>27.63</v>
      </c>
      <c r="F551" s="3492">
        <v>9</v>
      </c>
    </row>
    <row r="552" spans="2:6" ht="18.75" thickBot="1">
      <c r="B552" s="3491">
        <v>548</v>
      </c>
      <c r="C552" s="3492" t="s">
        <v>4974</v>
      </c>
      <c r="D552" s="3493" t="s">
        <v>4124</v>
      </c>
      <c r="E552" s="3493">
        <v>27.63</v>
      </c>
      <c r="F552" s="3492">
        <v>9</v>
      </c>
    </row>
    <row r="553" spans="2:6" ht="18.75" thickBot="1">
      <c r="B553" s="3491">
        <v>549</v>
      </c>
      <c r="C553" s="3492" t="s">
        <v>4974</v>
      </c>
      <c r="D553" s="3493" t="s">
        <v>4125</v>
      </c>
      <c r="E553" s="3493">
        <v>27.63</v>
      </c>
      <c r="F553" s="3492">
        <v>9</v>
      </c>
    </row>
    <row r="554" spans="2:6" ht="18.75" thickBot="1">
      <c r="B554" s="3491">
        <v>550</v>
      </c>
      <c r="C554" s="3492" t="s">
        <v>4974</v>
      </c>
      <c r="D554" s="3493" t="s">
        <v>4126</v>
      </c>
      <c r="E554" s="3493">
        <v>27.63</v>
      </c>
      <c r="F554" s="3492">
        <v>9</v>
      </c>
    </row>
    <row r="555" spans="2:6" ht="18.75" thickBot="1">
      <c r="B555" s="3491">
        <v>551</v>
      </c>
      <c r="C555" s="3492" t="s">
        <v>4974</v>
      </c>
      <c r="D555" s="3493" t="s">
        <v>4127</v>
      </c>
      <c r="E555" s="3493">
        <v>27.63</v>
      </c>
      <c r="F555" s="3492">
        <v>9</v>
      </c>
    </row>
    <row r="556" spans="2:6" ht="18.75" thickBot="1">
      <c r="B556" s="3491">
        <v>552</v>
      </c>
      <c r="C556" s="3492" t="s">
        <v>4974</v>
      </c>
      <c r="D556" s="3493" t="s">
        <v>4128</v>
      </c>
      <c r="E556" s="3493">
        <v>27.63</v>
      </c>
      <c r="F556" s="3492">
        <v>9</v>
      </c>
    </row>
    <row r="557" spans="2:6" ht="18.75" thickBot="1">
      <c r="B557" s="3491">
        <v>553</v>
      </c>
      <c r="C557" s="3492" t="s">
        <v>4974</v>
      </c>
      <c r="D557" s="3493" t="s">
        <v>4129</v>
      </c>
      <c r="E557" s="3493">
        <v>27.63</v>
      </c>
      <c r="F557" s="3492">
        <v>9</v>
      </c>
    </row>
    <row r="558" spans="2:6" ht="18.75" thickBot="1">
      <c r="B558" s="3491">
        <v>554</v>
      </c>
      <c r="C558" s="3492" t="s">
        <v>4974</v>
      </c>
      <c r="D558" s="3493" t="s">
        <v>4130</v>
      </c>
      <c r="E558" s="3493">
        <v>27.63</v>
      </c>
      <c r="F558" s="3492">
        <v>9</v>
      </c>
    </row>
    <row r="559" spans="2:6" ht="18.75" thickBot="1">
      <c r="B559" s="3491">
        <v>555</v>
      </c>
      <c r="C559" s="3492" t="s">
        <v>4974</v>
      </c>
      <c r="D559" s="3493" t="s">
        <v>4131</v>
      </c>
      <c r="E559" s="3493">
        <v>27.63</v>
      </c>
      <c r="F559" s="3492">
        <v>9</v>
      </c>
    </row>
    <row r="560" spans="2:6" ht="18.75" thickBot="1">
      <c r="B560" s="3491">
        <v>556</v>
      </c>
      <c r="C560" s="3492" t="s">
        <v>4974</v>
      </c>
      <c r="D560" s="3493" t="s">
        <v>4132</v>
      </c>
      <c r="E560" s="3493">
        <v>27.63</v>
      </c>
      <c r="F560" s="3492">
        <v>9</v>
      </c>
    </row>
    <row r="561" spans="2:6" ht="18.75" thickBot="1">
      <c r="B561" s="3491">
        <v>557</v>
      </c>
      <c r="C561" s="3492" t="s">
        <v>4974</v>
      </c>
      <c r="D561" s="3493" t="s">
        <v>4133</v>
      </c>
      <c r="E561" s="3493">
        <v>27.63</v>
      </c>
      <c r="F561" s="3492">
        <v>9</v>
      </c>
    </row>
    <row r="562" spans="2:6" ht="18.75" thickBot="1">
      <c r="B562" s="3491">
        <v>558</v>
      </c>
      <c r="C562" s="3492" t="s">
        <v>4974</v>
      </c>
      <c r="D562" s="3493" t="s">
        <v>4134</v>
      </c>
      <c r="E562" s="3493">
        <v>27.63</v>
      </c>
      <c r="F562" s="3492">
        <v>9</v>
      </c>
    </row>
    <row r="563" spans="2:6" ht="18.75" thickBot="1">
      <c r="B563" s="3491">
        <v>559</v>
      </c>
      <c r="C563" s="3492" t="s">
        <v>4974</v>
      </c>
      <c r="D563" s="3493" t="s">
        <v>4135</v>
      </c>
      <c r="E563" s="3493">
        <v>27.63</v>
      </c>
      <c r="F563" s="3492">
        <v>9</v>
      </c>
    </row>
    <row r="564" spans="2:6" ht="18.75" thickBot="1">
      <c r="B564" s="3491">
        <v>560</v>
      </c>
      <c r="C564" s="3492" t="s">
        <v>4974</v>
      </c>
      <c r="D564" s="3493" t="s">
        <v>4136</v>
      </c>
      <c r="E564" s="3493">
        <v>27.63</v>
      </c>
      <c r="F564" s="3492">
        <v>9</v>
      </c>
    </row>
    <row r="565" spans="2:6" ht="18.75" thickBot="1">
      <c r="B565" s="3491">
        <v>561</v>
      </c>
      <c r="C565" s="3492" t="s">
        <v>4974</v>
      </c>
      <c r="D565" s="3493" t="s">
        <v>4137</v>
      </c>
      <c r="E565" s="3493">
        <v>27.63</v>
      </c>
      <c r="F565" s="3492">
        <v>9</v>
      </c>
    </row>
    <row r="566" spans="2:6" ht="18.75" thickBot="1">
      <c r="B566" s="3491">
        <v>562</v>
      </c>
      <c r="C566" s="3492" t="s">
        <v>4974</v>
      </c>
      <c r="D566" s="3493" t="s">
        <v>4138</v>
      </c>
      <c r="E566" s="3493">
        <v>27.63</v>
      </c>
      <c r="F566" s="3492">
        <v>9</v>
      </c>
    </row>
    <row r="567" spans="2:6" ht="18.75" thickBot="1">
      <c r="B567" s="3491">
        <v>563</v>
      </c>
      <c r="C567" s="3492" t="s">
        <v>4974</v>
      </c>
      <c r="D567" s="3493" t="s">
        <v>4139</v>
      </c>
      <c r="E567" s="3493">
        <v>27.63</v>
      </c>
      <c r="F567" s="3492">
        <v>9</v>
      </c>
    </row>
    <row r="568" spans="2:6" ht="18.75" thickBot="1">
      <c r="B568" s="3491">
        <v>564</v>
      </c>
      <c r="C568" s="3492" t="s">
        <v>4974</v>
      </c>
      <c r="D568" s="3493" t="s">
        <v>4140</v>
      </c>
      <c r="E568" s="3493">
        <v>27.63</v>
      </c>
      <c r="F568" s="3492">
        <v>9</v>
      </c>
    </row>
    <row r="569" spans="2:6" ht="18.75" thickBot="1">
      <c r="B569" s="3491">
        <v>565</v>
      </c>
      <c r="C569" s="3492" t="s">
        <v>4974</v>
      </c>
      <c r="D569" s="3493" t="s">
        <v>4141</v>
      </c>
      <c r="E569" s="3493">
        <v>27.63</v>
      </c>
      <c r="F569" s="3492">
        <v>9</v>
      </c>
    </row>
    <row r="570" spans="2:6" ht="18.75" thickBot="1">
      <c r="B570" s="3491">
        <v>566</v>
      </c>
      <c r="C570" s="3492" t="s">
        <v>4974</v>
      </c>
      <c r="D570" s="3493" t="s">
        <v>4142</v>
      </c>
      <c r="E570" s="3493">
        <v>27.63</v>
      </c>
      <c r="F570" s="3492">
        <v>9</v>
      </c>
    </row>
    <row r="571" spans="2:6" ht="18.75" thickBot="1">
      <c r="B571" s="3491">
        <v>567</v>
      </c>
      <c r="C571" s="3492" t="s">
        <v>4974</v>
      </c>
      <c r="D571" s="3493" t="s">
        <v>4143</v>
      </c>
      <c r="E571" s="3493">
        <v>27.63</v>
      </c>
      <c r="F571" s="3492">
        <v>9</v>
      </c>
    </row>
    <row r="572" spans="2:6" ht="18.75" thickBot="1">
      <c r="B572" s="3491">
        <v>568</v>
      </c>
      <c r="C572" s="3492" t="s">
        <v>4974</v>
      </c>
      <c r="D572" s="3493" t="s">
        <v>4144</v>
      </c>
      <c r="E572" s="3493">
        <v>27.63</v>
      </c>
      <c r="F572" s="3492">
        <v>9</v>
      </c>
    </row>
    <row r="573" spans="2:6" ht="18.75" thickBot="1">
      <c r="B573" s="3491">
        <v>569</v>
      </c>
      <c r="C573" s="3492" t="s">
        <v>4974</v>
      </c>
      <c r="D573" s="3493" t="s">
        <v>4145</v>
      </c>
      <c r="E573" s="3493">
        <v>27.63</v>
      </c>
      <c r="F573" s="3492">
        <v>9</v>
      </c>
    </row>
    <row r="574" spans="2:6" ht="18.75" thickBot="1">
      <c r="B574" s="3491">
        <v>570</v>
      </c>
      <c r="C574" s="3492" t="s">
        <v>4974</v>
      </c>
      <c r="D574" s="3493" t="s">
        <v>4146</v>
      </c>
      <c r="E574" s="3493">
        <v>27.63</v>
      </c>
      <c r="F574" s="3492">
        <v>9</v>
      </c>
    </row>
    <row r="575" spans="2:6" ht="18.75" thickBot="1">
      <c r="B575" s="3491">
        <v>571</v>
      </c>
      <c r="C575" s="3492" t="s">
        <v>4974</v>
      </c>
      <c r="D575" s="3493" t="s">
        <v>4147</v>
      </c>
      <c r="E575" s="3493">
        <v>27.63</v>
      </c>
      <c r="F575" s="3492">
        <v>9</v>
      </c>
    </row>
    <row r="576" spans="2:6" ht="18.75" thickBot="1">
      <c r="B576" s="3491">
        <v>572</v>
      </c>
      <c r="C576" s="3492" t="s">
        <v>4974</v>
      </c>
      <c r="D576" s="3493" t="s">
        <v>4148</v>
      </c>
      <c r="E576" s="3493">
        <v>27.63</v>
      </c>
      <c r="F576" s="3492">
        <v>9</v>
      </c>
    </row>
    <row r="577" spans="2:6" ht="18.75" thickBot="1">
      <c r="B577" s="3491">
        <v>573</v>
      </c>
      <c r="C577" s="3492" t="s">
        <v>4974</v>
      </c>
      <c r="D577" s="3493" t="s">
        <v>4149</v>
      </c>
      <c r="E577" s="3493">
        <v>27.63</v>
      </c>
      <c r="F577" s="3492">
        <v>9</v>
      </c>
    </row>
    <row r="578" spans="2:6" ht="18.75" thickBot="1">
      <c r="B578" s="3491">
        <v>574</v>
      </c>
      <c r="C578" s="3492" t="s">
        <v>4974</v>
      </c>
      <c r="D578" s="3493" t="s">
        <v>4150</v>
      </c>
      <c r="E578" s="3493">
        <v>27.63</v>
      </c>
      <c r="F578" s="3492">
        <v>9</v>
      </c>
    </row>
    <row r="579" spans="2:6" ht="18.75" thickBot="1">
      <c r="B579" s="3491">
        <v>575</v>
      </c>
      <c r="C579" s="3492" t="s">
        <v>4974</v>
      </c>
      <c r="D579" s="3493" t="s">
        <v>4151</v>
      </c>
      <c r="E579" s="3493">
        <v>27.63</v>
      </c>
      <c r="F579" s="3492">
        <v>9</v>
      </c>
    </row>
    <row r="580" spans="2:6" ht="18.75" thickBot="1">
      <c r="B580" s="3491">
        <v>576</v>
      </c>
      <c r="C580" s="3492" t="s">
        <v>4974</v>
      </c>
      <c r="D580" s="3493" t="s">
        <v>4152</v>
      </c>
      <c r="E580" s="3493">
        <v>27.63</v>
      </c>
      <c r="F580" s="3492">
        <v>9</v>
      </c>
    </row>
    <row r="581" spans="2:6" ht="18.75" thickBot="1">
      <c r="B581" s="3491">
        <v>577</v>
      </c>
      <c r="C581" s="3492" t="s">
        <v>4974</v>
      </c>
      <c r="D581" s="3493" t="s">
        <v>4153</v>
      </c>
      <c r="E581" s="3493">
        <v>27.63</v>
      </c>
      <c r="F581" s="3492">
        <v>9</v>
      </c>
    </row>
    <row r="582" spans="2:6" ht="18.75" thickBot="1">
      <c r="B582" s="3491">
        <v>578</v>
      </c>
      <c r="C582" s="3492" t="s">
        <v>4974</v>
      </c>
      <c r="D582" s="3493" t="s">
        <v>4154</v>
      </c>
      <c r="E582" s="3493">
        <v>27.63</v>
      </c>
      <c r="F582" s="3492">
        <v>9</v>
      </c>
    </row>
    <row r="583" spans="2:6" ht="18.75" thickBot="1">
      <c r="B583" s="3491">
        <v>579</v>
      </c>
      <c r="C583" s="3492" t="s">
        <v>4974</v>
      </c>
      <c r="D583" s="3493" t="s">
        <v>4155</v>
      </c>
      <c r="E583" s="3493">
        <v>27.63</v>
      </c>
      <c r="F583" s="3492">
        <v>9</v>
      </c>
    </row>
    <row r="584" spans="2:6" ht="18.75" thickBot="1">
      <c r="B584" s="3491">
        <v>580</v>
      </c>
      <c r="C584" s="3492" t="s">
        <v>4974</v>
      </c>
      <c r="D584" s="3493" t="s">
        <v>4156</v>
      </c>
      <c r="E584" s="3493">
        <v>27.63</v>
      </c>
      <c r="F584" s="3492">
        <v>9</v>
      </c>
    </row>
    <row r="585" spans="2:6" ht="18.75" thickBot="1">
      <c r="B585" s="3491">
        <v>581</v>
      </c>
      <c r="C585" s="3492" t="s">
        <v>4974</v>
      </c>
      <c r="D585" s="3493" t="s">
        <v>4157</v>
      </c>
      <c r="E585" s="3493">
        <v>27.63</v>
      </c>
      <c r="F585" s="3492">
        <v>9</v>
      </c>
    </row>
    <row r="586" spans="2:6" ht="18.75" thickBot="1">
      <c r="B586" s="3491">
        <v>582</v>
      </c>
      <c r="C586" s="3492" t="s">
        <v>4974</v>
      </c>
      <c r="D586" s="3493" t="s">
        <v>4158</v>
      </c>
      <c r="E586" s="3493">
        <v>27.63</v>
      </c>
      <c r="F586" s="3492">
        <v>9</v>
      </c>
    </row>
    <row r="587" spans="2:6" ht="18.75" thickBot="1">
      <c r="B587" s="3491">
        <v>583</v>
      </c>
      <c r="C587" s="3492" t="s">
        <v>4974</v>
      </c>
      <c r="D587" s="3493" t="s">
        <v>4159</v>
      </c>
      <c r="E587" s="3493">
        <v>27.63</v>
      </c>
      <c r="F587" s="3492">
        <v>9</v>
      </c>
    </row>
    <row r="588" spans="2:6" ht="18.75" thickBot="1">
      <c r="B588" s="3491">
        <v>584</v>
      </c>
      <c r="C588" s="3492" t="s">
        <v>4974</v>
      </c>
      <c r="D588" s="3493" t="s">
        <v>4160</v>
      </c>
      <c r="E588" s="3493">
        <v>27.63</v>
      </c>
      <c r="F588" s="3492">
        <v>9</v>
      </c>
    </row>
    <row r="589" spans="2:6" ht="18.75" thickBot="1">
      <c r="B589" s="3491">
        <v>585</v>
      </c>
      <c r="C589" s="3492" t="s">
        <v>4974</v>
      </c>
      <c r="D589" s="3493" t="s">
        <v>4161</v>
      </c>
      <c r="E589" s="3493">
        <v>27.63</v>
      </c>
      <c r="F589" s="3492">
        <v>9</v>
      </c>
    </row>
    <row r="590" spans="2:6" ht="18.75" thickBot="1">
      <c r="B590" s="3491">
        <v>586</v>
      </c>
      <c r="C590" s="3492" t="s">
        <v>4974</v>
      </c>
      <c r="D590" s="3493" t="s">
        <v>4162</v>
      </c>
      <c r="E590" s="3493">
        <v>27.63</v>
      </c>
      <c r="F590" s="3492">
        <v>9</v>
      </c>
    </row>
    <row r="591" spans="2:6" ht="18.75" thickBot="1">
      <c r="B591" s="3491">
        <v>587</v>
      </c>
      <c r="C591" s="3492" t="s">
        <v>4974</v>
      </c>
      <c r="D591" s="3493" t="s">
        <v>4163</v>
      </c>
      <c r="E591" s="3493">
        <v>27.63</v>
      </c>
      <c r="F591" s="3492">
        <v>9</v>
      </c>
    </row>
    <row r="592" spans="2:6" ht="18.75" thickBot="1">
      <c r="B592" s="3491">
        <v>588</v>
      </c>
      <c r="C592" s="3492" t="s">
        <v>4974</v>
      </c>
      <c r="D592" s="3493" t="s">
        <v>4164</v>
      </c>
      <c r="E592" s="3493">
        <v>27.63</v>
      </c>
      <c r="F592" s="3492">
        <v>9</v>
      </c>
    </row>
    <row r="593" spans="2:6" ht="18.75" thickBot="1">
      <c r="B593" s="3491">
        <v>589</v>
      </c>
      <c r="C593" s="3492" t="s">
        <v>4974</v>
      </c>
      <c r="D593" s="3493" t="s">
        <v>4165</v>
      </c>
      <c r="E593" s="3493">
        <v>27.63</v>
      </c>
      <c r="F593" s="3492">
        <v>9</v>
      </c>
    </row>
    <row r="594" spans="2:6" ht="18.75" thickBot="1">
      <c r="B594" s="3491">
        <v>590</v>
      </c>
      <c r="C594" s="3492" t="s">
        <v>4974</v>
      </c>
      <c r="D594" s="3493" t="s">
        <v>4166</v>
      </c>
      <c r="E594" s="3493">
        <v>27.63</v>
      </c>
      <c r="F594" s="3492">
        <v>9</v>
      </c>
    </row>
    <row r="595" spans="2:6" ht="18.75" thickBot="1">
      <c r="B595" s="3491">
        <v>591</v>
      </c>
      <c r="C595" s="3492" t="s">
        <v>4974</v>
      </c>
      <c r="D595" s="3493" t="s">
        <v>4167</v>
      </c>
      <c r="E595" s="3493">
        <v>27.63</v>
      </c>
      <c r="F595" s="3492">
        <v>9</v>
      </c>
    </row>
    <row r="596" spans="2:6" ht="18.75" thickBot="1">
      <c r="B596" s="3491">
        <v>592</v>
      </c>
      <c r="C596" s="3492" t="s">
        <v>4974</v>
      </c>
      <c r="D596" s="3493" t="s">
        <v>4168</v>
      </c>
      <c r="E596" s="3493">
        <v>27.63</v>
      </c>
      <c r="F596" s="3492">
        <v>9</v>
      </c>
    </row>
    <row r="597" spans="2:6" ht="18.75" thickBot="1">
      <c r="B597" s="3491">
        <v>593</v>
      </c>
      <c r="C597" s="3492" t="s">
        <v>4974</v>
      </c>
      <c r="D597" s="3493" t="s">
        <v>4169</v>
      </c>
      <c r="E597" s="3493">
        <v>27.63</v>
      </c>
      <c r="F597" s="3492">
        <v>9</v>
      </c>
    </row>
    <row r="598" spans="2:6" ht="18.75" thickBot="1">
      <c r="B598" s="3491">
        <v>594</v>
      </c>
      <c r="C598" s="3492" t="s">
        <v>4974</v>
      </c>
      <c r="D598" s="3493" t="s">
        <v>4170</v>
      </c>
      <c r="E598" s="3493">
        <v>27.63</v>
      </c>
      <c r="F598" s="3492">
        <v>9</v>
      </c>
    </row>
    <row r="599" spans="2:6" ht="18.75" thickBot="1">
      <c r="B599" s="3491">
        <v>595</v>
      </c>
      <c r="C599" s="3492" t="s">
        <v>4974</v>
      </c>
      <c r="D599" s="3493" t="s">
        <v>4171</v>
      </c>
      <c r="E599" s="3493">
        <v>27.63</v>
      </c>
      <c r="F599" s="3492">
        <v>9</v>
      </c>
    </row>
    <row r="600" spans="2:6" ht="18.75" thickBot="1">
      <c r="B600" s="3491">
        <v>596</v>
      </c>
      <c r="C600" s="3492" t="s">
        <v>4974</v>
      </c>
      <c r="D600" s="3493" t="s">
        <v>4172</v>
      </c>
      <c r="E600" s="3493">
        <v>27.63</v>
      </c>
      <c r="F600" s="3492">
        <v>9</v>
      </c>
    </row>
    <row r="601" spans="2:6" ht="18.75" thickBot="1">
      <c r="B601" s="3491">
        <v>597</v>
      </c>
      <c r="C601" s="3492" t="s">
        <v>4974</v>
      </c>
      <c r="D601" s="3493" t="s">
        <v>4173</v>
      </c>
      <c r="E601" s="3493">
        <v>48.22</v>
      </c>
      <c r="F601" s="3492">
        <v>15.7</v>
      </c>
    </row>
    <row r="602" spans="2:6" ht="18.75" thickBot="1">
      <c r="B602" s="3491">
        <v>598</v>
      </c>
      <c r="C602" s="3492" t="s">
        <v>4974</v>
      </c>
      <c r="D602" s="3493" t="s">
        <v>4174</v>
      </c>
      <c r="E602" s="3493">
        <v>27.63</v>
      </c>
      <c r="F602" s="3492">
        <v>9</v>
      </c>
    </row>
    <row r="603" spans="2:6" ht="18.75" thickBot="1">
      <c r="B603" s="3491">
        <v>599</v>
      </c>
      <c r="C603" s="3492" t="s">
        <v>4974</v>
      </c>
      <c r="D603" s="3493" t="s">
        <v>4175</v>
      </c>
      <c r="E603" s="3493">
        <v>27.63</v>
      </c>
      <c r="F603" s="3492">
        <v>9</v>
      </c>
    </row>
    <row r="604" spans="2:6" ht="18.75" thickBot="1">
      <c r="B604" s="3491">
        <v>600</v>
      </c>
      <c r="C604" s="3492" t="s">
        <v>4974</v>
      </c>
      <c r="D604" s="3493" t="s">
        <v>4176</v>
      </c>
      <c r="E604" s="3493">
        <v>27.63</v>
      </c>
      <c r="F604" s="3492">
        <v>9</v>
      </c>
    </row>
    <row r="605" spans="2:6" ht="18.75" thickBot="1">
      <c r="B605" s="3491">
        <v>601</v>
      </c>
      <c r="C605" s="3492" t="s">
        <v>4974</v>
      </c>
      <c r="D605" s="3493" t="s">
        <v>4177</v>
      </c>
      <c r="E605" s="3493">
        <v>27.63</v>
      </c>
      <c r="F605" s="3492">
        <v>9</v>
      </c>
    </row>
    <row r="606" spans="2:6" ht="18.75" thickBot="1">
      <c r="B606" s="3491">
        <v>602</v>
      </c>
      <c r="C606" s="3492" t="s">
        <v>4974</v>
      </c>
      <c r="D606" s="3493" t="s">
        <v>4178</v>
      </c>
      <c r="E606" s="3493">
        <v>27.63</v>
      </c>
      <c r="F606" s="3492">
        <v>9</v>
      </c>
    </row>
    <row r="607" spans="2:6" ht="18.75" thickBot="1">
      <c r="B607" s="3491">
        <v>603</v>
      </c>
      <c r="C607" s="3492" t="s">
        <v>4974</v>
      </c>
      <c r="D607" s="3493" t="s">
        <v>4179</v>
      </c>
      <c r="E607" s="3493">
        <v>27.63</v>
      </c>
      <c r="F607" s="3492">
        <v>9</v>
      </c>
    </row>
    <row r="608" spans="2:6" ht="18.75" thickBot="1">
      <c r="B608" s="3491">
        <v>604</v>
      </c>
      <c r="C608" s="3492" t="s">
        <v>4974</v>
      </c>
      <c r="D608" s="3493" t="s">
        <v>4180</v>
      </c>
      <c r="E608" s="3493">
        <v>27.63</v>
      </c>
      <c r="F608" s="3492">
        <v>9</v>
      </c>
    </row>
    <row r="609" spans="2:6" ht="18.75" thickBot="1">
      <c r="B609" s="3491">
        <v>605</v>
      </c>
      <c r="C609" s="3492" t="s">
        <v>4974</v>
      </c>
      <c r="D609" s="3493" t="s">
        <v>4181</v>
      </c>
      <c r="E609" s="3493">
        <v>27.63</v>
      </c>
      <c r="F609" s="3492">
        <v>9</v>
      </c>
    </row>
    <row r="610" spans="2:6" ht="18.75" thickBot="1">
      <c r="B610" s="3491">
        <v>606</v>
      </c>
      <c r="C610" s="3492" t="s">
        <v>4974</v>
      </c>
      <c r="D610" s="3493" t="s">
        <v>4182</v>
      </c>
      <c r="E610" s="3493">
        <v>27.63</v>
      </c>
      <c r="F610" s="3492">
        <v>9</v>
      </c>
    </row>
    <row r="611" spans="2:6" ht="18.75" thickBot="1">
      <c r="B611" s="3491">
        <v>607</v>
      </c>
      <c r="C611" s="3492" t="s">
        <v>4974</v>
      </c>
      <c r="D611" s="3493" t="s">
        <v>4183</v>
      </c>
      <c r="E611" s="3493">
        <v>27.63</v>
      </c>
      <c r="F611" s="3492">
        <v>9</v>
      </c>
    </row>
    <row r="612" spans="2:6" ht="18.75" thickBot="1">
      <c r="B612" s="3491">
        <v>608</v>
      </c>
      <c r="C612" s="3492" t="s">
        <v>4974</v>
      </c>
      <c r="D612" s="3493" t="s">
        <v>4184</v>
      </c>
      <c r="E612" s="3493">
        <v>27.63</v>
      </c>
      <c r="F612" s="3492">
        <v>9</v>
      </c>
    </row>
    <row r="613" spans="2:6" ht="18.75" thickBot="1">
      <c r="B613" s="3491">
        <v>609</v>
      </c>
      <c r="C613" s="3492" t="s">
        <v>4974</v>
      </c>
      <c r="D613" s="3493" t="s">
        <v>4185</v>
      </c>
      <c r="E613" s="3493">
        <v>27.63</v>
      </c>
      <c r="F613" s="3492">
        <v>9</v>
      </c>
    </row>
    <row r="614" spans="2:6" ht="18.75" thickBot="1">
      <c r="B614" s="3491">
        <v>610</v>
      </c>
      <c r="C614" s="3492" t="s">
        <v>4974</v>
      </c>
      <c r="D614" s="3493" t="s">
        <v>4186</v>
      </c>
      <c r="E614" s="3493">
        <v>27.63</v>
      </c>
      <c r="F614" s="3492">
        <v>9</v>
      </c>
    </row>
    <row r="615" spans="2:6" ht="18.75" thickBot="1">
      <c r="B615" s="3491">
        <v>611</v>
      </c>
      <c r="C615" s="3492" t="s">
        <v>4974</v>
      </c>
      <c r="D615" s="3493" t="s">
        <v>4187</v>
      </c>
      <c r="E615" s="3493">
        <v>27.63</v>
      </c>
      <c r="F615" s="3492">
        <v>9</v>
      </c>
    </row>
    <row r="616" spans="2:6" ht="18.75" thickBot="1">
      <c r="B616" s="3491">
        <v>612</v>
      </c>
      <c r="C616" s="3492" t="s">
        <v>4974</v>
      </c>
      <c r="D616" s="3493" t="s">
        <v>4188</v>
      </c>
      <c r="E616" s="3493">
        <v>27.63</v>
      </c>
      <c r="F616" s="3492">
        <v>9</v>
      </c>
    </row>
    <row r="617" spans="2:6" ht="18.75" thickBot="1">
      <c r="B617" s="3491">
        <v>613</v>
      </c>
      <c r="C617" s="3492" t="s">
        <v>4974</v>
      </c>
      <c r="D617" s="3493" t="s">
        <v>4189</v>
      </c>
      <c r="E617" s="3493">
        <v>27.63</v>
      </c>
      <c r="F617" s="3492">
        <v>9</v>
      </c>
    </row>
    <row r="618" spans="2:6" ht="18.75" thickBot="1">
      <c r="B618" s="3491">
        <v>614</v>
      </c>
      <c r="C618" s="3492" t="s">
        <v>4974</v>
      </c>
      <c r="D618" s="3493" t="s">
        <v>4190</v>
      </c>
      <c r="E618" s="3493">
        <v>27.63</v>
      </c>
      <c r="F618" s="3492">
        <v>9</v>
      </c>
    </row>
    <row r="619" spans="2:6" ht="18.75" thickBot="1">
      <c r="B619" s="3491">
        <v>615</v>
      </c>
      <c r="C619" s="3492" t="s">
        <v>4974</v>
      </c>
      <c r="D619" s="3493" t="s">
        <v>4191</v>
      </c>
      <c r="E619" s="3493">
        <v>27.63</v>
      </c>
      <c r="F619" s="3492">
        <v>9</v>
      </c>
    </row>
    <row r="620" spans="2:6" ht="18.75" thickBot="1">
      <c r="B620" s="3491">
        <v>616</v>
      </c>
      <c r="C620" s="3492" t="s">
        <v>4974</v>
      </c>
      <c r="D620" s="3493" t="s">
        <v>4192</v>
      </c>
      <c r="E620" s="3493">
        <v>27.63</v>
      </c>
      <c r="F620" s="3492">
        <v>9</v>
      </c>
    </row>
    <row r="621" spans="2:6" ht="18.75" thickBot="1">
      <c r="B621" s="3491">
        <v>617</v>
      </c>
      <c r="C621" s="3492" t="s">
        <v>4974</v>
      </c>
      <c r="D621" s="3493" t="s">
        <v>4193</v>
      </c>
      <c r="E621" s="3493">
        <v>27.63</v>
      </c>
      <c r="F621" s="3492">
        <v>9</v>
      </c>
    </row>
    <row r="622" spans="2:6" ht="18.75" thickBot="1">
      <c r="B622" s="3491">
        <v>618</v>
      </c>
      <c r="C622" s="3492" t="s">
        <v>4974</v>
      </c>
      <c r="D622" s="3493" t="s">
        <v>4194</v>
      </c>
      <c r="E622" s="3493">
        <v>27.63</v>
      </c>
      <c r="F622" s="3492">
        <v>9</v>
      </c>
    </row>
    <row r="623" spans="2:6" ht="18.75" thickBot="1">
      <c r="B623" s="3491">
        <v>619</v>
      </c>
      <c r="C623" s="3492" t="s">
        <v>4974</v>
      </c>
      <c r="D623" s="3493" t="s">
        <v>4195</v>
      </c>
      <c r="E623" s="3493">
        <v>27.63</v>
      </c>
      <c r="F623" s="3492">
        <v>9</v>
      </c>
    </row>
    <row r="624" spans="2:6" ht="18.75" thickBot="1">
      <c r="B624" s="3491">
        <v>620</v>
      </c>
      <c r="C624" s="3492" t="s">
        <v>4974</v>
      </c>
      <c r="D624" s="3493" t="s">
        <v>4196</v>
      </c>
      <c r="E624" s="3493">
        <v>27.63</v>
      </c>
      <c r="F624" s="3492">
        <v>9</v>
      </c>
    </row>
    <row r="625" spans="2:6" ht="18.75" thickBot="1">
      <c r="B625" s="3491">
        <v>621</v>
      </c>
      <c r="C625" s="3492" t="s">
        <v>4974</v>
      </c>
      <c r="D625" s="3493" t="s">
        <v>4197</v>
      </c>
      <c r="E625" s="3493">
        <v>27.63</v>
      </c>
      <c r="F625" s="3492">
        <v>9</v>
      </c>
    </row>
    <row r="626" spans="2:6" ht="18.75" thickBot="1">
      <c r="B626" s="3491">
        <v>622</v>
      </c>
      <c r="C626" s="3492" t="s">
        <v>4974</v>
      </c>
      <c r="D626" s="3493" t="s">
        <v>4198</v>
      </c>
      <c r="E626" s="3493">
        <v>27.63</v>
      </c>
      <c r="F626" s="3492">
        <v>9</v>
      </c>
    </row>
    <row r="627" spans="2:6" ht="18.75" thickBot="1">
      <c r="B627" s="3491">
        <v>623</v>
      </c>
      <c r="C627" s="3492" t="s">
        <v>4974</v>
      </c>
      <c r="D627" s="3493" t="s">
        <v>4199</v>
      </c>
      <c r="E627" s="3493">
        <v>27.63</v>
      </c>
      <c r="F627" s="3492">
        <v>9</v>
      </c>
    </row>
    <row r="628" spans="2:6" ht="18.75" thickBot="1">
      <c r="B628" s="3491">
        <v>624</v>
      </c>
      <c r="C628" s="3492" t="s">
        <v>4974</v>
      </c>
      <c r="D628" s="3493" t="s">
        <v>4200</v>
      </c>
      <c r="E628" s="3493">
        <v>27.63</v>
      </c>
      <c r="F628" s="3492">
        <v>9</v>
      </c>
    </row>
    <row r="629" spans="2:6" ht="18.75" thickBot="1">
      <c r="B629" s="3491">
        <v>625</v>
      </c>
      <c r="C629" s="3492" t="s">
        <v>4974</v>
      </c>
      <c r="D629" s="3493" t="s">
        <v>4201</v>
      </c>
      <c r="E629" s="3493">
        <v>27.63</v>
      </c>
      <c r="F629" s="3492">
        <v>9</v>
      </c>
    </row>
    <row r="630" spans="2:6" ht="18.75" thickBot="1">
      <c r="B630" s="3491">
        <v>626</v>
      </c>
      <c r="C630" s="3492" t="s">
        <v>4974</v>
      </c>
      <c r="D630" s="3493" t="s">
        <v>4202</v>
      </c>
      <c r="E630" s="3493">
        <v>27.63</v>
      </c>
      <c r="F630" s="3492">
        <v>9</v>
      </c>
    </row>
    <row r="631" spans="2:6" ht="18.75" thickBot="1">
      <c r="B631" s="3491">
        <v>627</v>
      </c>
      <c r="C631" s="3492" t="s">
        <v>4974</v>
      </c>
      <c r="D631" s="3493" t="s">
        <v>4203</v>
      </c>
      <c r="E631" s="3493">
        <v>27.63</v>
      </c>
      <c r="F631" s="3492">
        <v>9</v>
      </c>
    </row>
    <row r="632" spans="2:6" ht="18.75" thickBot="1">
      <c r="B632" s="3491">
        <v>628</v>
      </c>
      <c r="C632" s="3492" t="s">
        <v>4974</v>
      </c>
      <c r="D632" s="3493" t="s">
        <v>4204</v>
      </c>
      <c r="E632" s="3493">
        <v>27.63</v>
      </c>
      <c r="F632" s="3492">
        <v>9</v>
      </c>
    </row>
    <row r="633" spans="2:6" ht="18.75" thickBot="1">
      <c r="B633" s="3491">
        <v>629</v>
      </c>
      <c r="C633" s="3492" t="s">
        <v>4974</v>
      </c>
      <c r="D633" s="3493" t="s">
        <v>4205</v>
      </c>
      <c r="E633" s="3493">
        <v>27.63</v>
      </c>
      <c r="F633" s="3492">
        <v>9</v>
      </c>
    </row>
    <row r="634" spans="2:6" ht="18.75" thickBot="1">
      <c r="B634" s="3491">
        <v>630</v>
      </c>
      <c r="C634" s="3492" t="s">
        <v>4974</v>
      </c>
      <c r="D634" s="3493" t="s">
        <v>4206</v>
      </c>
      <c r="E634" s="3493">
        <v>27.63</v>
      </c>
      <c r="F634" s="3492">
        <v>9</v>
      </c>
    </row>
    <row r="635" spans="2:6" ht="18.75" thickBot="1">
      <c r="B635" s="3491">
        <v>631</v>
      </c>
      <c r="C635" s="3492" t="s">
        <v>4974</v>
      </c>
      <c r="D635" s="3493" t="s">
        <v>4207</v>
      </c>
      <c r="E635" s="3493">
        <v>27.63</v>
      </c>
      <c r="F635" s="3492">
        <v>9</v>
      </c>
    </row>
    <row r="636" spans="2:6" ht="18.75" thickBot="1">
      <c r="B636" s="3491">
        <v>632</v>
      </c>
      <c r="C636" s="3492" t="s">
        <v>4974</v>
      </c>
      <c r="D636" s="3493" t="s">
        <v>4208</v>
      </c>
      <c r="E636" s="3493">
        <v>27.63</v>
      </c>
      <c r="F636" s="3492">
        <v>9</v>
      </c>
    </row>
    <row r="637" spans="2:6" ht="18.75" thickBot="1">
      <c r="B637" s="3491">
        <v>633</v>
      </c>
      <c r="C637" s="3492" t="s">
        <v>4974</v>
      </c>
      <c r="D637" s="3493" t="s">
        <v>4209</v>
      </c>
      <c r="E637" s="3493">
        <v>27.63</v>
      </c>
      <c r="F637" s="3492">
        <v>9</v>
      </c>
    </row>
    <row r="638" spans="2:6" ht="18.75" thickBot="1">
      <c r="B638" s="3491">
        <v>634</v>
      </c>
      <c r="C638" s="3492" t="s">
        <v>4974</v>
      </c>
      <c r="D638" s="3493" t="s">
        <v>4210</v>
      </c>
      <c r="E638" s="3493">
        <v>27.63</v>
      </c>
      <c r="F638" s="3492">
        <v>9</v>
      </c>
    </row>
    <row r="639" spans="2:6" ht="18.75" thickBot="1">
      <c r="B639" s="3491">
        <v>635</v>
      </c>
      <c r="C639" s="3492" t="s">
        <v>4974</v>
      </c>
      <c r="D639" s="3493" t="s">
        <v>4211</v>
      </c>
      <c r="E639" s="3493">
        <v>27.63</v>
      </c>
      <c r="F639" s="3492">
        <v>9</v>
      </c>
    </row>
    <row r="640" spans="2:6" ht="18.75" thickBot="1">
      <c r="B640" s="3491">
        <v>636</v>
      </c>
      <c r="C640" s="3492" t="s">
        <v>4974</v>
      </c>
      <c r="D640" s="3493" t="s">
        <v>4212</v>
      </c>
      <c r="E640" s="3493">
        <v>27.63</v>
      </c>
      <c r="F640" s="3492">
        <v>9</v>
      </c>
    </row>
    <row r="641" spans="2:6" ht="18.75" thickBot="1">
      <c r="B641" s="3491">
        <v>637</v>
      </c>
      <c r="C641" s="3492" t="s">
        <v>4974</v>
      </c>
      <c r="D641" s="3493" t="s">
        <v>4213</v>
      </c>
      <c r="E641" s="3493">
        <v>27.63</v>
      </c>
      <c r="F641" s="3492">
        <v>9</v>
      </c>
    </row>
    <row r="642" spans="2:6" ht="18.75" thickBot="1">
      <c r="B642" s="3491">
        <v>638</v>
      </c>
      <c r="C642" s="3492" t="s">
        <v>4974</v>
      </c>
      <c r="D642" s="3493" t="s">
        <v>4214</v>
      </c>
      <c r="E642" s="3493">
        <v>27.63</v>
      </c>
      <c r="F642" s="3492">
        <v>9</v>
      </c>
    </row>
    <row r="643" spans="2:6" ht="18.75" thickBot="1">
      <c r="B643" s="3491">
        <v>639</v>
      </c>
      <c r="C643" s="3492" t="s">
        <v>4974</v>
      </c>
      <c r="D643" s="3493" t="s">
        <v>4215</v>
      </c>
      <c r="E643" s="3493">
        <v>27.63</v>
      </c>
      <c r="F643" s="3492">
        <v>9</v>
      </c>
    </row>
    <row r="644" spans="2:6" ht="18.75" thickBot="1">
      <c r="B644" s="3491">
        <v>640</v>
      </c>
      <c r="C644" s="3492" t="s">
        <v>4974</v>
      </c>
      <c r="D644" s="3493" t="s">
        <v>4216</v>
      </c>
      <c r="E644" s="3493">
        <v>27.63</v>
      </c>
      <c r="F644" s="3492">
        <v>9</v>
      </c>
    </row>
    <row r="645" spans="2:6" ht="18.75" thickBot="1">
      <c r="B645" s="3491">
        <v>641</v>
      </c>
      <c r="C645" s="3492" t="s">
        <v>4974</v>
      </c>
      <c r="D645" s="3493" t="s">
        <v>4217</v>
      </c>
      <c r="E645" s="3493">
        <v>27.63</v>
      </c>
      <c r="F645" s="3492">
        <v>9</v>
      </c>
    </row>
    <row r="646" spans="2:6" ht="18.75" thickBot="1">
      <c r="B646" s="3491">
        <v>642</v>
      </c>
      <c r="C646" s="3492" t="s">
        <v>4974</v>
      </c>
      <c r="D646" s="3493" t="s">
        <v>4218</v>
      </c>
      <c r="E646" s="3493">
        <v>27.63</v>
      </c>
      <c r="F646" s="3492">
        <v>9</v>
      </c>
    </row>
    <row r="647" spans="2:6" ht="18.75" thickBot="1">
      <c r="B647" s="3491">
        <v>643</v>
      </c>
      <c r="C647" s="3492" t="s">
        <v>4974</v>
      </c>
      <c r="D647" s="3493" t="s">
        <v>4219</v>
      </c>
      <c r="E647" s="3493">
        <v>27.63</v>
      </c>
      <c r="F647" s="3492">
        <v>9</v>
      </c>
    </row>
    <row r="648" spans="2:6" ht="18.75" thickBot="1">
      <c r="B648" s="3491">
        <v>644</v>
      </c>
      <c r="C648" s="3492" t="s">
        <v>4974</v>
      </c>
      <c r="D648" s="3493" t="s">
        <v>4220</v>
      </c>
      <c r="E648" s="3493">
        <v>27.63</v>
      </c>
      <c r="F648" s="3492">
        <v>9</v>
      </c>
    </row>
    <row r="649" spans="2:6" ht="18.75" thickBot="1">
      <c r="B649" s="3491">
        <v>645</v>
      </c>
      <c r="C649" s="3492" t="s">
        <v>4974</v>
      </c>
      <c r="D649" s="3493" t="s">
        <v>4221</v>
      </c>
      <c r="E649" s="3493">
        <v>27.63</v>
      </c>
      <c r="F649" s="3492">
        <v>9</v>
      </c>
    </row>
    <row r="650" spans="2:6" ht="18.75" thickBot="1">
      <c r="B650" s="3491">
        <v>646</v>
      </c>
      <c r="C650" s="3492" t="s">
        <v>4974</v>
      </c>
      <c r="D650" s="3493" t="s">
        <v>4222</v>
      </c>
      <c r="E650" s="3493">
        <v>27.63</v>
      </c>
      <c r="F650" s="3492">
        <v>9</v>
      </c>
    </row>
    <row r="651" spans="2:6" ht="18.75" thickBot="1">
      <c r="B651" s="3491">
        <v>647</v>
      </c>
      <c r="C651" s="3492" t="s">
        <v>4974</v>
      </c>
      <c r="D651" s="3493" t="s">
        <v>4223</v>
      </c>
      <c r="E651" s="3493">
        <v>27.63</v>
      </c>
      <c r="F651" s="3492">
        <v>9</v>
      </c>
    </row>
    <row r="652" spans="2:6" ht="18.75" thickBot="1">
      <c r="B652" s="3491">
        <v>648</v>
      </c>
      <c r="C652" s="3492" t="s">
        <v>4974</v>
      </c>
      <c r="D652" s="3493" t="s">
        <v>4224</v>
      </c>
      <c r="E652" s="3493">
        <v>27.63</v>
      </c>
      <c r="F652" s="3492">
        <v>9</v>
      </c>
    </row>
    <row r="653" spans="2:6" ht="18.75" thickBot="1">
      <c r="B653" s="3491">
        <v>649</v>
      </c>
      <c r="C653" s="3492" t="s">
        <v>4974</v>
      </c>
      <c r="D653" s="3493" t="s">
        <v>4225</v>
      </c>
      <c r="E653" s="3493">
        <v>27.63</v>
      </c>
      <c r="F653" s="3492">
        <v>9</v>
      </c>
    </row>
    <row r="654" spans="2:6" ht="18.75" thickBot="1">
      <c r="B654" s="3491">
        <v>650</v>
      </c>
      <c r="C654" s="3492" t="s">
        <v>4974</v>
      </c>
      <c r="D654" s="3493" t="s">
        <v>4226</v>
      </c>
      <c r="E654" s="3493">
        <v>27.63</v>
      </c>
      <c r="F654" s="3492">
        <v>9</v>
      </c>
    </row>
    <row r="655" spans="2:6" ht="18.75" thickBot="1">
      <c r="B655" s="3491">
        <v>651</v>
      </c>
      <c r="C655" s="3492" t="s">
        <v>4974</v>
      </c>
      <c r="D655" s="3493" t="s">
        <v>4227</v>
      </c>
      <c r="E655" s="3493">
        <v>27.63</v>
      </c>
      <c r="F655" s="3492">
        <v>9</v>
      </c>
    </row>
    <row r="656" spans="2:6" ht="18.75" thickBot="1">
      <c r="B656" s="3491">
        <v>652</v>
      </c>
      <c r="C656" s="3492" t="s">
        <v>4974</v>
      </c>
      <c r="D656" s="3493" t="s">
        <v>4228</v>
      </c>
      <c r="E656" s="3493">
        <v>27.63</v>
      </c>
      <c r="F656" s="3492">
        <v>9</v>
      </c>
    </row>
    <row r="657" spans="2:6" ht="18.75" thickBot="1">
      <c r="B657" s="3491">
        <v>653</v>
      </c>
      <c r="C657" s="3492" t="s">
        <v>4974</v>
      </c>
      <c r="D657" s="3493" t="s">
        <v>4229</v>
      </c>
      <c r="E657" s="3493">
        <v>27.63</v>
      </c>
      <c r="F657" s="3492">
        <v>9</v>
      </c>
    </row>
    <row r="658" spans="2:6" ht="18.75" thickBot="1">
      <c r="B658" s="3491">
        <v>654</v>
      </c>
      <c r="C658" s="3492" t="s">
        <v>4974</v>
      </c>
      <c r="D658" s="3493" t="s">
        <v>4230</v>
      </c>
      <c r="E658" s="3493">
        <v>27.63</v>
      </c>
      <c r="F658" s="3492">
        <v>9</v>
      </c>
    </row>
    <row r="659" spans="2:6" ht="18.75" thickBot="1">
      <c r="B659" s="3491">
        <v>655</v>
      </c>
      <c r="C659" s="3492" t="s">
        <v>4974</v>
      </c>
      <c r="D659" s="3493" t="s">
        <v>4231</v>
      </c>
      <c r="E659" s="3493">
        <v>27.63</v>
      </c>
      <c r="F659" s="3492">
        <v>9</v>
      </c>
    </row>
    <row r="660" spans="2:6" ht="18.75" thickBot="1">
      <c r="B660" s="3491">
        <v>656</v>
      </c>
      <c r="C660" s="3492" t="s">
        <v>4974</v>
      </c>
      <c r="D660" s="3493" t="s">
        <v>4232</v>
      </c>
      <c r="E660" s="3493">
        <v>27.63</v>
      </c>
      <c r="F660" s="3492">
        <v>9</v>
      </c>
    </row>
    <row r="661" spans="2:6" ht="18.75" thickBot="1">
      <c r="B661" s="3491">
        <v>657</v>
      </c>
      <c r="C661" s="3492" t="s">
        <v>4974</v>
      </c>
      <c r="D661" s="3493" t="s">
        <v>4233</v>
      </c>
      <c r="E661" s="3493">
        <v>27.63</v>
      </c>
      <c r="F661" s="3492">
        <v>9</v>
      </c>
    </row>
    <row r="662" spans="2:6" ht="18.75" thickBot="1">
      <c r="B662" s="3491">
        <v>658</v>
      </c>
      <c r="C662" s="3492" t="s">
        <v>4974</v>
      </c>
      <c r="D662" s="3493" t="s">
        <v>4234</v>
      </c>
      <c r="E662" s="3493">
        <v>27.63</v>
      </c>
      <c r="F662" s="3492">
        <v>9</v>
      </c>
    </row>
    <row r="663" spans="2:6" ht="18.75" thickBot="1">
      <c r="B663" s="3491">
        <v>659</v>
      </c>
      <c r="C663" s="3492" t="s">
        <v>4974</v>
      </c>
      <c r="D663" s="3493" t="s">
        <v>4235</v>
      </c>
      <c r="E663" s="3493">
        <v>27.63</v>
      </c>
      <c r="F663" s="3492">
        <v>9</v>
      </c>
    </row>
    <row r="664" spans="2:6" ht="18.75" thickBot="1">
      <c r="B664" s="3491">
        <v>660</v>
      </c>
      <c r="C664" s="3492" t="s">
        <v>4974</v>
      </c>
      <c r="D664" s="3493" t="s">
        <v>4236</v>
      </c>
      <c r="E664" s="3493">
        <v>27.63</v>
      </c>
      <c r="F664" s="3492">
        <v>9</v>
      </c>
    </row>
    <row r="665" spans="2:6" ht="18.75" thickBot="1">
      <c r="B665" s="3491">
        <v>661</v>
      </c>
      <c r="C665" s="3492" t="s">
        <v>4974</v>
      </c>
      <c r="D665" s="3493" t="s">
        <v>4237</v>
      </c>
      <c r="E665" s="3493">
        <v>27.63</v>
      </c>
      <c r="F665" s="3492">
        <v>9</v>
      </c>
    </row>
    <row r="666" spans="2:6" ht="18.75" thickBot="1">
      <c r="B666" s="3491">
        <v>662</v>
      </c>
      <c r="C666" s="3492" t="s">
        <v>4974</v>
      </c>
      <c r="D666" s="3493" t="s">
        <v>4238</v>
      </c>
      <c r="E666" s="3493">
        <v>27.63</v>
      </c>
      <c r="F666" s="3492">
        <v>9</v>
      </c>
    </row>
    <row r="667" spans="2:6" ht="18.75" thickBot="1">
      <c r="B667" s="3491">
        <v>663</v>
      </c>
      <c r="C667" s="3492" t="s">
        <v>4974</v>
      </c>
      <c r="D667" s="3493" t="s">
        <v>4239</v>
      </c>
      <c r="E667" s="3493">
        <v>27.63</v>
      </c>
      <c r="F667" s="3492">
        <v>9</v>
      </c>
    </row>
    <row r="668" spans="2:6" ht="18.75" thickBot="1">
      <c r="B668" s="3491">
        <v>664</v>
      </c>
      <c r="C668" s="3492" t="s">
        <v>4974</v>
      </c>
      <c r="D668" s="3493" t="s">
        <v>4240</v>
      </c>
      <c r="E668" s="3493">
        <v>27.63</v>
      </c>
      <c r="F668" s="3492">
        <v>9</v>
      </c>
    </row>
    <row r="669" spans="2:6" ht="18.75" thickBot="1">
      <c r="B669" s="3491">
        <v>665</v>
      </c>
      <c r="C669" s="3492" t="s">
        <v>4974</v>
      </c>
      <c r="D669" s="3493" t="s">
        <v>4241</v>
      </c>
      <c r="E669" s="3493">
        <v>27.63</v>
      </c>
      <c r="F669" s="3492">
        <v>9</v>
      </c>
    </row>
    <row r="670" spans="2:6" ht="18.75" thickBot="1">
      <c r="B670" s="3491">
        <v>666</v>
      </c>
      <c r="C670" s="3492" t="s">
        <v>4974</v>
      </c>
      <c r="D670" s="3493" t="s">
        <v>4242</v>
      </c>
      <c r="E670" s="3493">
        <v>27.63</v>
      </c>
      <c r="F670" s="3492">
        <v>9</v>
      </c>
    </row>
    <row r="671" spans="2:6" ht="18.75" thickBot="1">
      <c r="B671" s="3491">
        <v>667</v>
      </c>
      <c r="C671" s="3492" t="s">
        <v>4974</v>
      </c>
      <c r="D671" s="3493" t="s">
        <v>4243</v>
      </c>
      <c r="E671" s="3493">
        <v>27.63</v>
      </c>
      <c r="F671" s="3492">
        <v>9</v>
      </c>
    </row>
    <row r="672" spans="2:6" ht="18.75" thickBot="1">
      <c r="B672" s="3491">
        <v>668</v>
      </c>
      <c r="C672" s="3492" t="s">
        <v>4974</v>
      </c>
      <c r="D672" s="3493" t="s">
        <v>4244</v>
      </c>
      <c r="E672" s="3493">
        <v>27.63</v>
      </c>
      <c r="F672" s="3492">
        <v>9</v>
      </c>
    </row>
    <row r="673" spans="2:6" ht="18.75" thickBot="1">
      <c r="B673" s="3491">
        <v>669</v>
      </c>
      <c r="C673" s="3492" t="s">
        <v>4974</v>
      </c>
      <c r="D673" s="3493" t="s">
        <v>4245</v>
      </c>
      <c r="E673" s="3493">
        <v>27.63</v>
      </c>
      <c r="F673" s="3492">
        <v>9</v>
      </c>
    </row>
    <row r="674" spans="2:6" ht="18.75" thickBot="1">
      <c r="B674" s="3491">
        <v>670</v>
      </c>
      <c r="C674" s="3492" t="s">
        <v>4974</v>
      </c>
      <c r="D674" s="3493" t="s">
        <v>4246</v>
      </c>
      <c r="E674" s="3493">
        <v>27.63</v>
      </c>
      <c r="F674" s="3492">
        <v>9</v>
      </c>
    </row>
    <row r="675" spans="2:6" ht="18.75" thickBot="1">
      <c r="B675" s="3491">
        <v>671</v>
      </c>
      <c r="C675" s="3492" t="s">
        <v>4974</v>
      </c>
      <c r="D675" s="3493" t="s">
        <v>4247</v>
      </c>
      <c r="E675" s="3493">
        <v>27.63</v>
      </c>
      <c r="F675" s="3492">
        <v>9</v>
      </c>
    </row>
    <row r="676" spans="2:6" ht="18.75" thickBot="1">
      <c r="B676" s="3491">
        <v>672</v>
      </c>
      <c r="C676" s="3492" t="s">
        <v>4974</v>
      </c>
      <c r="D676" s="3493" t="s">
        <v>4248</v>
      </c>
      <c r="E676" s="3493">
        <v>27.63</v>
      </c>
      <c r="F676" s="3492">
        <v>9</v>
      </c>
    </row>
    <row r="677" spans="2:6" ht="18.75" thickBot="1">
      <c r="B677" s="3491">
        <v>673</v>
      </c>
      <c r="C677" s="3492" t="s">
        <v>4974</v>
      </c>
      <c r="D677" s="3493" t="s">
        <v>4249</v>
      </c>
      <c r="E677" s="3493">
        <v>27.63</v>
      </c>
      <c r="F677" s="3492">
        <v>9</v>
      </c>
    </row>
    <row r="678" spans="2:6" ht="18.75" thickBot="1">
      <c r="B678" s="3491">
        <v>674</v>
      </c>
      <c r="C678" s="3492" t="s">
        <v>4974</v>
      </c>
      <c r="D678" s="3493" t="s">
        <v>4250</v>
      </c>
      <c r="E678" s="3493">
        <v>27.63</v>
      </c>
      <c r="F678" s="3492">
        <v>9</v>
      </c>
    </row>
    <row r="679" spans="2:6" ht="18.75" thickBot="1">
      <c r="B679" s="3491">
        <v>675</v>
      </c>
      <c r="C679" s="3492" t="s">
        <v>4974</v>
      </c>
      <c r="D679" s="3493" t="s">
        <v>4251</v>
      </c>
      <c r="E679" s="3493">
        <v>27.63</v>
      </c>
      <c r="F679" s="3492">
        <v>9</v>
      </c>
    </row>
    <row r="680" spans="2:6" ht="18.75" thickBot="1">
      <c r="B680" s="3491">
        <v>676</v>
      </c>
      <c r="C680" s="3492" t="s">
        <v>4974</v>
      </c>
      <c r="D680" s="3493" t="s">
        <v>4252</v>
      </c>
      <c r="E680" s="3493">
        <v>27.63</v>
      </c>
      <c r="F680" s="3492">
        <v>9</v>
      </c>
    </row>
    <row r="681" spans="2:6" ht="18.75" thickBot="1">
      <c r="B681" s="3491">
        <v>677</v>
      </c>
      <c r="C681" s="3492" t="s">
        <v>4974</v>
      </c>
      <c r="D681" s="3493" t="s">
        <v>4253</v>
      </c>
      <c r="E681" s="3493">
        <v>27.63</v>
      </c>
      <c r="F681" s="3492">
        <v>9</v>
      </c>
    </row>
    <row r="682" spans="2:6" ht="18.75" thickBot="1">
      <c r="B682" s="3491">
        <v>678</v>
      </c>
      <c r="C682" s="3492" t="s">
        <v>4974</v>
      </c>
      <c r="D682" s="3493" t="s">
        <v>4254</v>
      </c>
      <c r="E682" s="3493">
        <v>27.63</v>
      </c>
      <c r="F682" s="3492">
        <v>9</v>
      </c>
    </row>
    <row r="683" spans="2:6" ht="18.75" thickBot="1">
      <c r="B683" s="3491">
        <v>679</v>
      </c>
      <c r="C683" s="3492" t="s">
        <v>4974</v>
      </c>
      <c r="D683" s="3493" t="s">
        <v>4255</v>
      </c>
      <c r="E683" s="3493">
        <v>27.63</v>
      </c>
      <c r="F683" s="3492">
        <v>9</v>
      </c>
    </row>
    <row r="684" spans="2:6" ht="18.75" thickBot="1">
      <c r="B684" s="3491">
        <v>680</v>
      </c>
      <c r="C684" s="3492" t="s">
        <v>4974</v>
      </c>
      <c r="D684" s="3493" t="s">
        <v>4256</v>
      </c>
      <c r="E684" s="3493">
        <v>27.63</v>
      </c>
      <c r="F684" s="3492">
        <v>9</v>
      </c>
    </row>
    <row r="685" spans="2:6" ht="18.75" thickBot="1">
      <c r="B685" s="3491">
        <v>681</v>
      </c>
      <c r="C685" s="3492" t="s">
        <v>4974</v>
      </c>
      <c r="D685" s="3493" t="s">
        <v>4257</v>
      </c>
      <c r="E685" s="3493">
        <v>27.63</v>
      </c>
      <c r="F685" s="3492">
        <v>9</v>
      </c>
    </row>
    <row r="686" spans="2:6" ht="18.75" thickBot="1">
      <c r="B686" s="3491">
        <v>682</v>
      </c>
      <c r="C686" s="3492" t="s">
        <v>4974</v>
      </c>
      <c r="D686" s="3493" t="s">
        <v>4258</v>
      </c>
      <c r="E686" s="3493">
        <v>27.63</v>
      </c>
      <c r="F686" s="3492">
        <v>9</v>
      </c>
    </row>
    <row r="687" spans="2:6" ht="18.75" thickBot="1">
      <c r="B687" s="3491">
        <v>683</v>
      </c>
      <c r="C687" s="3492" t="s">
        <v>4974</v>
      </c>
      <c r="D687" s="3493" t="s">
        <v>4259</v>
      </c>
      <c r="E687" s="3493">
        <v>27.63</v>
      </c>
      <c r="F687" s="3492">
        <v>9</v>
      </c>
    </row>
    <row r="688" spans="2:6" ht="18.75" thickBot="1">
      <c r="B688" s="3491">
        <v>684</v>
      </c>
      <c r="C688" s="3492" t="s">
        <v>4974</v>
      </c>
      <c r="D688" s="3493" t="s">
        <v>4260</v>
      </c>
      <c r="E688" s="3493">
        <v>27.63</v>
      </c>
      <c r="F688" s="3492">
        <v>9</v>
      </c>
    </row>
    <row r="689" spans="2:6" ht="18.75" thickBot="1">
      <c r="B689" s="3491">
        <v>685</v>
      </c>
      <c r="C689" s="3492" t="s">
        <v>4974</v>
      </c>
      <c r="D689" s="3493" t="s">
        <v>4261</v>
      </c>
      <c r="E689" s="3493">
        <v>27.63</v>
      </c>
      <c r="F689" s="3492">
        <v>9</v>
      </c>
    </row>
    <row r="690" spans="2:6" ht="18.75" thickBot="1">
      <c r="B690" s="3491">
        <v>686</v>
      </c>
      <c r="C690" s="3492" t="s">
        <v>4974</v>
      </c>
      <c r="D690" s="3493" t="s">
        <v>4262</v>
      </c>
      <c r="E690" s="3493">
        <v>27.63</v>
      </c>
      <c r="F690" s="3492">
        <v>9</v>
      </c>
    </row>
    <row r="691" spans="2:6" ht="18.75" thickBot="1">
      <c r="B691" s="3491">
        <v>687</v>
      </c>
      <c r="C691" s="3492" t="s">
        <v>4974</v>
      </c>
      <c r="D691" s="3493" t="s">
        <v>4263</v>
      </c>
      <c r="E691" s="3493">
        <v>27.63</v>
      </c>
      <c r="F691" s="3492">
        <v>9</v>
      </c>
    </row>
    <row r="692" spans="2:6" ht="18.75" thickBot="1">
      <c r="B692" s="3491">
        <v>688</v>
      </c>
      <c r="C692" s="3492" t="s">
        <v>4974</v>
      </c>
      <c r="D692" s="3493" t="s">
        <v>4264</v>
      </c>
      <c r="E692" s="3493">
        <v>27.63</v>
      </c>
      <c r="F692" s="3492">
        <v>9</v>
      </c>
    </row>
    <row r="693" spans="2:6" ht="18.75" thickBot="1">
      <c r="B693" s="3491">
        <v>689</v>
      </c>
      <c r="C693" s="3492" t="s">
        <v>4974</v>
      </c>
      <c r="D693" s="3493" t="s">
        <v>4265</v>
      </c>
      <c r="E693" s="3493">
        <v>27.63</v>
      </c>
      <c r="F693" s="3492">
        <v>9</v>
      </c>
    </row>
    <row r="694" spans="2:6" ht="18.75" thickBot="1">
      <c r="B694" s="3491">
        <v>690</v>
      </c>
      <c r="C694" s="3492" t="s">
        <v>4974</v>
      </c>
      <c r="D694" s="3493" t="s">
        <v>4266</v>
      </c>
      <c r="E694" s="3493">
        <v>27.63</v>
      </c>
      <c r="F694" s="3492">
        <v>9</v>
      </c>
    </row>
    <row r="695" spans="2:6" ht="18.75" thickBot="1">
      <c r="B695" s="3491">
        <v>691</v>
      </c>
      <c r="C695" s="3492" t="s">
        <v>4974</v>
      </c>
      <c r="D695" s="3493" t="s">
        <v>4267</v>
      </c>
      <c r="E695" s="3493">
        <v>27.63</v>
      </c>
      <c r="F695" s="3492">
        <v>9</v>
      </c>
    </row>
    <row r="696" spans="2:6" ht="18.75" thickBot="1">
      <c r="B696" s="3491">
        <v>692</v>
      </c>
      <c r="C696" s="3492" t="s">
        <v>4974</v>
      </c>
      <c r="D696" s="3493" t="s">
        <v>4268</v>
      </c>
      <c r="E696" s="3493">
        <v>27.63</v>
      </c>
      <c r="F696" s="3492">
        <v>9</v>
      </c>
    </row>
    <row r="697" spans="2:6" ht="18.75" thickBot="1">
      <c r="B697" s="3491">
        <v>693</v>
      </c>
      <c r="C697" s="3492" t="s">
        <v>4974</v>
      </c>
      <c r="D697" s="3493" t="s">
        <v>4269</v>
      </c>
      <c r="E697" s="3493">
        <v>27.63</v>
      </c>
      <c r="F697" s="3492">
        <v>9</v>
      </c>
    </row>
    <row r="698" spans="2:6" ht="18.75" thickBot="1">
      <c r="B698" s="3491">
        <v>694</v>
      </c>
      <c r="C698" s="3492" t="s">
        <v>4974</v>
      </c>
      <c r="D698" s="3493" t="s">
        <v>4270</v>
      </c>
      <c r="E698" s="3493">
        <v>27.63</v>
      </c>
      <c r="F698" s="3492">
        <v>9</v>
      </c>
    </row>
    <row r="699" spans="2:6" ht="18.75" thickBot="1">
      <c r="B699" s="3491">
        <v>695</v>
      </c>
      <c r="C699" s="3492" t="s">
        <v>4974</v>
      </c>
      <c r="D699" s="3493" t="s">
        <v>4271</v>
      </c>
      <c r="E699" s="3493">
        <v>27.63</v>
      </c>
      <c r="F699" s="3492">
        <v>9</v>
      </c>
    </row>
    <row r="700" spans="2:6" ht="18.75" thickBot="1">
      <c r="B700" s="3491">
        <v>696</v>
      </c>
      <c r="C700" s="3492" t="s">
        <v>4974</v>
      </c>
      <c r="D700" s="3493" t="s">
        <v>4272</v>
      </c>
      <c r="E700" s="3493">
        <v>27.63</v>
      </c>
      <c r="F700" s="3492">
        <v>9</v>
      </c>
    </row>
    <row r="701" spans="2:6" ht="18.75" thickBot="1">
      <c r="B701" s="3491">
        <v>697</v>
      </c>
      <c r="C701" s="3492" t="s">
        <v>4974</v>
      </c>
      <c r="D701" s="3493" t="s">
        <v>4273</v>
      </c>
      <c r="E701" s="3493">
        <v>27.63</v>
      </c>
      <c r="F701" s="3492">
        <v>9</v>
      </c>
    </row>
    <row r="702" spans="2:6" ht="18.75" thickBot="1">
      <c r="B702" s="3491">
        <v>698</v>
      </c>
      <c r="C702" s="3492" t="s">
        <v>4974</v>
      </c>
      <c r="D702" s="3493" t="s">
        <v>4274</v>
      </c>
      <c r="E702" s="3493">
        <v>27.63</v>
      </c>
      <c r="F702" s="3492">
        <v>9</v>
      </c>
    </row>
    <row r="703" spans="2:6" ht="18.75" thickBot="1">
      <c r="B703" s="3491">
        <v>699</v>
      </c>
      <c r="C703" s="3492" t="s">
        <v>4974</v>
      </c>
      <c r="D703" s="3493" t="s">
        <v>4275</v>
      </c>
      <c r="E703" s="3493">
        <v>27.63</v>
      </c>
      <c r="F703" s="3492">
        <v>9</v>
      </c>
    </row>
    <row r="704" spans="2:6" ht="18.75" thickBot="1">
      <c r="B704" s="3491">
        <v>700</v>
      </c>
      <c r="C704" s="3492" t="s">
        <v>4974</v>
      </c>
      <c r="D704" s="3493" t="s">
        <v>4276</v>
      </c>
      <c r="E704" s="3493">
        <v>27.63</v>
      </c>
      <c r="F704" s="3492">
        <v>9</v>
      </c>
    </row>
    <row r="705" spans="2:6" ht="18.75" thickBot="1">
      <c r="B705" s="3491">
        <v>701</v>
      </c>
      <c r="C705" s="3492" t="s">
        <v>4974</v>
      </c>
      <c r="D705" s="3493" t="s">
        <v>4277</v>
      </c>
      <c r="E705" s="3493">
        <v>27.63</v>
      </c>
      <c r="F705" s="3492">
        <v>9</v>
      </c>
    </row>
    <row r="706" spans="2:6" ht="18.75" thickBot="1">
      <c r="B706" s="3491">
        <v>702</v>
      </c>
      <c r="C706" s="3492" t="s">
        <v>4974</v>
      </c>
      <c r="D706" s="3493" t="s">
        <v>4278</v>
      </c>
      <c r="E706" s="3493">
        <v>27.63</v>
      </c>
      <c r="F706" s="3492">
        <v>9</v>
      </c>
    </row>
    <row r="707" spans="2:6" ht="18.75" thickBot="1">
      <c r="B707" s="3491">
        <v>703</v>
      </c>
      <c r="C707" s="3492" t="s">
        <v>4974</v>
      </c>
      <c r="D707" s="3493" t="s">
        <v>4279</v>
      </c>
      <c r="E707" s="3493">
        <v>27.63</v>
      </c>
      <c r="F707" s="3492">
        <v>9</v>
      </c>
    </row>
    <row r="708" spans="2:6" ht="18.75" thickBot="1">
      <c r="B708" s="3491">
        <v>704</v>
      </c>
      <c r="C708" s="3492" t="s">
        <v>4974</v>
      </c>
      <c r="D708" s="3493" t="s">
        <v>4280</v>
      </c>
      <c r="E708" s="3493">
        <v>27.63</v>
      </c>
      <c r="F708" s="3492">
        <v>9</v>
      </c>
    </row>
    <row r="709" spans="2:6" ht="18.75" thickBot="1">
      <c r="B709" s="3491">
        <v>705</v>
      </c>
      <c r="C709" s="3492" t="s">
        <v>4974</v>
      </c>
      <c r="D709" s="3493" t="s">
        <v>4281</v>
      </c>
      <c r="E709" s="3493">
        <v>27.63</v>
      </c>
      <c r="F709" s="3492">
        <v>9</v>
      </c>
    </row>
    <row r="710" spans="2:6" ht="18.75" thickBot="1">
      <c r="B710" s="3491">
        <v>706</v>
      </c>
      <c r="C710" s="3492" t="s">
        <v>4974</v>
      </c>
      <c r="D710" s="3493" t="s">
        <v>4282</v>
      </c>
      <c r="E710" s="3493">
        <v>27.63</v>
      </c>
      <c r="F710" s="3492">
        <v>9</v>
      </c>
    </row>
    <row r="711" spans="2:6" ht="18.75" thickBot="1">
      <c r="B711" s="3491">
        <v>707</v>
      </c>
      <c r="C711" s="3492" t="s">
        <v>4974</v>
      </c>
      <c r="D711" s="3493" t="s">
        <v>4283</v>
      </c>
      <c r="E711" s="3493">
        <v>27.63</v>
      </c>
      <c r="F711" s="3492">
        <v>9</v>
      </c>
    </row>
    <row r="712" spans="2:6" ht="18.75" thickBot="1">
      <c r="B712" s="3491">
        <v>708</v>
      </c>
      <c r="C712" s="3492" t="s">
        <v>4974</v>
      </c>
      <c r="D712" s="3493" t="s">
        <v>4284</v>
      </c>
      <c r="E712" s="3493">
        <v>27.63</v>
      </c>
      <c r="F712" s="3492">
        <v>9</v>
      </c>
    </row>
    <row r="713" spans="2:6" ht="18.75" thickBot="1">
      <c r="B713" s="3491">
        <v>709</v>
      </c>
      <c r="C713" s="3492" t="s">
        <v>4974</v>
      </c>
      <c r="D713" s="3493" t="s">
        <v>4285</v>
      </c>
      <c r="E713" s="3493">
        <v>27.63</v>
      </c>
      <c r="F713" s="3492">
        <v>9</v>
      </c>
    </row>
    <row r="714" spans="2:6" ht="18.75" thickBot="1">
      <c r="B714" s="3491">
        <v>710</v>
      </c>
      <c r="C714" s="3492" t="s">
        <v>4974</v>
      </c>
      <c r="D714" s="3493" t="s">
        <v>4286</v>
      </c>
      <c r="E714" s="3493">
        <v>27.63</v>
      </c>
      <c r="F714" s="3492">
        <v>9</v>
      </c>
    </row>
    <row r="715" spans="2:6" ht="18.75" thickBot="1">
      <c r="B715" s="3491">
        <v>711</v>
      </c>
      <c r="C715" s="3492" t="s">
        <v>4974</v>
      </c>
      <c r="D715" s="3493" t="s">
        <v>4287</v>
      </c>
      <c r="E715" s="3493">
        <v>27.63</v>
      </c>
      <c r="F715" s="3492">
        <v>9</v>
      </c>
    </row>
    <row r="716" spans="2:6" ht="18.75" thickBot="1">
      <c r="B716" s="3491">
        <v>712</v>
      </c>
      <c r="C716" s="3492" t="s">
        <v>4974</v>
      </c>
      <c r="D716" s="3493" t="s">
        <v>4288</v>
      </c>
      <c r="E716" s="3493">
        <v>27.63</v>
      </c>
      <c r="F716" s="3492">
        <v>9</v>
      </c>
    </row>
    <row r="717" spans="2:6" ht="18.75" thickBot="1">
      <c r="B717" s="3491">
        <v>713</v>
      </c>
      <c r="C717" s="3492" t="s">
        <v>4974</v>
      </c>
      <c r="D717" s="3493" t="s">
        <v>4289</v>
      </c>
      <c r="E717" s="3493">
        <v>27.63</v>
      </c>
      <c r="F717" s="3492">
        <v>9</v>
      </c>
    </row>
    <row r="718" spans="2:6" ht="18.75" thickBot="1">
      <c r="B718" s="3491">
        <v>714</v>
      </c>
      <c r="C718" s="3492" t="s">
        <v>4974</v>
      </c>
      <c r="D718" s="3493" t="s">
        <v>4290</v>
      </c>
      <c r="E718" s="3493">
        <v>27.63</v>
      </c>
      <c r="F718" s="3492">
        <v>9</v>
      </c>
    </row>
    <row r="719" spans="2:6" ht="18.75" thickBot="1">
      <c r="B719" s="3491">
        <v>715</v>
      </c>
      <c r="C719" s="3492" t="s">
        <v>4974</v>
      </c>
      <c r="D719" s="3493" t="s">
        <v>4291</v>
      </c>
      <c r="E719" s="3493">
        <v>27.63</v>
      </c>
      <c r="F719" s="3492">
        <v>9</v>
      </c>
    </row>
    <row r="720" spans="2:6" ht="18.75" thickBot="1">
      <c r="B720" s="3491">
        <v>716</v>
      </c>
      <c r="C720" s="3492" t="s">
        <v>4974</v>
      </c>
      <c r="D720" s="3493" t="s">
        <v>4292</v>
      </c>
      <c r="E720" s="3493">
        <v>27.63</v>
      </c>
      <c r="F720" s="3492">
        <v>9</v>
      </c>
    </row>
    <row r="721" spans="2:6" ht="18.75" thickBot="1">
      <c r="B721" s="3491">
        <v>717</v>
      </c>
      <c r="C721" s="3492" t="s">
        <v>4974</v>
      </c>
      <c r="D721" s="3493" t="s">
        <v>4293</v>
      </c>
      <c r="E721" s="3493">
        <v>27.63</v>
      </c>
      <c r="F721" s="3492">
        <v>9</v>
      </c>
    </row>
    <row r="722" spans="2:6" ht="18.75" thickBot="1">
      <c r="B722" s="3491">
        <v>718</v>
      </c>
      <c r="C722" s="3492" t="s">
        <v>4974</v>
      </c>
      <c r="D722" s="3493" t="s">
        <v>4294</v>
      </c>
      <c r="E722" s="3493">
        <v>27.63</v>
      </c>
      <c r="F722" s="3492">
        <v>9</v>
      </c>
    </row>
    <row r="723" spans="2:6" ht="18.75" thickBot="1">
      <c r="B723" s="3491">
        <v>719</v>
      </c>
      <c r="C723" s="3492" t="s">
        <v>4974</v>
      </c>
      <c r="D723" s="3493" t="s">
        <v>4295</v>
      </c>
      <c r="E723" s="3493">
        <v>27.63</v>
      </c>
      <c r="F723" s="3492">
        <v>9</v>
      </c>
    </row>
    <row r="724" spans="2:6" ht="18.75" thickBot="1">
      <c r="B724" s="3491">
        <v>720</v>
      </c>
      <c r="C724" s="3492" t="s">
        <v>4974</v>
      </c>
      <c r="D724" s="3493" t="s">
        <v>4296</v>
      </c>
      <c r="E724" s="3493">
        <v>27.63</v>
      </c>
      <c r="F724" s="3492">
        <v>9</v>
      </c>
    </row>
    <row r="725" spans="2:6" ht="18.75" thickBot="1">
      <c r="B725" s="3491">
        <v>721</v>
      </c>
      <c r="C725" s="3492" t="s">
        <v>4974</v>
      </c>
      <c r="D725" s="3493" t="s">
        <v>4297</v>
      </c>
      <c r="E725" s="3493">
        <v>27.63</v>
      </c>
      <c r="F725" s="3492">
        <v>9</v>
      </c>
    </row>
    <row r="726" spans="2:6" ht="18.75" thickBot="1">
      <c r="B726" s="3491">
        <v>722</v>
      </c>
      <c r="C726" s="3492" t="s">
        <v>4974</v>
      </c>
      <c r="D726" s="3493" t="s">
        <v>4298</v>
      </c>
      <c r="E726" s="3493">
        <v>27.63</v>
      </c>
      <c r="F726" s="3492">
        <v>9</v>
      </c>
    </row>
    <row r="727" spans="2:6" ht="18.75" thickBot="1">
      <c r="B727" s="3491">
        <v>723</v>
      </c>
      <c r="C727" s="3492" t="s">
        <v>4974</v>
      </c>
      <c r="D727" s="3493" t="s">
        <v>4299</v>
      </c>
      <c r="E727" s="3493">
        <v>27.63</v>
      </c>
      <c r="F727" s="3492">
        <v>9</v>
      </c>
    </row>
    <row r="728" spans="2:6" ht="18.75" thickBot="1">
      <c r="B728" s="3491">
        <v>724</v>
      </c>
      <c r="C728" s="3492" t="s">
        <v>4974</v>
      </c>
      <c r="D728" s="3493" t="s">
        <v>4300</v>
      </c>
      <c r="E728" s="3493">
        <v>27.63</v>
      </c>
      <c r="F728" s="3492">
        <v>9</v>
      </c>
    </row>
    <row r="729" spans="2:6" ht="18.75" thickBot="1">
      <c r="B729" s="3491">
        <v>725</v>
      </c>
      <c r="C729" s="3492" t="s">
        <v>4974</v>
      </c>
      <c r="D729" s="3493" t="s">
        <v>4301</v>
      </c>
      <c r="E729" s="3493">
        <v>27.63</v>
      </c>
      <c r="F729" s="3492">
        <v>9</v>
      </c>
    </row>
    <row r="730" spans="2:6" ht="18.75" thickBot="1">
      <c r="B730" s="3491">
        <v>726</v>
      </c>
      <c r="C730" s="3492" t="s">
        <v>4974</v>
      </c>
      <c r="D730" s="3493" t="s">
        <v>4302</v>
      </c>
      <c r="E730" s="3493">
        <v>27.63</v>
      </c>
      <c r="F730" s="3492">
        <v>9</v>
      </c>
    </row>
    <row r="731" spans="2:6" ht="18.75" thickBot="1">
      <c r="B731" s="3491">
        <v>727</v>
      </c>
      <c r="C731" s="3492" t="s">
        <v>4974</v>
      </c>
      <c r="D731" s="3493" t="s">
        <v>4303</v>
      </c>
      <c r="E731" s="3493">
        <v>27.63</v>
      </c>
      <c r="F731" s="3492">
        <v>9</v>
      </c>
    </row>
    <row r="732" spans="2:6" ht="18.75" thickBot="1">
      <c r="B732" s="3491">
        <v>728</v>
      </c>
      <c r="C732" s="3492" t="s">
        <v>4974</v>
      </c>
      <c r="D732" s="3493" t="s">
        <v>4304</v>
      </c>
      <c r="E732" s="3493">
        <v>27.63</v>
      </c>
      <c r="F732" s="3492">
        <v>9</v>
      </c>
    </row>
    <row r="733" spans="2:6" ht="18.75" thickBot="1">
      <c r="B733" s="3491">
        <v>729</v>
      </c>
      <c r="C733" s="3492" t="s">
        <v>4974</v>
      </c>
      <c r="D733" s="3493" t="s">
        <v>4305</v>
      </c>
      <c r="E733" s="3493">
        <v>27.63</v>
      </c>
      <c r="F733" s="3492">
        <v>9</v>
      </c>
    </row>
    <row r="734" spans="2:6" ht="18.75" thickBot="1">
      <c r="B734" s="3491">
        <v>730</v>
      </c>
      <c r="C734" s="3492" t="s">
        <v>4974</v>
      </c>
      <c r="D734" s="3493" t="s">
        <v>4306</v>
      </c>
      <c r="E734" s="3493">
        <v>27.63</v>
      </c>
      <c r="F734" s="3492">
        <v>9</v>
      </c>
    </row>
    <row r="735" spans="2:6" ht="18.75" thickBot="1">
      <c r="B735" s="3491">
        <v>731</v>
      </c>
      <c r="C735" s="3492" t="s">
        <v>4974</v>
      </c>
      <c r="D735" s="3493" t="s">
        <v>4307</v>
      </c>
      <c r="E735" s="3493">
        <v>27.63</v>
      </c>
      <c r="F735" s="3492">
        <v>9</v>
      </c>
    </row>
    <row r="736" spans="2:6" ht="18.75" thickBot="1">
      <c r="B736" s="3491">
        <v>732</v>
      </c>
      <c r="C736" s="3492" t="s">
        <v>4974</v>
      </c>
      <c r="D736" s="3493" t="s">
        <v>4308</v>
      </c>
      <c r="E736" s="3493">
        <v>27.63</v>
      </c>
      <c r="F736" s="3492">
        <v>9</v>
      </c>
    </row>
    <row r="737" spans="2:6" ht="18.75" thickBot="1">
      <c r="B737" s="3491">
        <v>733</v>
      </c>
      <c r="C737" s="3492" t="s">
        <v>4974</v>
      </c>
      <c r="D737" s="3493" t="s">
        <v>4309</v>
      </c>
      <c r="E737" s="3493">
        <v>27.63</v>
      </c>
      <c r="F737" s="3492">
        <v>9</v>
      </c>
    </row>
    <row r="738" spans="2:6" ht="18.75" thickBot="1">
      <c r="B738" s="3491">
        <v>734</v>
      </c>
      <c r="C738" s="3492" t="s">
        <v>4974</v>
      </c>
      <c r="D738" s="3493" t="s">
        <v>4310</v>
      </c>
      <c r="E738" s="3493">
        <v>27.63</v>
      </c>
      <c r="F738" s="3492">
        <v>9</v>
      </c>
    </row>
    <row r="739" spans="2:6" ht="18.75" thickBot="1">
      <c r="B739" s="3491">
        <v>735</v>
      </c>
      <c r="C739" s="3492" t="s">
        <v>4974</v>
      </c>
      <c r="D739" s="3493" t="s">
        <v>4311</v>
      </c>
      <c r="E739" s="3493">
        <v>27.63</v>
      </c>
      <c r="F739" s="3492">
        <v>9</v>
      </c>
    </row>
    <row r="740" spans="2:6" ht="18.75" thickBot="1">
      <c r="B740" s="3491">
        <v>736</v>
      </c>
      <c r="C740" s="3492" t="s">
        <v>4974</v>
      </c>
      <c r="D740" s="3493" t="s">
        <v>4312</v>
      </c>
      <c r="E740" s="3493">
        <v>27.63</v>
      </c>
      <c r="F740" s="3492">
        <v>9</v>
      </c>
    </row>
    <row r="741" spans="2:6" ht="18.75" thickBot="1">
      <c r="B741" s="3491">
        <v>737</v>
      </c>
      <c r="C741" s="3492" t="s">
        <v>4974</v>
      </c>
      <c r="D741" s="3493" t="s">
        <v>4313</v>
      </c>
      <c r="E741" s="3493">
        <v>27.63</v>
      </c>
      <c r="F741" s="3492">
        <v>9</v>
      </c>
    </row>
    <row r="742" spans="2:6" ht="18.75" thickBot="1">
      <c r="B742" s="3491">
        <v>738</v>
      </c>
      <c r="C742" s="3492" t="s">
        <v>4974</v>
      </c>
      <c r="D742" s="3493" t="s">
        <v>4314</v>
      </c>
      <c r="E742" s="3493">
        <v>27.63</v>
      </c>
      <c r="F742" s="3492">
        <v>9</v>
      </c>
    </row>
    <row r="743" spans="2:6" ht="18.75" thickBot="1">
      <c r="B743" s="3491">
        <v>739</v>
      </c>
      <c r="C743" s="3492" t="s">
        <v>4974</v>
      </c>
      <c r="D743" s="3493" t="s">
        <v>4315</v>
      </c>
      <c r="E743" s="3493">
        <v>27.63</v>
      </c>
      <c r="F743" s="3492">
        <v>9</v>
      </c>
    </row>
    <row r="744" spans="2:6" ht="18.75" thickBot="1">
      <c r="B744" s="3491">
        <v>740</v>
      </c>
      <c r="C744" s="3492" t="s">
        <v>4974</v>
      </c>
      <c r="D744" s="3493" t="s">
        <v>4316</v>
      </c>
      <c r="E744" s="3493">
        <v>27.63</v>
      </c>
      <c r="F744" s="3492">
        <v>9</v>
      </c>
    </row>
    <row r="745" spans="2:6" ht="18.75" thickBot="1">
      <c r="B745" s="3491">
        <v>741</v>
      </c>
      <c r="C745" s="3492" t="s">
        <v>4974</v>
      </c>
      <c r="D745" s="3493" t="s">
        <v>4317</v>
      </c>
      <c r="E745" s="3493">
        <v>27.63</v>
      </c>
      <c r="F745" s="3492">
        <v>9</v>
      </c>
    </row>
    <row r="746" spans="2:6" ht="18.75" thickBot="1">
      <c r="B746" s="3491">
        <v>742</v>
      </c>
      <c r="C746" s="3492" t="s">
        <v>4974</v>
      </c>
      <c r="D746" s="3493" t="s">
        <v>4318</v>
      </c>
      <c r="E746" s="3493">
        <v>27.63</v>
      </c>
      <c r="F746" s="3492">
        <v>9</v>
      </c>
    </row>
    <row r="747" spans="2:6" ht="18.75" thickBot="1">
      <c r="B747" s="3491">
        <v>743</v>
      </c>
      <c r="C747" s="3492" t="s">
        <v>4974</v>
      </c>
      <c r="D747" s="3493" t="s">
        <v>4319</v>
      </c>
      <c r="E747" s="3493">
        <v>27.63</v>
      </c>
      <c r="F747" s="3492">
        <v>9</v>
      </c>
    </row>
    <row r="748" spans="2:6" ht="18.75" thickBot="1">
      <c r="B748" s="3491">
        <v>744</v>
      </c>
      <c r="C748" s="3492" t="s">
        <v>4974</v>
      </c>
      <c r="D748" s="3493" t="s">
        <v>4320</v>
      </c>
      <c r="E748" s="3493">
        <v>27.63</v>
      </c>
      <c r="F748" s="3492">
        <v>9</v>
      </c>
    </row>
    <row r="749" spans="2:6" ht="18.75" thickBot="1">
      <c r="B749" s="3491">
        <v>745</v>
      </c>
      <c r="C749" s="3492" t="s">
        <v>4974</v>
      </c>
      <c r="D749" s="3493" t="s">
        <v>4321</v>
      </c>
      <c r="E749" s="3493">
        <v>27.63</v>
      </c>
      <c r="F749" s="3492">
        <v>9</v>
      </c>
    </row>
    <row r="750" spans="2:6" ht="18.75" thickBot="1">
      <c r="B750" s="3491">
        <v>746</v>
      </c>
      <c r="C750" s="3492" t="s">
        <v>4974</v>
      </c>
      <c r="D750" s="3493" t="s">
        <v>4322</v>
      </c>
      <c r="E750" s="3493">
        <v>27.63</v>
      </c>
      <c r="F750" s="3492">
        <v>9</v>
      </c>
    </row>
    <row r="751" spans="2:6" ht="18.75" thickBot="1">
      <c r="B751" s="3491">
        <v>747</v>
      </c>
      <c r="C751" s="3492" t="s">
        <v>4974</v>
      </c>
      <c r="D751" s="3493" t="s">
        <v>4323</v>
      </c>
      <c r="E751" s="3493">
        <v>27.63</v>
      </c>
      <c r="F751" s="3492">
        <v>9</v>
      </c>
    </row>
    <row r="752" spans="2:6" ht="18.75" thickBot="1">
      <c r="B752" s="3491">
        <v>748</v>
      </c>
      <c r="C752" s="3492" t="s">
        <v>4974</v>
      </c>
      <c r="D752" s="3493" t="s">
        <v>4324</v>
      </c>
      <c r="E752" s="3493">
        <v>27.63</v>
      </c>
      <c r="F752" s="3492">
        <v>9</v>
      </c>
    </row>
    <row r="753" spans="2:6" ht="18.75" thickBot="1">
      <c r="B753" s="3491">
        <v>749</v>
      </c>
      <c r="C753" s="3492" t="s">
        <v>4974</v>
      </c>
      <c r="D753" s="3493" t="s">
        <v>4325</v>
      </c>
      <c r="E753" s="3493">
        <v>48.2</v>
      </c>
      <c r="F753" s="3492">
        <v>15.7</v>
      </c>
    </row>
    <row r="754" spans="2:6" ht="18.75" thickBot="1">
      <c r="B754" s="3491">
        <v>750</v>
      </c>
      <c r="C754" s="3492" t="s">
        <v>4974</v>
      </c>
      <c r="D754" s="3493" t="s">
        <v>4326</v>
      </c>
      <c r="E754" s="3493">
        <v>48.2</v>
      </c>
      <c r="F754" s="3492">
        <v>15.7</v>
      </c>
    </row>
    <row r="755" spans="2:6" ht="18.75" thickBot="1">
      <c r="B755" s="3491">
        <v>751</v>
      </c>
      <c r="C755" s="3492" t="s">
        <v>4974</v>
      </c>
      <c r="D755" s="3493" t="s">
        <v>4327</v>
      </c>
      <c r="E755" s="3493">
        <v>27.63</v>
      </c>
      <c r="F755" s="3492">
        <v>9</v>
      </c>
    </row>
    <row r="756" spans="2:6" ht="18.75" thickBot="1">
      <c r="B756" s="3491">
        <v>752</v>
      </c>
      <c r="C756" s="3492" t="s">
        <v>4974</v>
      </c>
      <c r="D756" s="3493" t="s">
        <v>4328</v>
      </c>
      <c r="E756" s="3493">
        <v>27.63</v>
      </c>
      <c r="F756" s="3492">
        <v>9</v>
      </c>
    </row>
    <row r="757" spans="2:6" ht="18.75" thickBot="1">
      <c r="B757" s="3491">
        <v>753</v>
      </c>
      <c r="C757" s="3492" t="s">
        <v>4974</v>
      </c>
      <c r="D757" s="3493" t="s">
        <v>4329</v>
      </c>
      <c r="E757" s="3493">
        <v>27.63</v>
      </c>
      <c r="F757" s="3492">
        <v>9</v>
      </c>
    </row>
    <row r="758" spans="2:6" ht="18.75" thickBot="1">
      <c r="B758" s="3491">
        <v>754</v>
      </c>
      <c r="C758" s="3492" t="s">
        <v>4974</v>
      </c>
      <c r="D758" s="3493" t="s">
        <v>4330</v>
      </c>
      <c r="E758" s="3493">
        <v>27.63</v>
      </c>
      <c r="F758" s="3492">
        <v>9</v>
      </c>
    </row>
    <row r="759" spans="2:6" ht="18.75" thickBot="1">
      <c r="B759" s="3491">
        <v>755</v>
      </c>
      <c r="C759" s="3492" t="s">
        <v>4974</v>
      </c>
      <c r="D759" s="3493" t="s">
        <v>4331</v>
      </c>
      <c r="E759" s="3493">
        <v>27.63</v>
      </c>
      <c r="F759" s="3492">
        <v>9</v>
      </c>
    </row>
    <row r="760" spans="2:6" ht="18.75" thickBot="1">
      <c r="B760" s="3491">
        <v>756</v>
      </c>
      <c r="C760" s="3492" t="s">
        <v>4974</v>
      </c>
      <c r="D760" s="3493" t="s">
        <v>4332</v>
      </c>
      <c r="E760" s="3493">
        <v>27.63</v>
      </c>
      <c r="F760" s="3492">
        <v>9</v>
      </c>
    </row>
    <row r="761" spans="2:6" ht="18.75" thickBot="1">
      <c r="B761" s="3491">
        <v>757</v>
      </c>
      <c r="C761" s="3492" t="s">
        <v>4974</v>
      </c>
      <c r="D761" s="3493" t="s">
        <v>4333</v>
      </c>
      <c r="E761" s="3493">
        <v>27.63</v>
      </c>
      <c r="F761" s="3492">
        <v>9</v>
      </c>
    </row>
    <row r="762" spans="2:6" ht="18.75" thickBot="1">
      <c r="B762" s="3491">
        <v>758</v>
      </c>
      <c r="C762" s="3492" t="s">
        <v>4974</v>
      </c>
      <c r="D762" s="3493" t="s">
        <v>4334</v>
      </c>
      <c r="E762" s="3493">
        <v>27.63</v>
      </c>
      <c r="F762" s="3492">
        <v>9</v>
      </c>
    </row>
    <row r="763" spans="2:6" ht="18.75" thickBot="1">
      <c r="B763" s="3491">
        <v>759</v>
      </c>
      <c r="C763" s="3492" t="s">
        <v>4974</v>
      </c>
      <c r="D763" s="3493" t="s">
        <v>4335</v>
      </c>
      <c r="E763" s="3493">
        <v>27.63</v>
      </c>
      <c r="F763" s="3492">
        <v>9</v>
      </c>
    </row>
    <row r="764" spans="2:6" ht="18.75" thickBot="1">
      <c r="B764" s="3491">
        <v>760</v>
      </c>
      <c r="C764" s="3492" t="s">
        <v>4974</v>
      </c>
      <c r="D764" s="3493" t="s">
        <v>4336</v>
      </c>
      <c r="E764" s="3493">
        <v>27.63</v>
      </c>
      <c r="F764" s="3492">
        <v>9</v>
      </c>
    </row>
    <row r="765" spans="2:6" ht="18.75" thickBot="1">
      <c r="B765" s="3491">
        <v>761</v>
      </c>
      <c r="C765" s="3492" t="s">
        <v>4974</v>
      </c>
      <c r="D765" s="3493" t="s">
        <v>4337</v>
      </c>
      <c r="E765" s="3493">
        <v>27.63</v>
      </c>
      <c r="F765" s="3492">
        <v>9</v>
      </c>
    </row>
    <row r="766" spans="2:6" ht="18.75" thickBot="1">
      <c r="B766" s="3491">
        <v>762</v>
      </c>
      <c r="C766" s="3492" t="s">
        <v>4974</v>
      </c>
      <c r="D766" s="3493" t="s">
        <v>4338</v>
      </c>
      <c r="E766" s="3493">
        <v>27.63</v>
      </c>
      <c r="F766" s="3492">
        <v>9</v>
      </c>
    </row>
    <row r="767" spans="2:6" ht="18.75" thickBot="1">
      <c r="B767" s="3491">
        <v>763</v>
      </c>
      <c r="C767" s="3492" t="s">
        <v>4974</v>
      </c>
      <c r="D767" s="3493" t="s">
        <v>4339</v>
      </c>
      <c r="E767" s="3493">
        <v>27.63</v>
      </c>
      <c r="F767" s="3492">
        <v>9</v>
      </c>
    </row>
    <row r="768" spans="2:6" ht="18.75" thickBot="1">
      <c r="B768" s="3491">
        <v>764</v>
      </c>
      <c r="C768" s="3492" t="s">
        <v>4974</v>
      </c>
      <c r="D768" s="3493" t="s">
        <v>4340</v>
      </c>
      <c r="E768" s="3493">
        <v>27.63</v>
      </c>
      <c r="F768" s="3492">
        <v>9</v>
      </c>
    </row>
    <row r="769" spans="2:6" ht="18.75" thickBot="1">
      <c r="B769" s="3491">
        <v>765</v>
      </c>
      <c r="C769" s="3492" t="s">
        <v>4974</v>
      </c>
      <c r="D769" s="3493" t="s">
        <v>4341</v>
      </c>
      <c r="E769" s="3493">
        <v>27.63</v>
      </c>
      <c r="F769" s="3492">
        <v>9</v>
      </c>
    </row>
    <row r="770" spans="2:6" ht="18.75" thickBot="1">
      <c r="B770" s="3491">
        <v>766</v>
      </c>
      <c r="C770" s="3492" t="s">
        <v>4974</v>
      </c>
      <c r="D770" s="3493" t="s">
        <v>4342</v>
      </c>
      <c r="E770" s="3493">
        <v>27.63</v>
      </c>
      <c r="F770" s="3492">
        <v>9</v>
      </c>
    </row>
    <row r="771" spans="2:6" ht="18.75" thickBot="1">
      <c r="B771" s="3491">
        <v>767</v>
      </c>
      <c r="C771" s="3492" t="s">
        <v>4974</v>
      </c>
      <c r="D771" s="3493" t="s">
        <v>4343</v>
      </c>
      <c r="E771" s="3493">
        <v>27.63</v>
      </c>
      <c r="F771" s="3492">
        <v>9</v>
      </c>
    </row>
    <row r="772" spans="2:6" ht="18.75" thickBot="1">
      <c r="B772" s="3491">
        <v>768</v>
      </c>
      <c r="C772" s="3492" t="s">
        <v>4974</v>
      </c>
      <c r="D772" s="3493" t="s">
        <v>4344</v>
      </c>
      <c r="E772" s="3493">
        <v>27.63</v>
      </c>
      <c r="F772" s="3492">
        <v>9</v>
      </c>
    </row>
    <row r="773" spans="2:6" ht="18.75" thickBot="1">
      <c r="B773" s="3491">
        <v>769</v>
      </c>
      <c r="C773" s="3492" t="s">
        <v>4974</v>
      </c>
      <c r="D773" s="3493" t="s">
        <v>4345</v>
      </c>
      <c r="E773" s="3493">
        <v>27.63</v>
      </c>
      <c r="F773" s="3492">
        <v>9</v>
      </c>
    </row>
    <row r="774" spans="2:6" ht="18.75" thickBot="1">
      <c r="B774" s="3491">
        <v>770</v>
      </c>
      <c r="C774" s="3492" t="s">
        <v>4974</v>
      </c>
      <c r="D774" s="3493" t="s">
        <v>4346</v>
      </c>
      <c r="E774" s="3493">
        <v>27.63</v>
      </c>
      <c r="F774" s="3492">
        <v>9</v>
      </c>
    </row>
    <row r="775" spans="2:6" ht="18.75" thickBot="1">
      <c r="B775" s="3491">
        <v>771</v>
      </c>
      <c r="C775" s="3492" t="s">
        <v>4974</v>
      </c>
      <c r="D775" s="3493" t="s">
        <v>4347</v>
      </c>
      <c r="E775" s="3493">
        <v>27.63</v>
      </c>
      <c r="F775" s="3492">
        <v>9</v>
      </c>
    </row>
    <row r="776" spans="2:6" ht="18.75" thickBot="1">
      <c r="B776" s="3491">
        <v>772</v>
      </c>
      <c r="C776" s="3492" t="s">
        <v>4974</v>
      </c>
      <c r="D776" s="3493" t="s">
        <v>4348</v>
      </c>
      <c r="E776" s="3493">
        <v>27.63</v>
      </c>
      <c r="F776" s="3492">
        <v>9</v>
      </c>
    </row>
    <row r="777" spans="2:6" ht="18.75" thickBot="1">
      <c r="B777" s="3491">
        <v>773</v>
      </c>
      <c r="C777" s="3492" t="s">
        <v>4974</v>
      </c>
      <c r="D777" s="3493" t="s">
        <v>4349</v>
      </c>
      <c r="E777" s="3493">
        <v>27.63</v>
      </c>
      <c r="F777" s="3492">
        <v>9</v>
      </c>
    </row>
    <row r="778" spans="2:6" ht="18.75" thickBot="1">
      <c r="B778" s="3491">
        <v>774</v>
      </c>
      <c r="C778" s="3492" t="s">
        <v>4974</v>
      </c>
      <c r="D778" s="3493" t="s">
        <v>4350</v>
      </c>
      <c r="E778" s="3493">
        <v>27.63</v>
      </c>
      <c r="F778" s="3492">
        <v>9</v>
      </c>
    </row>
    <row r="779" spans="2:6" ht="18.75" thickBot="1">
      <c r="B779" s="3491">
        <v>775</v>
      </c>
      <c r="C779" s="3492" t="s">
        <v>4974</v>
      </c>
      <c r="D779" s="3493" t="s">
        <v>4351</v>
      </c>
      <c r="E779" s="3493">
        <v>27.63</v>
      </c>
      <c r="F779" s="3492">
        <v>9</v>
      </c>
    </row>
    <row r="780" spans="2:6" ht="18.75" thickBot="1">
      <c r="B780" s="3491">
        <v>776</v>
      </c>
      <c r="C780" s="3492" t="s">
        <v>4974</v>
      </c>
      <c r="D780" s="3493" t="s">
        <v>4352</v>
      </c>
      <c r="E780" s="3493">
        <v>27.63</v>
      </c>
      <c r="F780" s="3492">
        <v>9</v>
      </c>
    </row>
    <row r="781" spans="2:6" ht="18.75" thickBot="1">
      <c r="B781" s="3491">
        <v>777</v>
      </c>
      <c r="C781" s="3492" t="s">
        <v>4974</v>
      </c>
      <c r="D781" s="3493" t="s">
        <v>4353</v>
      </c>
      <c r="E781" s="3493">
        <v>27.63</v>
      </c>
      <c r="F781" s="3492">
        <v>9</v>
      </c>
    </row>
    <row r="782" spans="2:6" ht="18.75" thickBot="1">
      <c r="B782" s="3491">
        <v>778</v>
      </c>
      <c r="C782" s="3492" t="s">
        <v>4974</v>
      </c>
      <c r="D782" s="3493" t="s">
        <v>4354</v>
      </c>
      <c r="E782" s="3493">
        <v>27.63</v>
      </c>
      <c r="F782" s="3492">
        <v>9</v>
      </c>
    </row>
    <row r="783" spans="2:6" ht="18.75" thickBot="1">
      <c r="B783" s="3491">
        <v>779</v>
      </c>
      <c r="C783" s="3492" t="s">
        <v>4974</v>
      </c>
      <c r="D783" s="3493" t="s">
        <v>4355</v>
      </c>
      <c r="E783" s="3493">
        <v>27.63</v>
      </c>
      <c r="F783" s="3492">
        <v>9</v>
      </c>
    </row>
    <row r="784" spans="2:6" ht="18.75" thickBot="1">
      <c r="B784" s="3491">
        <v>780</v>
      </c>
      <c r="C784" s="3492" t="s">
        <v>4974</v>
      </c>
      <c r="D784" s="3493" t="s">
        <v>4356</v>
      </c>
      <c r="E784" s="3493">
        <v>27.63</v>
      </c>
      <c r="F784" s="3492">
        <v>9</v>
      </c>
    </row>
    <row r="785" spans="2:6" ht="18.75" thickBot="1">
      <c r="B785" s="3491">
        <v>781</v>
      </c>
      <c r="C785" s="3492" t="s">
        <v>4974</v>
      </c>
      <c r="D785" s="3493" t="s">
        <v>4357</v>
      </c>
      <c r="E785" s="3493">
        <v>27.63</v>
      </c>
      <c r="F785" s="3492">
        <v>9</v>
      </c>
    </row>
    <row r="786" spans="2:6" ht="18.75" thickBot="1">
      <c r="B786" s="3491">
        <v>782</v>
      </c>
      <c r="C786" s="3492" t="s">
        <v>4974</v>
      </c>
      <c r="D786" s="3493" t="s">
        <v>4358</v>
      </c>
      <c r="E786" s="3493">
        <v>27.63</v>
      </c>
      <c r="F786" s="3492">
        <v>9</v>
      </c>
    </row>
    <row r="787" spans="2:6" ht="18.75" thickBot="1">
      <c r="B787" s="3491">
        <v>783</v>
      </c>
      <c r="C787" s="3492" t="s">
        <v>4974</v>
      </c>
      <c r="D787" s="3493" t="s">
        <v>4359</v>
      </c>
      <c r="E787" s="3493">
        <v>27.63</v>
      </c>
      <c r="F787" s="3492">
        <v>9</v>
      </c>
    </row>
    <row r="788" spans="2:6" ht="18.75" thickBot="1">
      <c r="B788" s="3491">
        <v>784</v>
      </c>
      <c r="C788" s="3492" t="s">
        <v>4974</v>
      </c>
      <c r="D788" s="3493" t="s">
        <v>4360</v>
      </c>
      <c r="E788" s="3493">
        <v>27.63</v>
      </c>
      <c r="F788" s="3492">
        <v>9</v>
      </c>
    </row>
    <row r="789" spans="2:6" ht="18.75" thickBot="1">
      <c r="B789" s="3491">
        <v>785</v>
      </c>
      <c r="C789" s="3492" t="s">
        <v>4974</v>
      </c>
      <c r="D789" s="3493" t="s">
        <v>4361</v>
      </c>
      <c r="E789" s="3493">
        <v>27.63</v>
      </c>
      <c r="F789" s="3492">
        <v>9</v>
      </c>
    </row>
    <row r="790" spans="2:6" ht="18.75" thickBot="1">
      <c r="B790" s="3491">
        <v>786</v>
      </c>
      <c r="C790" s="3492" t="s">
        <v>4974</v>
      </c>
      <c r="D790" s="3493" t="s">
        <v>4362</v>
      </c>
      <c r="E790" s="3493">
        <v>27.63</v>
      </c>
      <c r="F790" s="3492">
        <v>9</v>
      </c>
    </row>
    <row r="791" spans="2:6" ht="18.75" thickBot="1">
      <c r="B791" s="3491">
        <v>787</v>
      </c>
      <c r="C791" s="3492" t="s">
        <v>4974</v>
      </c>
      <c r="D791" s="3493" t="s">
        <v>4363</v>
      </c>
      <c r="E791" s="3493">
        <v>27.63</v>
      </c>
      <c r="F791" s="3492">
        <v>9</v>
      </c>
    </row>
    <row r="792" spans="2:6" ht="18.75" thickBot="1">
      <c r="B792" s="3491">
        <v>788</v>
      </c>
      <c r="C792" s="3492" t="s">
        <v>4974</v>
      </c>
      <c r="D792" s="3493" t="s">
        <v>4364</v>
      </c>
      <c r="E792" s="3493">
        <v>27.63</v>
      </c>
      <c r="F792" s="3492">
        <v>9</v>
      </c>
    </row>
    <row r="793" spans="2:6" ht="18.75" thickBot="1">
      <c r="B793" s="3491">
        <v>789</v>
      </c>
      <c r="C793" s="3492" t="s">
        <v>4974</v>
      </c>
      <c r="D793" s="3493" t="s">
        <v>4365</v>
      </c>
      <c r="E793" s="3493">
        <v>27.63</v>
      </c>
      <c r="F793" s="3492">
        <v>9</v>
      </c>
    </row>
    <row r="794" spans="2:6" ht="18.75" thickBot="1">
      <c r="B794" s="3491">
        <v>790</v>
      </c>
      <c r="C794" s="3492" t="s">
        <v>4974</v>
      </c>
      <c r="D794" s="3493" t="s">
        <v>4366</v>
      </c>
      <c r="E794" s="3493">
        <v>27.63</v>
      </c>
      <c r="F794" s="3492">
        <v>9</v>
      </c>
    </row>
    <row r="795" spans="2:6" ht="18.75" thickBot="1">
      <c r="B795" s="3491">
        <v>791</v>
      </c>
      <c r="C795" s="3492" t="s">
        <v>4974</v>
      </c>
      <c r="D795" s="3493" t="s">
        <v>4367</v>
      </c>
      <c r="E795" s="3493">
        <v>27.63</v>
      </c>
      <c r="F795" s="3492">
        <v>9</v>
      </c>
    </row>
    <row r="796" spans="2:6" ht="18.75" thickBot="1">
      <c r="B796" s="3491">
        <v>792</v>
      </c>
      <c r="C796" s="3492" t="s">
        <v>4974</v>
      </c>
      <c r="D796" s="3493" t="s">
        <v>4368</v>
      </c>
      <c r="E796" s="3493">
        <v>27.63</v>
      </c>
      <c r="F796" s="3492">
        <v>9</v>
      </c>
    </row>
    <row r="797" spans="2:6" ht="18.75" thickBot="1">
      <c r="B797" s="3491">
        <v>793</v>
      </c>
      <c r="C797" s="3492" t="s">
        <v>4974</v>
      </c>
      <c r="D797" s="3493" t="s">
        <v>4369</v>
      </c>
      <c r="E797" s="3493">
        <v>27.63</v>
      </c>
      <c r="F797" s="3492">
        <v>9</v>
      </c>
    </row>
    <row r="798" spans="2:6" ht="18.75" thickBot="1">
      <c r="B798" s="3491">
        <v>794</v>
      </c>
      <c r="C798" s="3492" t="s">
        <v>4974</v>
      </c>
      <c r="D798" s="3493" t="s">
        <v>4370</v>
      </c>
      <c r="E798" s="3493">
        <v>27.63</v>
      </c>
      <c r="F798" s="3492">
        <v>9</v>
      </c>
    </row>
    <row r="799" spans="2:6" ht="18.75" thickBot="1">
      <c r="B799" s="3491">
        <v>795</v>
      </c>
      <c r="C799" s="3492" t="s">
        <v>4974</v>
      </c>
      <c r="D799" s="3493" t="s">
        <v>4371</v>
      </c>
      <c r="E799" s="3493">
        <v>27.63</v>
      </c>
      <c r="F799" s="3492">
        <v>9</v>
      </c>
    </row>
    <row r="800" spans="2:6" ht="18.75" thickBot="1">
      <c r="B800" s="3491">
        <v>796</v>
      </c>
      <c r="C800" s="3492" t="s">
        <v>4974</v>
      </c>
      <c r="D800" s="3493" t="s">
        <v>4372</v>
      </c>
      <c r="E800" s="3493">
        <v>27.63</v>
      </c>
      <c r="F800" s="3492">
        <v>9</v>
      </c>
    </row>
    <row r="801" spans="2:6" ht="18.75" thickBot="1">
      <c r="B801" s="3491">
        <v>797</v>
      </c>
      <c r="C801" s="3492" t="s">
        <v>4974</v>
      </c>
      <c r="D801" s="3493" t="s">
        <v>4373</v>
      </c>
      <c r="E801" s="3493">
        <v>27.63</v>
      </c>
      <c r="F801" s="3492">
        <v>9</v>
      </c>
    </row>
    <row r="802" spans="2:6" ht="18.75" thickBot="1">
      <c r="B802" s="3491">
        <v>798</v>
      </c>
      <c r="C802" s="3492" t="s">
        <v>4974</v>
      </c>
      <c r="D802" s="3493" t="s">
        <v>4374</v>
      </c>
      <c r="E802" s="3493">
        <v>27.63</v>
      </c>
      <c r="F802" s="3492">
        <v>9</v>
      </c>
    </row>
    <row r="803" spans="2:6" ht="18.75" thickBot="1">
      <c r="B803" s="3491">
        <v>799</v>
      </c>
      <c r="C803" s="3492" t="s">
        <v>4974</v>
      </c>
      <c r="D803" s="3493" t="s">
        <v>4375</v>
      </c>
      <c r="E803" s="3493">
        <v>27.63</v>
      </c>
      <c r="F803" s="3492">
        <v>9</v>
      </c>
    </row>
    <row r="804" spans="2:6" ht="18.75" thickBot="1">
      <c r="B804" s="3491">
        <v>800</v>
      </c>
      <c r="C804" s="3492" t="s">
        <v>4974</v>
      </c>
      <c r="D804" s="3493" t="s">
        <v>4376</v>
      </c>
      <c r="E804" s="3493">
        <v>27.63</v>
      </c>
      <c r="F804" s="3492">
        <v>9</v>
      </c>
    </row>
    <row r="805" spans="2:6" ht="18.75" thickBot="1">
      <c r="B805" s="3491">
        <v>801</v>
      </c>
      <c r="C805" s="3492" t="s">
        <v>4974</v>
      </c>
      <c r="D805" s="3493" t="s">
        <v>4377</v>
      </c>
      <c r="E805" s="3493">
        <v>27.63</v>
      </c>
      <c r="F805" s="3492">
        <v>9</v>
      </c>
    </row>
    <row r="806" spans="2:6" ht="18.75" thickBot="1">
      <c r="B806" s="3491">
        <v>802</v>
      </c>
      <c r="C806" s="3492" t="s">
        <v>4974</v>
      </c>
      <c r="D806" s="3493" t="s">
        <v>4378</v>
      </c>
      <c r="E806" s="3493">
        <v>27.63</v>
      </c>
      <c r="F806" s="3492">
        <v>9</v>
      </c>
    </row>
    <row r="807" spans="2:6" ht="18.75" thickBot="1">
      <c r="B807" s="3491">
        <v>803</v>
      </c>
      <c r="C807" s="3492" t="s">
        <v>4974</v>
      </c>
      <c r="D807" s="3493" t="s">
        <v>4379</v>
      </c>
      <c r="E807" s="3493">
        <v>27.63</v>
      </c>
      <c r="F807" s="3492">
        <v>9</v>
      </c>
    </row>
    <row r="808" spans="2:6" ht="18.75" thickBot="1">
      <c r="B808" s="3491">
        <v>804</v>
      </c>
      <c r="C808" s="3492" t="s">
        <v>4974</v>
      </c>
      <c r="D808" s="3493" t="s">
        <v>4380</v>
      </c>
      <c r="E808" s="3493">
        <v>27.63</v>
      </c>
      <c r="F808" s="3492">
        <v>9</v>
      </c>
    </row>
    <row r="809" spans="2:6" ht="18.75" thickBot="1">
      <c r="B809" s="3491">
        <v>805</v>
      </c>
      <c r="C809" s="3492" t="s">
        <v>4974</v>
      </c>
      <c r="D809" s="3493" t="s">
        <v>4381</v>
      </c>
      <c r="E809" s="3493">
        <v>27.63</v>
      </c>
      <c r="F809" s="3492">
        <v>9</v>
      </c>
    </row>
    <row r="810" spans="2:6" ht="18.75" thickBot="1">
      <c r="B810" s="3491">
        <v>806</v>
      </c>
      <c r="C810" s="3492" t="s">
        <v>4974</v>
      </c>
      <c r="D810" s="3493" t="s">
        <v>4382</v>
      </c>
      <c r="E810" s="3493">
        <v>27.63</v>
      </c>
      <c r="F810" s="3492">
        <v>9</v>
      </c>
    </row>
    <row r="811" spans="2:6" ht="18.75" thickBot="1">
      <c r="B811" s="3491">
        <v>807</v>
      </c>
      <c r="C811" s="3492" t="s">
        <v>4974</v>
      </c>
      <c r="D811" s="3493" t="s">
        <v>4383</v>
      </c>
      <c r="E811" s="3493">
        <v>27.63</v>
      </c>
      <c r="F811" s="3492">
        <v>9</v>
      </c>
    </row>
    <row r="812" spans="2:6" ht="18.75" thickBot="1">
      <c r="B812" s="3491">
        <v>808</v>
      </c>
      <c r="C812" s="3492" t="s">
        <v>4974</v>
      </c>
      <c r="D812" s="3493" t="s">
        <v>4384</v>
      </c>
      <c r="E812" s="3493">
        <v>27.63</v>
      </c>
      <c r="F812" s="3492">
        <v>9</v>
      </c>
    </row>
    <row r="813" spans="2:6" ht="18.75" thickBot="1">
      <c r="B813" s="3491">
        <v>809</v>
      </c>
      <c r="C813" s="3492" t="s">
        <v>4974</v>
      </c>
      <c r="D813" s="3493" t="s">
        <v>4385</v>
      </c>
      <c r="E813" s="3493">
        <v>27.63</v>
      </c>
      <c r="F813" s="3492">
        <v>9</v>
      </c>
    </row>
    <row r="814" spans="2:6" ht="18.75" thickBot="1">
      <c r="B814" s="3491">
        <v>810</v>
      </c>
      <c r="C814" s="3492" t="s">
        <v>4974</v>
      </c>
      <c r="D814" s="3493" t="s">
        <v>4386</v>
      </c>
      <c r="E814" s="3493">
        <v>27.63</v>
      </c>
      <c r="F814" s="3492">
        <v>9</v>
      </c>
    </row>
    <row r="815" spans="2:6" ht="18.75" thickBot="1">
      <c r="B815" s="3491">
        <v>811</v>
      </c>
      <c r="C815" s="3492" t="s">
        <v>4974</v>
      </c>
      <c r="D815" s="3493" t="s">
        <v>4387</v>
      </c>
      <c r="E815" s="3493">
        <v>27.63</v>
      </c>
      <c r="F815" s="3492">
        <v>9</v>
      </c>
    </row>
    <row r="816" spans="2:6" ht="18.75" thickBot="1">
      <c r="B816" s="3491">
        <v>812</v>
      </c>
      <c r="C816" s="3492" t="s">
        <v>4974</v>
      </c>
      <c r="D816" s="3493" t="s">
        <v>4388</v>
      </c>
      <c r="E816" s="3493">
        <v>27.63</v>
      </c>
      <c r="F816" s="3492">
        <v>9</v>
      </c>
    </row>
    <row r="817" spans="2:6" ht="18.75" thickBot="1">
      <c r="B817" s="3491">
        <v>813</v>
      </c>
      <c r="C817" s="3492" t="s">
        <v>4974</v>
      </c>
      <c r="D817" s="3493" t="s">
        <v>4389</v>
      </c>
      <c r="E817" s="3493">
        <v>27.63</v>
      </c>
      <c r="F817" s="3492">
        <v>9</v>
      </c>
    </row>
    <row r="818" spans="2:6" ht="18.75" thickBot="1">
      <c r="B818" s="3491">
        <v>814</v>
      </c>
      <c r="C818" s="3492" t="s">
        <v>4974</v>
      </c>
      <c r="D818" s="3493" t="s">
        <v>4390</v>
      </c>
      <c r="E818" s="3493">
        <v>27.63</v>
      </c>
      <c r="F818" s="3492">
        <v>9</v>
      </c>
    </row>
    <row r="819" spans="2:6" ht="18.75" thickBot="1">
      <c r="B819" s="3491">
        <v>815</v>
      </c>
      <c r="C819" s="3492" t="s">
        <v>4974</v>
      </c>
      <c r="D819" s="3493" t="s">
        <v>4391</v>
      </c>
      <c r="E819" s="3493">
        <v>27.63</v>
      </c>
      <c r="F819" s="3492">
        <v>9</v>
      </c>
    </row>
    <row r="820" spans="2:6" ht="18.75" thickBot="1">
      <c r="B820" s="3491">
        <v>816</v>
      </c>
      <c r="C820" s="3492" t="s">
        <v>4974</v>
      </c>
      <c r="D820" s="3493" t="s">
        <v>4392</v>
      </c>
      <c r="E820" s="3493">
        <v>27.63</v>
      </c>
      <c r="F820" s="3492">
        <v>9</v>
      </c>
    </row>
    <row r="821" spans="2:6" ht="18.75" thickBot="1">
      <c r="B821" s="3491">
        <v>817</v>
      </c>
      <c r="C821" s="3492" t="s">
        <v>4974</v>
      </c>
      <c r="D821" s="3493" t="s">
        <v>4393</v>
      </c>
      <c r="E821" s="3493">
        <v>27.63</v>
      </c>
      <c r="F821" s="3492">
        <v>9</v>
      </c>
    </row>
    <row r="822" spans="2:6" ht="18.75" thickBot="1">
      <c r="B822" s="3491">
        <v>818</v>
      </c>
      <c r="C822" s="3492" t="s">
        <v>4974</v>
      </c>
      <c r="D822" s="3493" t="s">
        <v>4394</v>
      </c>
      <c r="E822" s="3493">
        <v>27.63</v>
      </c>
      <c r="F822" s="3492">
        <v>9</v>
      </c>
    </row>
    <row r="823" spans="2:6" ht="18.75" thickBot="1">
      <c r="B823" s="3491">
        <v>819</v>
      </c>
      <c r="C823" s="3492" t="s">
        <v>4974</v>
      </c>
      <c r="D823" s="3493" t="s">
        <v>4395</v>
      </c>
      <c r="E823" s="3493">
        <v>27.63</v>
      </c>
      <c r="F823" s="3492">
        <v>9</v>
      </c>
    </row>
    <row r="824" spans="2:6" ht="18.75" thickBot="1">
      <c r="B824" s="3491">
        <v>820</v>
      </c>
      <c r="C824" s="3492" t="s">
        <v>4974</v>
      </c>
      <c r="D824" s="3493" t="s">
        <v>4396</v>
      </c>
      <c r="E824" s="3493">
        <v>27.63</v>
      </c>
      <c r="F824" s="3492">
        <v>9</v>
      </c>
    </row>
    <row r="825" spans="2:6" ht="18.75" thickBot="1">
      <c r="B825" s="3491">
        <v>821</v>
      </c>
      <c r="C825" s="3492" t="s">
        <v>4974</v>
      </c>
      <c r="D825" s="3493" t="s">
        <v>4397</v>
      </c>
      <c r="E825" s="3493">
        <v>27.63</v>
      </c>
      <c r="F825" s="3492">
        <v>9</v>
      </c>
    </row>
    <row r="826" spans="2:6" ht="18.75" thickBot="1">
      <c r="B826" s="3491">
        <v>822</v>
      </c>
      <c r="C826" s="3492" t="s">
        <v>4974</v>
      </c>
      <c r="D826" s="3493" t="s">
        <v>4398</v>
      </c>
      <c r="E826" s="3493">
        <v>27.63</v>
      </c>
      <c r="F826" s="3492">
        <v>9</v>
      </c>
    </row>
    <row r="827" spans="2:6" ht="18.75" thickBot="1">
      <c r="B827" s="3491">
        <v>823</v>
      </c>
      <c r="C827" s="3492" t="s">
        <v>4974</v>
      </c>
      <c r="D827" s="3493" t="s">
        <v>4399</v>
      </c>
      <c r="E827" s="3493">
        <v>27.63</v>
      </c>
      <c r="F827" s="3492">
        <v>9</v>
      </c>
    </row>
    <row r="828" spans="2:6" ht="18.75" thickBot="1">
      <c r="B828" s="3491">
        <v>824</v>
      </c>
      <c r="C828" s="3492" t="s">
        <v>4974</v>
      </c>
      <c r="D828" s="3493" t="s">
        <v>4400</v>
      </c>
      <c r="E828" s="3493">
        <v>27.63</v>
      </c>
      <c r="F828" s="3492">
        <v>9</v>
      </c>
    </row>
    <row r="829" spans="2:6" ht="18.75" thickBot="1">
      <c r="B829" s="3491">
        <v>825</v>
      </c>
      <c r="C829" s="3492" t="s">
        <v>4974</v>
      </c>
      <c r="D829" s="3493" t="s">
        <v>4401</v>
      </c>
      <c r="E829" s="3493">
        <v>27.63</v>
      </c>
      <c r="F829" s="3492">
        <v>9</v>
      </c>
    </row>
    <row r="830" spans="2:6" ht="18.75" thickBot="1">
      <c r="B830" s="3491">
        <v>826</v>
      </c>
      <c r="C830" s="3492" t="s">
        <v>4974</v>
      </c>
      <c r="D830" s="3493" t="s">
        <v>4402</v>
      </c>
      <c r="E830" s="3493">
        <v>27.63</v>
      </c>
      <c r="F830" s="3492">
        <v>9</v>
      </c>
    </row>
    <row r="831" spans="2:6" ht="18.75" thickBot="1">
      <c r="B831" s="3491">
        <v>827</v>
      </c>
      <c r="C831" s="3492" t="s">
        <v>4974</v>
      </c>
      <c r="D831" s="3493" t="s">
        <v>4403</v>
      </c>
      <c r="E831" s="3493">
        <v>27.63</v>
      </c>
      <c r="F831" s="3492">
        <v>9</v>
      </c>
    </row>
    <row r="832" spans="2:6" ht="18.75" thickBot="1">
      <c r="B832" s="3491">
        <v>828</v>
      </c>
      <c r="C832" s="3492" t="s">
        <v>4974</v>
      </c>
      <c r="D832" s="3493" t="s">
        <v>4404</v>
      </c>
      <c r="E832" s="3493">
        <v>27.63</v>
      </c>
      <c r="F832" s="3492">
        <v>9</v>
      </c>
    </row>
    <row r="833" spans="2:6" ht="18.75" thickBot="1">
      <c r="B833" s="3491">
        <v>829</v>
      </c>
      <c r="C833" s="3492" t="s">
        <v>4974</v>
      </c>
      <c r="D833" s="3493" t="s">
        <v>4405</v>
      </c>
      <c r="E833" s="3493">
        <v>27.63</v>
      </c>
      <c r="F833" s="3492">
        <v>9</v>
      </c>
    </row>
    <row r="834" spans="2:6" ht="18.75" thickBot="1">
      <c r="B834" s="3491">
        <v>830</v>
      </c>
      <c r="C834" s="3492" t="s">
        <v>4974</v>
      </c>
      <c r="D834" s="3493" t="s">
        <v>4406</v>
      </c>
      <c r="E834" s="3493">
        <v>27.63</v>
      </c>
      <c r="F834" s="3492">
        <v>9</v>
      </c>
    </row>
    <row r="835" spans="2:6" ht="18.75" thickBot="1">
      <c r="B835" s="3491">
        <v>831</v>
      </c>
      <c r="C835" s="3492" t="s">
        <v>4974</v>
      </c>
      <c r="D835" s="3493" t="s">
        <v>4407</v>
      </c>
      <c r="E835" s="3493">
        <v>27.63</v>
      </c>
      <c r="F835" s="3492">
        <v>9</v>
      </c>
    </row>
    <row r="836" spans="2:6" ht="18.75" thickBot="1">
      <c r="B836" s="3491">
        <v>832</v>
      </c>
      <c r="C836" s="3492" t="s">
        <v>4974</v>
      </c>
      <c r="D836" s="3493" t="s">
        <v>4408</v>
      </c>
      <c r="E836" s="3493">
        <v>27.63</v>
      </c>
      <c r="F836" s="3492">
        <v>9</v>
      </c>
    </row>
    <row r="837" spans="2:6" ht="18.75" thickBot="1">
      <c r="B837" s="3491">
        <v>833</v>
      </c>
      <c r="C837" s="3492" t="s">
        <v>4974</v>
      </c>
      <c r="D837" s="3493" t="s">
        <v>4409</v>
      </c>
      <c r="E837" s="3493">
        <v>27.63</v>
      </c>
      <c r="F837" s="3492">
        <v>9</v>
      </c>
    </row>
    <row r="838" spans="2:6" ht="18.75" thickBot="1">
      <c r="B838" s="3491">
        <v>834</v>
      </c>
      <c r="C838" s="3492" t="s">
        <v>4974</v>
      </c>
      <c r="D838" s="3493" t="s">
        <v>4410</v>
      </c>
      <c r="E838" s="3493">
        <v>27.63</v>
      </c>
      <c r="F838" s="3492">
        <v>9</v>
      </c>
    </row>
    <row r="839" spans="2:6" ht="18.75" thickBot="1">
      <c r="B839" s="3491">
        <v>835</v>
      </c>
      <c r="C839" s="3492" t="s">
        <v>4974</v>
      </c>
      <c r="D839" s="3493" t="s">
        <v>4411</v>
      </c>
      <c r="E839" s="3493">
        <v>27.63</v>
      </c>
      <c r="F839" s="3492">
        <v>9</v>
      </c>
    </row>
    <row r="840" spans="2:6" ht="18.75" thickBot="1">
      <c r="B840" s="3491">
        <v>836</v>
      </c>
      <c r="C840" s="3492" t="s">
        <v>4974</v>
      </c>
      <c r="D840" s="3493" t="s">
        <v>4412</v>
      </c>
      <c r="E840" s="3493">
        <v>27.63</v>
      </c>
      <c r="F840" s="3492">
        <v>9</v>
      </c>
    </row>
    <row r="841" spans="2:6" ht="18.75" thickBot="1">
      <c r="B841" s="3491">
        <v>837</v>
      </c>
      <c r="C841" s="3492" t="s">
        <v>4974</v>
      </c>
      <c r="D841" s="3493" t="s">
        <v>4413</v>
      </c>
      <c r="E841" s="3493">
        <v>27.63</v>
      </c>
      <c r="F841" s="3492">
        <v>9</v>
      </c>
    </row>
    <row r="842" spans="2:6" ht="18.75" thickBot="1">
      <c r="B842" s="3491">
        <v>838</v>
      </c>
      <c r="C842" s="3492" t="s">
        <v>4974</v>
      </c>
      <c r="D842" s="3493" t="s">
        <v>4414</v>
      </c>
      <c r="E842" s="3493">
        <v>27.63</v>
      </c>
      <c r="F842" s="3492">
        <v>9</v>
      </c>
    </row>
    <row r="843" spans="2:6" ht="18.75" thickBot="1">
      <c r="B843" s="3491">
        <v>839</v>
      </c>
      <c r="C843" s="3492" t="s">
        <v>4974</v>
      </c>
      <c r="D843" s="3493" t="s">
        <v>4415</v>
      </c>
      <c r="E843" s="3493">
        <v>27.63</v>
      </c>
      <c r="F843" s="3492">
        <v>9</v>
      </c>
    </row>
    <row r="844" spans="2:6" ht="18.75" thickBot="1">
      <c r="B844" s="3491">
        <v>840</v>
      </c>
      <c r="C844" s="3492" t="s">
        <v>4974</v>
      </c>
      <c r="D844" s="3493" t="s">
        <v>4416</v>
      </c>
      <c r="E844" s="3493">
        <v>27.63</v>
      </c>
      <c r="F844" s="3492">
        <v>9</v>
      </c>
    </row>
    <row r="845" spans="2:6" ht="18.75" thickBot="1">
      <c r="B845" s="3491">
        <v>841</v>
      </c>
      <c r="C845" s="3492" t="s">
        <v>4974</v>
      </c>
      <c r="D845" s="3493" t="s">
        <v>4417</v>
      </c>
      <c r="E845" s="3493">
        <v>27.63</v>
      </c>
      <c r="F845" s="3492">
        <v>9</v>
      </c>
    </row>
    <row r="846" spans="2:6" ht="18.75" thickBot="1">
      <c r="B846" s="3491">
        <v>842</v>
      </c>
      <c r="C846" s="3492" t="s">
        <v>4974</v>
      </c>
      <c r="D846" s="3493" t="s">
        <v>4418</v>
      </c>
      <c r="E846" s="3493">
        <v>27.63</v>
      </c>
      <c r="F846" s="3492">
        <v>9</v>
      </c>
    </row>
    <row r="847" spans="2:6" ht="18.75" thickBot="1">
      <c r="B847" s="3491">
        <v>843</v>
      </c>
      <c r="C847" s="3492" t="s">
        <v>4974</v>
      </c>
      <c r="D847" s="3493" t="s">
        <v>4419</v>
      </c>
      <c r="E847" s="3493">
        <v>27.63</v>
      </c>
      <c r="F847" s="3492">
        <v>9</v>
      </c>
    </row>
    <row r="848" spans="2:6" ht="18.75" thickBot="1">
      <c r="B848" s="3491">
        <v>844</v>
      </c>
      <c r="C848" s="3492" t="s">
        <v>4974</v>
      </c>
      <c r="D848" s="3493" t="s">
        <v>4420</v>
      </c>
      <c r="E848" s="3493">
        <v>27.63</v>
      </c>
      <c r="F848" s="3492">
        <v>9</v>
      </c>
    </row>
    <row r="849" spans="2:6" ht="18.75" thickBot="1">
      <c r="B849" s="3491">
        <v>845</v>
      </c>
      <c r="C849" s="3492" t="s">
        <v>4974</v>
      </c>
      <c r="D849" s="3493" t="s">
        <v>4421</v>
      </c>
      <c r="E849" s="3493">
        <v>27.63</v>
      </c>
      <c r="F849" s="3492">
        <v>9</v>
      </c>
    </row>
    <row r="850" spans="2:6" ht="18.75" thickBot="1">
      <c r="B850" s="3491">
        <v>846</v>
      </c>
      <c r="C850" s="3492" t="s">
        <v>4974</v>
      </c>
      <c r="D850" s="3493" t="s">
        <v>4422</v>
      </c>
      <c r="E850" s="3493">
        <v>27.63</v>
      </c>
      <c r="F850" s="3492">
        <v>9</v>
      </c>
    </row>
    <row r="851" spans="2:6" ht="18.75" thickBot="1">
      <c r="B851" s="3491">
        <v>847</v>
      </c>
      <c r="C851" s="3492" t="s">
        <v>4974</v>
      </c>
      <c r="D851" s="3493" t="s">
        <v>4423</v>
      </c>
      <c r="E851" s="3493">
        <v>27.63</v>
      </c>
      <c r="F851" s="3492">
        <v>9</v>
      </c>
    </row>
    <row r="852" spans="2:6" ht="18.75" thickBot="1">
      <c r="B852" s="3491">
        <v>848</v>
      </c>
      <c r="C852" s="3492" t="s">
        <v>4974</v>
      </c>
      <c r="D852" s="3493" t="s">
        <v>4424</v>
      </c>
      <c r="E852" s="3493">
        <v>27.63</v>
      </c>
      <c r="F852" s="3492">
        <v>9</v>
      </c>
    </row>
    <row r="853" spans="2:6" ht="18.75" thickBot="1">
      <c r="B853" s="3491">
        <v>849</v>
      </c>
      <c r="C853" s="3492" t="s">
        <v>4974</v>
      </c>
      <c r="D853" s="3493" t="s">
        <v>4425</v>
      </c>
      <c r="E853" s="3493">
        <v>27.63</v>
      </c>
      <c r="F853" s="3492">
        <v>9</v>
      </c>
    </row>
    <row r="854" spans="2:6" ht="18.75" thickBot="1">
      <c r="B854" s="3491">
        <v>850</v>
      </c>
      <c r="C854" s="3492" t="s">
        <v>4974</v>
      </c>
      <c r="D854" s="3493" t="s">
        <v>4426</v>
      </c>
      <c r="E854" s="3493">
        <v>27.63</v>
      </c>
      <c r="F854" s="3492">
        <v>9</v>
      </c>
    </row>
    <row r="855" spans="2:6" ht="18.75" thickBot="1">
      <c r="B855" s="3491">
        <v>851</v>
      </c>
      <c r="C855" s="3492" t="s">
        <v>4974</v>
      </c>
      <c r="D855" s="3493" t="s">
        <v>4427</v>
      </c>
      <c r="E855" s="3493">
        <v>27.63</v>
      </c>
      <c r="F855" s="3492">
        <v>9</v>
      </c>
    </row>
    <row r="856" spans="2:6" ht="18.75" thickBot="1">
      <c r="B856" s="3491">
        <v>852</v>
      </c>
      <c r="C856" s="3492" t="s">
        <v>4974</v>
      </c>
      <c r="D856" s="3493" t="s">
        <v>4428</v>
      </c>
      <c r="E856" s="3493">
        <v>27.63</v>
      </c>
      <c r="F856" s="3492">
        <v>9</v>
      </c>
    </row>
    <row r="857" spans="2:6" ht="18.75" thickBot="1">
      <c r="B857" s="3491">
        <v>853</v>
      </c>
      <c r="C857" s="3492" t="s">
        <v>4974</v>
      </c>
      <c r="D857" s="3493" t="s">
        <v>4429</v>
      </c>
      <c r="E857" s="3493">
        <v>27.63</v>
      </c>
      <c r="F857" s="3492">
        <v>9</v>
      </c>
    </row>
    <row r="858" spans="2:6" ht="18.75" thickBot="1">
      <c r="B858" s="3491">
        <v>854</v>
      </c>
      <c r="C858" s="3492" t="s">
        <v>4974</v>
      </c>
      <c r="D858" s="3493" t="s">
        <v>4430</v>
      </c>
      <c r="E858" s="3493">
        <v>27.63</v>
      </c>
      <c r="F858" s="3492">
        <v>9</v>
      </c>
    </row>
    <row r="859" spans="2:6" ht="18.75" thickBot="1">
      <c r="B859" s="3491">
        <v>855</v>
      </c>
      <c r="C859" s="3492" t="s">
        <v>4974</v>
      </c>
      <c r="D859" s="3493" t="s">
        <v>4431</v>
      </c>
      <c r="E859" s="3493">
        <v>27.63</v>
      </c>
      <c r="F859" s="3492">
        <v>9</v>
      </c>
    </row>
    <row r="860" spans="2:6" ht="18.75" thickBot="1">
      <c r="B860" s="3491">
        <v>856</v>
      </c>
      <c r="C860" s="3492" t="s">
        <v>4974</v>
      </c>
      <c r="D860" s="3493" t="s">
        <v>4432</v>
      </c>
      <c r="E860" s="3493">
        <v>27.63</v>
      </c>
      <c r="F860" s="3492">
        <v>9</v>
      </c>
    </row>
    <row r="861" spans="2:6" ht="18.75" thickBot="1">
      <c r="B861" s="3491">
        <v>857</v>
      </c>
      <c r="C861" s="3492" t="s">
        <v>4974</v>
      </c>
      <c r="D861" s="3493" t="s">
        <v>4433</v>
      </c>
      <c r="E861" s="3493">
        <v>27.63</v>
      </c>
      <c r="F861" s="3492">
        <v>9</v>
      </c>
    </row>
    <row r="862" spans="2:6" ht="18.75" thickBot="1">
      <c r="B862" s="3491">
        <v>858</v>
      </c>
      <c r="C862" s="3492" t="s">
        <v>4974</v>
      </c>
      <c r="D862" s="3493" t="s">
        <v>4434</v>
      </c>
      <c r="E862" s="3493">
        <v>27.63</v>
      </c>
      <c r="F862" s="3492">
        <v>9</v>
      </c>
    </row>
    <row r="863" spans="2:6" ht="18.75" thickBot="1">
      <c r="B863" s="3491">
        <v>859</v>
      </c>
      <c r="C863" s="3492" t="s">
        <v>4974</v>
      </c>
      <c r="D863" s="3493" t="s">
        <v>4435</v>
      </c>
      <c r="E863" s="3493">
        <v>27.63</v>
      </c>
      <c r="F863" s="3492">
        <v>9</v>
      </c>
    </row>
    <row r="864" spans="2:6" ht="18.75" thickBot="1">
      <c r="B864" s="3491">
        <v>860</v>
      </c>
      <c r="C864" s="3492" t="s">
        <v>4974</v>
      </c>
      <c r="D864" s="3493" t="s">
        <v>4436</v>
      </c>
      <c r="E864" s="3493">
        <v>27.63</v>
      </c>
      <c r="F864" s="3492">
        <v>9</v>
      </c>
    </row>
    <row r="865" spans="2:6" ht="18.75" thickBot="1">
      <c r="B865" s="3491">
        <v>861</v>
      </c>
      <c r="C865" s="3492" t="s">
        <v>4974</v>
      </c>
      <c r="D865" s="3493" t="s">
        <v>4437</v>
      </c>
      <c r="E865" s="3493">
        <v>27.63</v>
      </c>
      <c r="F865" s="3492">
        <v>9</v>
      </c>
    </row>
    <row r="866" spans="2:6" ht="18.75" thickBot="1">
      <c r="B866" s="3491">
        <v>862</v>
      </c>
      <c r="C866" s="3492" t="s">
        <v>4974</v>
      </c>
      <c r="D866" s="3493" t="s">
        <v>4438</v>
      </c>
      <c r="E866" s="3493">
        <v>27.63</v>
      </c>
      <c r="F866" s="3492">
        <v>9</v>
      </c>
    </row>
    <row r="867" spans="2:6" ht="18.75" thickBot="1">
      <c r="B867" s="3491">
        <v>863</v>
      </c>
      <c r="C867" s="3492" t="s">
        <v>4974</v>
      </c>
      <c r="D867" s="3493" t="s">
        <v>4439</v>
      </c>
      <c r="E867" s="3493">
        <v>27.63</v>
      </c>
      <c r="F867" s="3492">
        <v>9</v>
      </c>
    </row>
    <row r="868" spans="2:6" ht="18.75" thickBot="1">
      <c r="B868" s="3491">
        <v>864</v>
      </c>
      <c r="C868" s="3492" t="s">
        <v>4974</v>
      </c>
      <c r="D868" s="3493" t="s">
        <v>4440</v>
      </c>
      <c r="E868" s="3493">
        <v>27.63</v>
      </c>
      <c r="F868" s="3492">
        <v>9</v>
      </c>
    </row>
    <row r="869" spans="2:6" ht="18.75" thickBot="1">
      <c r="B869" s="3491">
        <v>865</v>
      </c>
      <c r="C869" s="3492" t="s">
        <v>4974</v>
      </c>
      <c r="D869" s="3493" t="s">
        <v>4441</v>
      </c>
      <c r="E869" s="3493">
        <v>27.63</v>
      </c>
      <c r="F869" s="3492">
        <v>9</v>
      </c>
    </row>
    <row r="870" spans="2:6" ht="18.75" thickBot="1">
      <c r="B870" s="3491">
        <v>866</v>
      </c>
      <c r="C870" s="3492" t="s">
        <v>4974</v>
      </c>
      <c r="D870" s="3493" t="s">
        <v>4442</v>
      </c>
      <c r="E870" s="3493">
        <v>27.63</v>
      </c>
      <c r="F870" s="3492">
        <v>9</v>
      </c>
    </row>
    <row r="871" spans="2:6" ht="18.75" thickBot="1">
      <c r="B871" s="3491">
        <v>867</v>
      </c>
      <c r="C871" s="3492" t="s">
        <v>4974</v>
      </c>
      <c r="D871" s="3493" t="s">
        <v>4443</v>
      </c>
      <c r="E871" s="3493">
        <v>27.63</v>
      </c>
      <c r="F871" s="3492">
        <v>9</v>
      </c>
    </row>
    <row r="872" spans="2:6" ht="18.75" thickBot="1">
      <c r="B872" s="3491">
        <v>868</v>
      </c>
      <c r="C872" s="3492" t="s">
        <v>4974</v>
      </c>
      <c r="D872" s="3493" t="s">
        <v>4444</v>
      </c>
      <c r="E872" s="3493">
        <v>27.63</v>
      </c>
      <c r="F872" s="3492">
        <v>9</v>
      </c>
    </row>
    <row r="873" spans="2:6" ht="18.75" thickBot="1">
      <c r="B873" s="3491">
        <v>869</v>
      </c>
      <c r="C873" s="3492" t="s">
        <v>4974</v>
      </c>
      <c r="D873" s="3493" t="s">
        <v>4445</v>
      </c>
      <c r="E873" s="3493">
        <v>27.63</v>
      </c>
      <c r="F873" s="3492">
        <v>9</v>
      </c>
    </row>
    <row r="874" spans="2:6" ht="18.75" thickBot="1">
      <c r="B874" s="3491">
        <v>870</v>
      </c>
      <c r="C874" s="3492" t="s">
        <v>4974</v>
      </c>
      <c r="D874" s="3493" t="s">
        <v>4446</v>
      </c>
      <c r="E874" s="3493">
        <v>27.63</v>
      </c>
      <c r="F874" s="3492">
        <v>9</v>
      </c>
    </row>
    <row r="875" spans="2:6" ht="18.75" thickBot="1">
      <c r="B875" s="3491">
        <v>871</v>
      </c>
      <c r="C875" s="3492" t="s">
        <v>4974</v>
      </c>
      <c r="D875" s="3493" t="s">
        <v>4447</v>
      </c>
      <c r="E875" s="3493">
        <v>27.63</v>
      </c>
      <c r="F875" s="3492">
        <v>9</v>
      </c>
    </row>
    <row r="876" spans="2:6" ht="18.75" thickBot="1">
      <c r="B876" s="3491">
        <v>872</v>
      </c>
      <c r="C876" s="3492" t="s">
        <v>4974</v>
      </c>
      <c r="D876" s="3493" t="s">
        <v>4448</v>
      </c>
      <c r="E876" s="3493">
        <v>27.63</v>
      </c>
      <c r="F876" s="3492">
        <v>9</v>
      </c>
    </row>
    <row r="877" spans="2:6" ht="18.75" thickBot="1">
      <c r="B877" s="3491">
        <v>873</v>
      </c>
      <c r="C877" s="3492" t="s">
        <v>4974</v>
      </c>
      <c r="D877" s="3493" t="s">
        <v>4449</v>
      </c>
      <c r="E877" s="3493">
        <v>27.63</v>
      </c>
      <c r="F877" s="3492">
        <v>9</v>
      </c>
    </row>
    <row r="878" spans="2:6" ht="18.75" thickBot="1">
      <c r="B878" s="3491">
        <v>874</v>
      </c>
      <c r="C878" s="3492" t="s">
        <v>4974</v>
      </c>
      <c r="D878" s="3493" t="s">
        <v>4450</v>
      </c>
      <c r="E878" s="3493">
        <v>27.63</v>
      </c>
      <c r="F878" s="3492">
        <v>9</v>
      </c>
    </row>
    <row r="879" spans="2:6" ht="18.75" thickBot="1">
      <c r="B879" s="3491">
        <v>875</v>
      </c>
      <c r="C879" s="3492" t="s">
        <v>4974</v>
      </c>
      <c r="D879" s="3493" t="s">
        <v>4451</v>
      </c>
      <c r="E879" s="3493">
        <v>27.63</v>
      </c>
      <c r="F879" s="3492">
        <v>9</v>
      </c>
    </row>
    <row r="880" spans="2:6" ht="18.75" thickBot="1">
      <c r="B880" s="3491">
        <v>876</v>
      </c>
      <c r="C880" s="3492" t="s">
        <v>4974</v>
      </c>
      <c r="D880" s="3493" t="s">
        <v>4452</v>
      </c>
      <c r="E880" s="3493">
        <v>27.63</v>
      </c>
      <c r="F880" s="3492">
        <v>9</v>
      </c>
    </row>
    <row r="881" spans="2:6" ht="18.75" thickBot="1">
      <c r="B881" s="3491">
        <v>877</v>
      </c>
      <c r="C881" s="3492" t="s">
        <v>4974</v>
      </c>
      <c r="D881" s="3493" t="s">
        <v>4453</v>
      </c>
      <c r="E881" s="3493">
        <v>27.63</v>
      </c>
      <c r="F881" s="3492">
        <v>9</v>
      </c>
    </row>
    <row r="882" spans="2:6" ht="18.75" thickBot="1">
      <c r="B882" s="3491">
        <v>878</v>
      </c>
      <c r="C882" s="3492" t="s">
        <v>4974</v>
      </c>
      <c r="D882" s="3493" t="s">
        <v>4454</v>
      </c>
      <c r="E882" s="3493">
        <v>27.63</v>
      </c>
      <c r="F882" s="3492">
        <v>9</v>
      </c>
    </row>
    <row r="883" spans="2:6" ht="18.75" thickBot="1">
      <c r="B883" s="3491">
        <v>879</v>
      </c>
      <c r="C883" s="3492" t="s">
        <v>4974</v>
      </c>
      <c r="D883" s="3493" t="s">
        <v>4455</v>
      </c>
      <c r="E883" s="3493">
        <v>27.63</v>
      </c>
      <c r="F883" s="3492">
        <v>9</v>
      </c>
    </row>
    <row r="884" spans="2:6" ht="18.75" thickBot="1">
      <c r="B884" s="3491">
        <v>880</v>
      </c>
      <c r="C884" s="3492" t="s">
        <v>4974</v>
      </c>
      <c r="D884" s="3493" t="s">
        <v>4456</v>
      </c>
      <c r="E884" s="3493">
        <v>27.63</v>
      </c>
      <c r="F884" s="3492">
        <v>9</v>
      </c>
    </row>
    <row r="885" spans="2:6" ht="18.75" thickBot="1">
      <c r="B885" s="3491">
        <v>881</v>
      </c>
      <c r="C885" s="3492" t="s">
        <v>4974</v>
      </c>
      <c r="D885" s="3493" t="s">
        <v>4457</v>
      </c>
      <c r="E885" s="3493">
        <v>27.63</v>
      </c>
      <c r="F885" s="3492">
        <v>9</v>
      </c>
    </row>
    <row r="886" spans="2:6" ht="18.75" thickBot="1">
      <c r="B886" s="3491">
        <v>882</v>
      </c>
      <c r="C886" s="3492" t="s">
        <v>4974</v>
      </c>
      <c r="D886" s="3493" t="s">
        <v>4458</v>
      </c>
      <c r="E886" s="3493">
        <v>27.63</v>
      </c>
      <c r="F886" s="3492">
        <v>9</v>
      </c>
    </row>
    <row r="887" spans="2:6" ht="18.75" thickBot="1">
      <c r="B887" s="3491">
        <v>883</v>
      </c>
      <c r="C887" s="3492" t="s">
        <v>4974</v>
      </c>
      <c r="D887" s="3493" t="s">
        <v>4459</v>
      </c>
      <c r="E887" s="3493">
        <v>27.63</v>
      </c>
      <c r="F887" s="3492">
        <v>9</v>
      </c>
    </row>
    <row r="888" spans="2:6" ht="18.75" thickBot="1">
      <c r="B888" s="3491">
        <v>884</v>
      </c>
      <c r="C888" s="3492" t="s">
        <v>4974</v>
      </c>
      <c r="D888" s="3493" t="s">
        <v>4460</v>
      </c>
      <c r="E888" s="3493">
        <v>27.63</v>
      </c>
      <c r="F888" s="3492">
        <v>9</v>
      </c>
    </row>
    <row r="889" spans="2:6" ht="18.75" thickBot="1">
      <c r="B889" s="3491">
        <v>885</v>
      </c>
      <c r="C889" s="3492" t="s">
        <v>4974</v>
      </c>
      <c r="D889" s="3493" t="s">
        <v>4461</v>
      </c>
      <c r="E889" s="3493">
        <v>27.63</v>
      </c>
      <c r="F889" s="3492">
        <v>9</v>
      </c>
    </row>
    <row r="890" spans="2:6" ht="18.75" thickBot="1">
      <c r="B890" s="3491">
        <v>886</v>
      </c>
      <c r="C890" s="3492" t="s">
        <v>4974</v>
      </c>
      <c r="D890" s="3493" t="s">
        <v>4462</v>
      </c>
      <c r="E890" s="3493">
        <v>27.63</v>
      </c>
      <c r="F890" s="3492">
        <v>9</v>
      </c>
    </row>
    <row r="891" spans="2:6" ht="18.75" thickBot="1">
      <c r="B891" s="3491">
        <v>887</v>
      </c>
      <c r="C891" s="3492" t="s">
        <v>4974</v>
      </c>
      <c r="D891" s="3493" t="s">
        <v>4463</v>
      </c>
      <c r="E891" s="3493">
        <v>27.63</v>
      </c>
      <c r="F891" s="3492">
        <v>9</v>
      </c>
    </row>
    <row r="892" spans="2:6" ht="18.75" thickBot="1">
      <c r="B892" s="3491">
        <v>888</v>
      </c>
      <c r="C892" s="3492" t="s">
        <v>4974</v>
      </c>
      <c r="D892" s="3493" t="s">
        <v>4464</v>
      </c>
      <c r="E892" s="3493">
        <v>27.63</v>
      </c>
      <c r="F892" s="3492">
        <v>9</v>
      </c>
    </row>
    <row r="893" spans="2:6" ht="18.75" thickBot="1">
      <c r="B893" s="3491">
        <v>889</v>
      </c>
      <c r="C893" s="3492" t="s">
        <v>4974</v>
      </c>
      <c r="D893" s="3493" t="s">
        <v>4465</v>
      </c>
      <c r="E893" s="3493">
        <v>27.63</v>
      </c>
      <c r="F893" s="3492">
        <v>9</v>
      </c>
    </row>
    <row r="894" spans="2:6" ht="18.75" thickBot="1">
      <c r="B894" s="3491">
        <v>890</v>
      </c>
      <c r="C894" s="3492" t="s">
        <v>4974</v>
      </c>
      <c r="D894" s="3493" t="s">
        <v>4466</v>
      </c>
      <c r="E894" s="3493">
        <v>27.63</v>
      </c>
      <c r="F894" s="3492">
        <v>9</v>
      </c>
    </row>
    <row r="895" spans="2:6" ht="18.75" thickBot="1">
      <c r="B895" s="3491">
        <v>891</v>
      </c>
      <c r="C895" s="3492" t="s">
        <v>4974</v>
      </c>
      <c r="D895" s="3493" t="s">
        <v>4467</v>
      </c>
      <c r="E895" s="3493">
        <v>27.63</v>
      </c>
      <c r="F895" s="3492">
        <v>9</v>
      </c>
    </row>
    <row r="896" spans="2:6" ht="18.75" thickBot="1">
      <c r="B896" s="3491">
        <v>892</v>
      </c>
      <c r="C896" s="3492" t="s">
        <v>4974</v>
      </c>
      <c r="D896" s="3493" t="s">
        <v>4468</v>
      </c>
      <c r="E896" s="3493">
        <v>27.63</v>
      </c>
      <c r="F896" s="3492">
        <v>9</v>
      </c>
    </row>
    <row r="897" spans="2:6" ht="18.75" thickBot="1">
      <c r="B897" s="3491">
        <v>893</v>
      </c>
      <c r="C897" s="3492" t="s">
        <v>4974</v>
      </c>
      <c r="D897" s="3493" t="s">
        <v>4469</v>
      </c>
      <c r="E897" s="3493">
        <v>27.63</v>
      </c>
      <c r="F897" s="3492">
        <v>9</v>
      </c>
    </row>
    <row r="898" spans="2:6" ht="18.75" thickBot="1">
      <c r="B898" s="3491">
        <v>894</v>
      </c>
      <c r="C898" s="3492" t="s">
        <v>4974</v>
      </c>
      <c r="D898" s="3493" t="s">
        <v>4470</v>
      </c>
      <c r="E898" s="3493">
        <v>27.63</v>
      </c>
      <c r="F898" s="3492">
        <v>9</v>
      </c>
    </row>
    <row r="899" spans="2:6" ht="18.75" thickBot="1">
      <c r="B899" s="3491">
        <v>895</v>
      </c>
      <c r="C899" s="3492" t="s">
        <v>4974</v>
      </c>
      <c r="D899" s="3493" t="s">
        <v>4471</v>
      </c>
      <c r="E899" s="3493">
        <v>27.63</v>
      </c>
      <c r="F899" s="3492">
        <v>9</v>
      </c>
    </row>
    <row r="900" spans="2:6" ht="18.75" thickBot="1">
      <c r="B900" s="3491">
        <v>896</v>
      </c>
      <c r="C900" s="3492" t="s">
        <v>4974</v>
      </c>
      <c r="D900" s="3493" t="s">
        <v>4472</v>
      </c>
      <c r="E900" s="3493">
        <v>27.63</v>
      </c>
      <c r="F900" s="3492">
        <v>9</v>
      </c>
    </row>
    <row r="901" spans="2:6" ht="18.75" thickBot="1">
      <c r="B901" s="3491">
        <v>897</v>
      </c>
      <c r="C901" s="3492" t="s">
        <v>4974</v>
      </c>
      <c r="D901" s="3493" t="s">
        <v>4473</v>
      </c>
      <c r="E901" s="3493">
        <v>27.63</v>
      </c>
      <c r="F901" s="3492">
        <v>9</v>
      </c>
    </row>
    <row r="902" spans="2:6" ht="18.75" thickBot="1">
      <c r="B902" s="3491">
        <v>898</v>
      </c>
      <c r="C902" s="3492" t="s">
        <v>4974</v>
      </c>
      <c r="D902" s="3493" t="s">
        <v>4474</v>
      </c>
      <c r="E902" s="3493">
        <v>27.63</v>
      </c>
      <c r="F902" s="3492">
        <v>9</v>
      </c>
    </row>
    <row r="903" spans="2:6" ht="18.75" thickBot="1">
      <c r="B903" s="3491">
        <v>899</v>
      </c>
      <c r="C903" s="3492" t="s">
        <v>4974</v>
      </c>
      <c r="D903" s="3493" t="s">
        <v>4475</v>
      </c>
      <c r="E903" s="3493">
        <v>27.63</v>
      </c>
      <c r="F903" s="3492">
        <v>9</v>
      </c>
    </row>
    <row r="904" spans="2:6" ht="18.75" thickBot="1">
      <c r="B904" s="3491">
        <v>900</v>
      </c>
      <c r="C904" s="3492" t="s">
        <v>4974</v>
      </c>
      <c r="D904" s="3493" t="s">
        <v>4476</v>
      </c>
      <c r="E904" s="3493">
        <v>27.63</v>
      </c>
      <c r="F904" s="3492">
        <v>9</v>
      </c>
    </row>
    <row r="905" spans="2:6" ht="18.75" thickBot="1">
      <c r="B905" s="3491">
        <v>901</v>
      </c>
      <c r="C905" s="3492" t="s">
        <v>4974</v>
      </c>
      <c r="D905" s="3493" t="s">
        <v>4477</v>
      </c>
      <c r="E905" s="3493">
        <v>27.63</v>
      </c>
      <c r="F905" s="3492">
        <v>9</v>
      </c>
    </row>
    <row r="906" spans="2:6" ht="18.75" thickBot="1">
      <c r="B906" s="3491">
        <v>902</v>
      </c>
      <c r="C906" s="3492" t="s">
        <v>4974</v>
      </c>
      <c r="D906" s="3493" t="s">
        <v>4478</v>
      </c>
      <c r="E906" s="3493">
        <v>27.63</v>
      </c>
      <c r="F906" s="3492">
        <v>9</v>
      </c>
    </row>
    <row r="907" spans="2:6" ht="18.75" thickBot="1">
      <c r="B907" s="3491">
        <v>903</v>
      </c>
      <c r="C907" s="3492" t="s">
        <v>4974</v>
      </c>
      <c r="D907" s="3493" t="s">
        <v>4479</v>
      </c>
      <c r="E907" s="3493">
        <v>27.63</v>
      </c>
      <c r="F907" s="3492">
        <v>9</v>
      </c>
    </row>
    <row r="908" spans="2:6" ht="18.75" thickBot="1">
      <c r="B908" s="3491">
        <v>904</v>
      </c>
      <c r="C908" s="3492" t="s">
        <v>4974</v>
      </c>
      <c r="D908" s="3493" t="s">
        <v>4480</v>
      </c>
      <c r="E908" s="3493">
        <v>27.63</v>
      </c>
      <c r="F908" s="3492">
        <v>9</v>
      </c>
    </row>
    <row r="909" spans="2:6" ht="18.75" thickBot="1">
      <c r="B909" s="3491">
        <v>905</v>
      </c>
      <c r="C909" s="3492" t="s">
        <v>4974</v>
      </c>
      <c r="D909" s="3493" t="s">
        <v>4481</v>
      </c>
      <c r="E909" s="3493">
        <v>27.63</v>
      </c>
      <c r="F909" s="3492">
        <v>9</v>
      </c>
    </row>
    <row r="910" spans="2:6" ht="18.75" thickBot="1">
      <c r="B910" s="3491">
        <v>906</v>
      </c>
      <c r="C910" s="3492" t="s">
        <v>4974</v>
      </c>
      <c r="D910" s="3493" t="s">
        <v>4482</v>
      </c>
      <c r="E910" s="3493">
        <v>27.63</v>
      </c>
      <c r="F910" s="3492">
        <v>9</v>
      </c>
    </row>
    <row r="911" spans="2:6" ht="18.75" thickBot="1">
      <c r="B911" s="3491">
        <v>907</v>
      </c>
      <c r="C911" s="3492" t="s">
        <v>4974</v>
      </c>
      <c r="D911" s="3493" t="s">
        <v>4483</v>
      </c>
      <c r="E911" s="3493">
        <v>27.63</v>
      </c>
      <c r="F911" s="3492">
        <v>9</v>
      </c>
    </row>
    <row r="912" spans="2:6" ht="18.75" thickBot="1">
      <c r="B912" s="3491">
        <v>908</v>
      </c>
      <c r="C912" s="3492" t="s">
        <v>4974</v>
      </c>
      <c r="D912" s="3493" t="s">
        <v>4484</v>
      </c>
      <c r="E912" s="3493">
        <v>27.63</v>
      </c>
      <c r="F912" s="3492">
        <v>9</v>
      </c>
    </row>
    <row r="913" spans="2:6" ht="18.75" thickBot="1">
      <c r="B913" s="3491">
        <v>909</v>
      </c>
      <c r="C913" s="3492" t="s">
        <v>4974</v>
      </c>
      <c r="D913" s="3493" t="s">
        <v>4485</v>
      </c>
      <c r="E913" s="3493">
        <v>27.63</v>
      </c>
      <c r="F913" s="3492">
        <v>9</v>
      </c>
    </row>
    <row r="914" spans="2:6" ht="18.75" thickBot="1">
      <c r="B914" s="3491">
        <v>910</v>
      </c>
      <c r="C914" s="3492" t="s">
        <v>4974</v>
      </c>
      <c r="D914" s="3493" t="s">
        <v>4486</v>
      </c>
      <c r="E914" s="3493">
        <v>27.63</v>
      </c>
      <c r="F914" s="3492">
        <v>9</v>
      </c>
    </row>
    <row r="915" spans="2:6" ht="18.75" thickBot="1">
      <c r="B915" s="3491">
        <v>911</v>
      </c>
      <c r="C915" s="3492" t="s">
        <v>4974</v>
      </c>
      <c r="D915" s="3493" t="s">
        <v>4487</v>
      </c>
      <c r="E915" s="3493">
        <v>27.63</v>
      </c>
      <c r="F915" s="3492">
        <v>9</v>
      </c>
    </row>
    <row r="916" spans="2:6" ht="18.75" thickBot="1">
      <c r="B916" s="3491">
        <v>912</v>
      </c>
      <c r="C916" s="3492" t="s">
        <v>4974</v>
      </c>
      <c r="D916" s="3493" t="s">
        <v>4488</v>
      </c>
      <c r="E916" s="3493">
        <v>27.63</v>
      </c>
      <c r="F916" s="3492">
        <v>9</v>
      </c>
    </row>
    <row r="917" spans="2:6" ht="18.75" thickBot="1">
      <c r="B917" s="3491">
        <v>913</v>
      </c>
      <c r="C917" s="3492" t="s">
        <v>4974</v>
      </c>
      <c r="D917" s="3493" t="s">
        <v>4489</v>
      </c>
      <c r="E917" s="3493">
        <v>27.63</v>
      </c>
      <c r="F917" s="3492">
        <v>9</v>
      </c>
    </row>
    <row r="918" spans="2:6" ht="18.75" thickBot="1">
      <c r="B918" s="3491">
        <v>914</v>
      </c>
      <c r="C918" s="3492" t="s">
        <v>4974</v>
      </c>
      <c r="D918" s="3493" t="s">
        <v>4490</v>
      </c>
      <c r="E918" s="3493">
        <v>27.63</v>
      </c>
      <c r="F918" s="3492">
        <v>9</v>
      </c>
    </row>
    <row r="919" spans="2:6" ht="18.75" thickBot="1">
      <c r="B919" s="3491">
        <v>915</v>
      </c>
      <c r="C919" s="3492" t="s">
        <v>4974</v>
      </c>
      <c r="D919" s="3493" t="s">
        <v>4491</v>
      </c>
      <c r="E919" s="3493">
        <v>27.63</v>
      </c>
      <c r="F919" s="3492">
        <v>9</v>
      </c>
    </row>
    <row r="920" spans="2:6" ht="18.75" thickBot="1">
      <c r="B920" s="3491">
        <v>916</v>
      </c>
      <c r="C920" s="3492" t="s">
        <v>4974</v>
      </c>
      <c r="D920" s="3493" t="s">
        <v>4492</v>
      </c>
      <c r="E920" s="3493">
        <v>27.63</v>
      </c>
      <c r="F920" s="3492">
        <v>9</v>
      </c>
    </row>
    <row r="921" spans="2:6" ht="18.75" thickBot="1">
      <c r="B921" s="3491">
        <v>917</v>
      </c>
      <c r="C921" s="3492" t="s">
        <v>4974</v>
      </c>
      <c r="D921" s="3493" t="s">
        <v>4493</v>
      </c>
      <c r="E921" s="3493">
        <v>27.46</v>
      </c>
      <c r="F921" s="3492">
        <v>8.94</v>
      </c>
    </row>
    <row r="922" spans="2:6" ht="18.75" thickBot="1">
      <c r="B922" s="3491">
        <v>918</v>
      </c>
      <c r="C922" s="3492" t="s">
        <v>4974</v>
      </c>
      <c r="D922" s="3493" t="s">
        <v>4494</v>
      </c>
      <c r="E922" s="3493">
        <v>27.63</v>
      </c>
      <c r="F922" s="3492">
        <v>9</v>
      </c>
    </row>
    <row r="923" spans="2:6" ht="18.75" thickBot="1">
      <c r="B923" s="3491">
        <v>919</v>
      </c>
      <c r="C923" s="3492" t="s">
        <v>4974</v>
      </c>
      <c r="D923" s="3493" t="s">
        <v>4495</v>
      </c>
      <c r="E923" s="3493">
        <v>27.63</v>
      </c>
      <c r="F923" s="3492">
        <v>9</v>
      </c>
    </row>
    <row r="924" spans="2:6" ht="18.75" thickBot="1">
      <c r="B924" s="3491">
        <v>920</v>
      </c>
      <c r="C924" s="3492" t="s">
        <v>4974</v>
      </c>
      <c r="D924" s="3493" t="s">
        <v>4496</v>
      </c>
      <c r="E924" s="3493">
        <v>27.63</v>
      </c>
      <c r="F924" s="3492">
        <v>9</v>
      </c>
    </row>
    <row r="925" spans="2:6" ht="18.75" thickBot="1">
      <c r="B925" s="3491">
        <v>921</v>
      </c>
      <c r="C925" s="3492" t="s">
        <v>4974</v>
      </c>
      <c r="D925" s="3493" t="s">
        <v>4497</v>
      </c>
      <c r="E925" s="3493">
        <v>27.63</v>
      </c>
      <c r="F925" s="3492">
        <v>9</v>
      </c>
    </row>
    <row r="926" spans="2:6" ht="18.75" thickBot="1">
      <c r="B926" s="3491">
        <v>922</v>
      </c>
      <c r="C926" s="3492" t="s">
        <v>4974</v>
      </c>
      <c r="D926" s="3493" t="s">
        <v>4498</v>
      </c>
      <c r="E926" s="3493">
        <v>27.63</v>
      </c>
      <c r="F926" s="3492">
        <v>9</v>
      </c>
    </row>
    <row r="927" spans="2:6" ht="18.75" thickBot="1">
      <c r="B927" s="3491">
        <v>923</v>
      </c>
      <c r="C927" s="3492" t="s">
        <v>4974</v>
      </c>
      <c r="D927" s="3493" t="s">
        <v>4499</v>
      </c>
      <c r="E927" s="3493">
        <v>27.63</v>
      </c>
      <c r="F927" s="3492">
        <v>9</v>
      </c>
    </row>
    <row r="928" spans="2:6" ht="18.75" thickBot="1">
      <c r="B928" s="3491">
        <v>924</v>
      </c>
      <c r="C928" s="3492" t="s">
        <v>4974</v>
      </c>
      <c r="D928" s="3493" t="s">
        <v>4500</v>
      </c>
      <c r="E928" s="3493">
        <v>27.63</v>
      </c>
      <c r="F928" s="3492">
        <v>9</v>
      </c>
    </row>
    <row r="929" spans="2:6" ht="18.75" thickBot="1">
      <c r="B929" s="3491">
        <v>925</v>
      </c>
      <c r="C929" s="3492" t="s">
        <v>4974</v>
      </c>
      <c r="D929" s="3493" t="s">
        <v>4501</v>
      </c>
      <c r="E929" s="3493">
        <v>27.63</v>
      </c>
      <c r="F929" s="3492">
        <v>9</v>
      </c>
    </row>
    <row r="930" spans="2:6" ht="18.75" thickBot="1">
      <c r="B930" s="3491">
        <v>926</v>
      </c>
      <c r="C930" s="3492" t="s">
        <v>4974</v>
      </c>
      <c r="D930" s="3493" t="s">
        <v>4502</v>
      </c>
      <c r="E930" s="3493">
        <v>20.55</v>
      </c>
      <c r="F930" s="3492">
        <v>6.69</v>
      </c>
    </row>
    <row r="931" spans="2:6" ht="18.75" thickBot="1">
      <c r="B931" s="3491">
        <v>927</v>
      </c>
      <c r="C931" s="3492" t="s">
        <v>4974</v>
      </c>
      <c r="D931" s="3493" t="s">
        <v>4503</v>
      </c>
      <c r="E931" s="3493">
        <v>27.63</v>
      </c>
      <c r="F931" s="3492">
        <v>9</v>
      </c>
    </row>
    <row r="932" spans="2:6" ht="18.75" thickBot="1">
      <c r="B932" s="3491">
        <v>928</v>
      </c>
      <c r="C932" s="3492" t="s">
        <v>4974</v>
      </c>
      <c r="D932" s="3493" t="s">
        <v>4504</v>
      </c>
      <c r="E932" s="3493">
        <v>27.63</v>
      </c>
      <c r="F932" s="3492">
        <v>9</v>
      </c>
    </row>
    <row r="933" spans="2:6" ht="18.75" thickBot="1">
      <c r="B933" s="3491">
        <v>929</v>
      </c>
      <c r="C933" s="3492" t="s">
        <v>4974</v>
      </c>
      <c r="D933" s="3493" t="s">
        <v>4505</v>
      </c>
      <c r="E933" s="3493">
        <v>27.63</v>
      </c>
      <c r="F933" s="3492">
        <v>9</v>
      </c>
    </row>
    <row r="934" spans="2:6" ht="18.75" thickBot="1">
      <c r="B934" s="3491">
        <v>930</v>
      </c>
      <c r="C934" s="3492" t="s">
        <v>4974</v>
      </c>
      <c r="D934" s="3493" t="s">
        <v>4506</v>
      </c>
      <c r="E934" s="3493">
        <v>27.63</v>
      </c>
      <c r="F934" s="3492">
        <v>9</v>
      </c>
    </row>
    <row r="935" spans="2:6" ht="18.75" thickBot="1">
      <c r="B935" s="3491">
        <v>931</v>
      </c>
      <c r="C935" s="3492" t="s">
        <v>4974</v>
      </c>
      <c r="D935" s="3493" t="s">
        <v>4507</v>
      </c>
      <c r="E935" s="3493">
        <v>27.63</v>
      </c>
      <c r="F935" s="3492">
        <v>9</v>
      </c>
    </row>
    <row r="936" spans="2:6" ht="18.75" thickBot="1">
      <c r="B936" s="3491">
        <v>932</v>
      </c>
      <c r="C936" s="3492" t="s">
        <v>4974</v>
      </c>
      <c r="D936" s="3493" t="s">
        <v>4508</v>
      </c>
      <c r="E936" s="3493">
        <v>27.63</v>
      </c>
      <c r="F936" s="3492">
        <v>9</v>
      </c>
    </row>
    <row r="937" spans="2:6" ht="18.75" thickBot="1">
      <c r="B937" s="3491">
        <v>933</v>
      </c>
      <c r="C937" s="3492" t="s">
        <v>4974</v>
      </c>
      <c r="D937" s="3493" t="s">
        <v>4509</v>
      </c>
      <c r="E937" s="3493">
        <v>27.63</v>
      </c>
      <c r="F937" s="3492">
        <v>9</v>
      </c>
    </row>
    <row r="938" spans="2:6" ht="18.75" thickBot="1">
      <c r="B938" s="3491">
        <v>934</v>
      </c>
      <c r="C938" s="3492" t="s">
        <v>4974</v>
      </c>
      <c r="D938" s="3493" t="s">
        <v>4510</v>
      </c>
      <c r="E938" s="3493">
        <v>27.63</v>
      </c>
      <c r="F938" s="3492">
        <v>9</v>
      </c>
    </row>
    <row r="939" spans="2:6" ht="18.75" thickBot="1">
      <c r="B939" s="3491">
        <v>935</v>
      </c>
      <c r="C939" s="3492" t="s">
        <v>4974</v>
      </c>
      <c r="D939" s="3493" t="s">
        <v>4511</v>
      </c>
      <c r="E939" s="3493">
        <v>27.63</v>
      </c>
      <c r="F939" s="3492">
        <v>9</v>
      </c>
    </row>
    <row r="940" spans="2:6" ht="18.75" thickBot="1">
      <c r="B940" s="3491">
        <v>936</v>
      </c>
      <c r="C940" s="3492" t="s">
        <v>4974</v>
      </c>
      <c r="D940" s="3493" t="s">
        <v>4512</v>
      </c>
      <c r="E940" s="3493">
        <v>27.63</v>
      </c>
      <c r="F940" s="3492">
        <v>9</v>
      </c>
    </row>
    <row r="941" spans="2:6" ht="18.75" thickBot="1">
      <c r="B941" s="3491">
        <v>937</v>
      </c>
      <c r="C941" s="3492" t="s">
        <v>4974</v>
      </c>
      <c r="D941" s="3493" t="s">
        <v>4513</v>
      </c>
      <c r="E941" s="3493">
        <v>27.63</v>
      </c>
      <c r="F941" s="3492">
        <v>9</v>
      </c>
    </row>
    <row r="942" spans="2:6" ht="18.75" thickBot="1">
      <c r="B942" s="3491">
        <v>938</v>
      </c>
      <c r="C942" s="3492" t="s">
        <v>4974</v>
      </c>
      <c r="D942" s="3493" t="s">
        <v>4514</v>
      </c>
      <c r="E942" s="3493">
        <v>20.55</v>
      </c>
      <c r="F942" s="3492">
        <v>6.69</v>
      </c>
    </row>
    <row r="943" spans="2:6" ht="18.75" thickBot="1">
      <c r="B943" s="3491">
        <v>939</v>
      </c>
      <c r="C943" s="3492" t="s">
        <v>4974</v>
      </c>
      <c r="D943" s="3493" t="s">
        <v>4515</v>
      </c>
      <c r="E943" s="3493">
        <v>27.63</v>
      </c>
      <c r="F943" s="3492">
        <v>9</v>
      </c>
    </row>
    <row r="944" spans="2:6" ht="18.75" thickBot="1">
      <c r="B944" s="3491">
        <v>940</v>
      </c>
      <c r="C944" s="3492" t="s">
        <v>4974</v>
      </c>
      <c r="D944" s="3493" t="s">
        <v>4516</v>
      </c>
      <c r="E944" s="3493">
        <v>27.63</v>
      </c>
      <c r="F944" s="3492">
        <v>9</v>
      </c>
    </row>
    <row r="945" spans="2:6" ht="18.75" thickBot="1">
      <c r="B945" s="3491">
        <v>941</v>
      </c>
      <c r="C945" s="3492" t="s">
        <v>4974</v>
      </c>
      <c r="D945" s="3493" t="s">
        <v>4517</v>
      </c>
      <c r="E945" s="3493">
        <v>27.63</v>
      </c>
      <c r="F945" s="3492">
        <v>9</v>
      </c>
    </row>
    <row r="946" spans="2:6" ht="18.75" thickBot="1">
      <c r="B946" s="3491">
        <v>942</v>
      </c>
      <c r="C946" s="3492" t="s">
        <v>4974</v>
      </c>
      <c r="D946" s="3493" t="s">
        <v>4518</v>
      </c>
      <c r="E946" s="3493">
        <v>27.63</v>
      </c>
      <c r="F946" s="3492">
        <v>9</v>
      </c>
    </row>
    <row r="947" spans="2:6" ht="18.75" thickBot="1">
      <c r="B947" s="3491">
        <v>943</v>
      </c>
      <c r="C947" s="3492" t="s">
        <v>4974</v>
      </c>
      <c r="D947" s="3493" t="s">
        <v>4519</v>
      </c>
      <c r="E947" s="3493">
        <v>27.63</v>
      </c>
      <c r="F947" s="3492">
        <v>9</v>
      </c>
    </row>
    <row r="948" spans="2:6" ht="18.75" thickBot="1">
      <c r="B948" s="3491">
        <v>944</v>
      </c>
      <c r="C948" s="3492" t="s">
        <v>4974</v>
      </c>
      <c r="D948" s="3493" t="s">
        <v>4520</v>
      </c>
      <c r="E948" s="3493">
        <v>27.63</v>
      </c>
      <c r="F948" s="3492">
        <v>9</v>
      </c>
    </row>
    <row r="949" spans="2:6" ht="18.75" thickBot="1">
      <c r="B949" s="3491">
        <v>945</v>
      </c>
      <c r="C949" s="3492" t="s">
        <v>4974</v>
      </c>
      <c r="D949" s="3493" t="s">
        <v>4521</v>
      </c>
      <c r="E949" s="3493">
        <v>27.63</v>
      </c>
      <c r="F949" s="3492">
        <v>9</v>
      </c>
    </row>
    <row r="950" spans="2:6" ht="18.75" thickBot="1">
      <c r="B950" s="3491">
        <v>946</v>
      </c>
      <c r="C950" s="3492" t="s">
        <v>4974</v>
      </c>
      <c r="D950" s="3493" t="s">
        <v>4522</v>
      </c>
      <c r="E950" s="3493">
        <v>27.63</v>
      </c>
      <c r="F950" s="3492">
        <v>9</v>
      </c>
    </row>
    <row r="951" spans="2:6" ht="18.75" thickBot="1">
      <c r="B951" s="3491">
        <v>947</v>
      </c>
      <c r="C951" s="3492" t="s">
        <v>4974</v>
      </c>
      <c r="D951" s="3493" t="s">
        <v>4523</v>
      </c>
      <c r="E951" s="3493">
        <v>27.63</v>
      </c>
      <c r="F951" s="3492">
        <v>9</v>
      </c>
    </row>
    <row r="952" spans="2:6" ht="18.75" thickBot="1">
      <c r="B952" s="3491">
        <v>948</v>
      </c>
      <c r="C952" s="3492" t="s">
        <v>4974</v>
      </c>
      <c r="D952" s="3493" t="s">
        <v>4524</v>
      </c>
      <c r="E952" s="3493">
        <v>27.63</v>
      </c>
      <c r="F952" s="3492">
        <v>9</v>
      </c>
    </row>
    <row r="953" spans="2:6" ht="18.75" thickBot="1">
      <c r="B953" s="3491">
        <v>949</v>
      </c>
      <c r="C953" s="3492" t="s">
        <v>4974</v>
      </c>
      <c r="D953" s="3493" t="s">
        <v>4525</v>
      </c>
      <c r="E953" s="3493">
        <v>27.63</v>
      </c>
      <c r="F953" s="3492">
        <v>9</v>
      </c>
    </row>
    <row r="954" spans="2:6" ht="18.75" thickBot="1">
      <c r="B954" s="3491">
        <v>950</v>
      </c>
      <c r="C954" s="3492" t="s">
        <v>4974</v>
      </c>
      <c r="D954" s="3493" t="s">
        <v>4526</v>
      </c>
      <c r="E954" s="3493">
        <v>27.63</v>
      </c>
      <c r="F954" s="3492">
        <v>9</v>
      </c>
    </row>
    <row r="955" spans="2:6" ht="18.75" thickBot="1">
      <c r="B955" s="3491">
        <v>951</v>
      </c>
      <c r="C955" s="3492" t="s">
        <v>4974</v>
      </c>
      <c r="D955" s="3493" t="s">
        <v>4527</v>
      </c>
      <c r="E955" s="3493">
        <v>27.06</v>
      </c>
      <c r="F955" s="3492">
        <v>8.81</v>
      </c>
    </row>
    <row r="956" spans="2:6" ht="18.75" thickBot="1">
      <c r="B956" s="3491">
        <v>952</v>
      </c>
      <c r="C956" s="3492" t="s">
        <v>4974</v>
      </c>
      <c r="D956" s="3493" t="s">
        <v>4528</v>
      </c>
      <c r="E956" s="3493">
        <v>27.63</v>
      </c>
      <c r="F956" s="3492">
        <v>9</v>
      </c>
    </row>
    <row r="957" spans="2:6" ht="18.75" thickBot="1">
      <c r="B957" s="3491">
        <v>953</v>
      </c>
      <c r="C957" s="3492" t="s">
        <v>4974</v>
      </c>
      <c r="D957" s="3493" t="s">
        <v>4529</v>
      </c>
      <c r="E957" s="3493">
        <v>27.63</v>
      </c>
      <c r="F957" s="3492">
        <v>9</v>
      </c>
    </row>
    <row r="958" spans="2:6" ht="18.75" thickBot="1">
      <c r="B958" s="3491">
        <v>954</v>
      </c>
      <c r="C958" s="3492" t="s">
        <v>4974</v>
      </c>
      <c r="D958" s="3493" t="s">
        <v>4530</v>
      </c>
      <c r="E958" s="3493">
        <v>27.63</v>
      </c>
      <c r="F958" s="3492">
        <v>9</v>
      </c>
    </row>
    <row r="959" spans="2:6" ht="18.75" thickBot="1">
      <c r="B959" s="3491">
        <v>955</v>
      </c>
      <c r="C959" s="3492" t="s">
        <v>4974</v>
      </c>
      <c r="D959" s="3493" t="s">
        <v>4531</v>
      </c>
      <c r="E959" s="3493">
        <v>27.63</v>
      </c>
      <c r="F959" s="3492">
        <v>9</v>
      </c>
    </row>
    <row r="960" spans="2:6" ht="18.75" thickBot="1">
      <c r="B960" s="3491">
        <v>956</v>
      </c>
      <c r="C960" s="3492" t="s">
        <v>4974</v>
      </c>
      <c r="D960" s="3493" t="s">
        <v>4532</v>
      </c>
      <c r="E960" s="3493">
        <v>27.63</v>
      </c>
      <c r="F960" s="3492">
        <v>9</v>
      </c>
    </row>
    <row r="961" spans="2:6" ht="18.75" thickBot="1">
      <c r="B961" s="3491">
        <v>957</v>
      </c>
      <c r="C961" s="3492" t="s">
        <v>4974</v>
      </c>
      <c r="D961" s="3493" t="s">
        <v>4533</v>
      </c>
      <c r="E961" s="3493">
        <v>27.63</v>
      </c>
      <c r="F961" s="3492">
        <v>9</v>
      </c>
    </row>
    <row r="962" spans="2:6" ht="18.75" thickBot="1">
      <c r="B962" s="3491">
        <v>958</v>
      </c>
      <c r="C962" s="3492" t="s">
        <v>4974</v>
      </c>
      <c r="D962" s="3493" t="s">
        <v>4534</v>
      </c>
      <c r="E962" s="3493">
        <v>27.63</v>
      </c>
      <c r="F962" s="3492">
        <v>9</v>
      </c>
    </row>
    <row r="963" spans="2:6" ht="18.75" thickBot="1">
      <c r="B963" s="3491">
        <v>959</v>
      </c>
      <c r="C963" s="3492" t="s">
        <v>4974</v>
      </c>
      <c r="D963" s="3493" t="s">
        <v>4535</v>
      </c>
      <c r="E963" s="3493">
        <v>20.55</v>
      </c>
      <c r="F963" s="3492">
        <v>6.69</v>
      </c>
    </row>
    <row r="964" spans="2:6" ht="18.75" thickBot="1">
      <c r="B964" s="3491">
        <v>960</v>
      </c>
      <c r="C964" s="3492" t="s">
        <v>4974</v>
      </c>
      <c r="D964" s="3493" t="s">
        <v>4536</v>
      </c>
      <c r="E964" s="3493">
        <v>27.63</v>
      </c>
      <c r="F964" s="3492">
        <v>9</v>
      </c>
    </row>
    <row r="965" spans="2:6" ht="18.75" thickBot="1">
      <c r="B965" s="3491">
        <v>961</v>
      </c>
      <c r="C965" s="3492" t="s">
        <v>4974</v>
      </c>
      <c r="D965" s="3493" t="s">
        <v>4537</v>
      </c>
      <c r="E965" s="3493">
        <v>27.63</v>
      </c>
      <c r="F965" s="3492">
        <v>9</v>
      </c>
    </row>
    <row r="966" spans="2:6" ht="18.75" thickBot="1">
      <c r="B966" s="3491">
        <v>962</v>
      </c>
      <c r="C966" s="3492" t="s">
        <v>4974</v>
      </c>
      <c r="D966" s="3493" t="s">
        <v>4538</v>
      </c>
      <c r="E966" s="3493">
        <v>27.63</v>
      </c>
      <c r="F966" s="3492">
        <v>9</v>
      </c>
    </row>
    <row r="967" spans="2:6" ht="18.75" thickBot="1">
      <c r="B967" s="3491">
        <v>963</v>
      </c>
      <c r="C967" s="3492" t="s">
        <v>4974</v>
      </c>
      <c r="D967" s="3493" t="s">
        <v>4539</v>
      </c>
      <c r="E967" s="3493">
        <v>27.63</v>
      </c>
      <c r="F967" s="3492">
        <v>9</v>
      </c>
    </row>
    <row r="968" spans="2:6" ht="18.75" thickBot="1">
      <c r="B968" s="3491">
        <v>964</v>
      </c>
      <c r="C968" s="3492" t="s">
        <v>4974</v>
      </c>
      <c r="D968" s="3493" t="s">
        <v>4540</v>
      </c>
      <c r="E968" s="3493">
        <v>27.63</v>
      </c>
      <c r="F968" s="3492">
        <v>9</v>
      </c>
    </row>
    <row r="969" spans="2:6" ht="18.75" thickBot="1">
      <c r="B969" s="3491">
        <v>965</v>
      </c>
      <c r="C969" s="3492" t="s">
        <v>4974</v>
      </c>
      <c r="D969" s="3493" t="s">
        <v>4541</v>
      </c>
      <c r="E969" s="3493">
        <v>27.63</v>
      </c>
      <c r="F969" s="3492">
        <v>9</v>
      </c>
    </row>
    <row r="970" spans="2:6" ht="18.75" thickBot="1">
      <c r="B970" s="3491">
        <v>966</v>
      </c>
      <c r="C970" s="3492" t="s">
        <v>4974</v>
      </c>
      <c r="D970" s="3493" t="s">
        <v>4542</v>
      </c>
      <c r="E970" s="3493">
        <v>20.55</v>
      </c>
      <c r="F970" s="3492">
        <v>6.69</v>
      </c>
    </row>
    <row r="971" spans="2:6" ht="18.75" thickBot="1">
      <c r="B971" s="3491">
        <v>967</v>
      </c>
      <c r="C971" s="3492" t="s">
        <v>4974</v>
      </c>
      <c r="D971" s="3493" t="s">
        <v>4543</v>
      </c>
      <c r="E971" s="3493">
        <v>27.63</v>
      </c>
      <c r="F971" s="3492">
        <v>9</v>
      </c>
    </row>
    <row r="972" spans="2:6" ht="18.75" thickBot="1">
      <c r="B972" s="3491">
        <v>968</v>
      </c>
      <c r="C972" s="3492" t="s">
        <v>4974</v>
      </c>
      <c r="D972" s="3493" t="s">
        <v>4544</v>
      </c>
      <c r="E972" s="3493">
        <v>27.63</v>
      </c>
      <c r="F972" s="3492">
        <v>9</v>
      </c>
    </row>
    <row r="973" spans="2:6" ht="18.75" thickBot="1">
      <c r="B973" s="3491">
        <v>969</v>
      </c>
      <c r="C973" s="3492" t="s">
        <v>4974</v>
      </c>
      <c r="D973" s="3493" t="s">
        <v>4545</v>
      </c>
      <c r="E973" s="3493">
        <v>27.63</v>
      </c>
      <c r="F973" s="3492">
        <v>9</v>
      </c>
    </row>
    <row r="974" spans="2:6" ht="18.75" thickBot="1">
      <c r="B974" s="3491">
        <v>970</v>
      </c>
      <c r="C974" s="3492" t="s">
        <v>4974</v>
      </c>
      <c r="D974" s="3493" t="s">
        <v>4546</v>
      </c>
      <c r="E974" s="3493">
        <v>27.63</v>
      </c>
      <c r="F974" s="3492">
        <v>9</v>
      </c>
    </row>
    <row r="975" spans="2:6" ht="18.75" thickBot="1">
      <c r="B975" s="3491">
        <v>971</v>
      </c>
      <c r="C975" s="3492" t="s">
        <v>4974</v>
      </c>
      <c r="D975" s="3493" t="s">
        <v>4547</v>
      </c>
      <c r="E975" s="3493">
        <v>20.55</v>
      </c>
      <c r="F975" s="3492">
        <v>6.69</v>
      </c>
    </row>
    <row r="976" spans="2:6" ht="18.75" thickBot="1">
      <c r="B976" s="3491">
        <v>972</v>
      </c>
      <c r="C976" s="3492" t="s">
        <v>4974</v>
      </c>
      <c r="D976" s="3493" t="s">
        <v>4548</v>
      </c>
      <c r="E976" s="3493">
        <v>27.63</v>
      </c>
      <c r="F976" s="3492">
        <v>9</v>
      </c>
    </row>
    <row r="977" spans="2:6" ht="18.75" thickBot="1">
      <c r="B977" s="3491">
        <v>973</v>
      </c>
      <c r="C977" s="3492" t="s">
        <v>4974</v>
      </c>
      <c r="D977" s="3493" t="s">
        <v>4549</v>
      </c>
      <c r="E977" s="3493">
        <v>27.63</v>
      </c>
      <c r="F977" s="3492">
        <v>9</v>
      </c>
    </row>
    <row r="978" spans="2:6" ht="18.75" thickBot="1">
      <c r="B978" s="3491">
        <v>974</v>
      </c>
      <c r="C978" s="3492" t="s">
        <v>4974</v>
      </c>
      <c r="D978" s="3493" t="s">
        <v>4550</v>
      </c>
      <c r="E978" s="3493">
        <v>27.63</v>
      </c>
      <c r="F978" s="3492">
        <v>9</v>
      </c>
    </row>
    <row r="979" spans="2:6" ht="18.75" thickBot="1">
      <c r="B979" s="3491">
        <v>975</v>
      </c>
      <c r="C979" s="3492" t="s">
        <v>4974</v>
      </c>
      <c r="D979" s="3493" t="s">
        <v>4551</v>
      </c>
      <c r="E979" s="3493">
        <v>27.63</v>
      </c>
      <c r="F979" s="3492">
        <v>9</v>
      </c>
    </row>
    <row r="980" spans="2:6" ht="18.75" thickBot="1">
      <c r="B980" s="3491">
        <v>976</v>
      </c>
      <c r="C980" s="3492" t="s">
        <v>4974</v>
      </c>
      <c r="D980" s="3493" t="s">
        <v>4552</v>
      </c>
      <c r="E980" s="3493">
        <v>27.63</v>
      </c>
      <c r="F980" s="3492">
        <v>9</v>
      </c>
    </row>
    <row r="981" spans="2:6" ht="18.75" thickBot="1">
      <c r="B981" s="3491">
        <v>977</v>
      </c>
      <c r="C981" s="3492" t="s">
        <v>4974</v>
      </c>
      <c r="D981" s="3493" t="s">
        <v>4553</v>
      </c>
      <c r="E981" s="3493">
        <v>20.55</v>
      </c>
      <c r="F981" s="3492">
        <v>6.69</v>
      </c>
    </row>
    <row r="982" spans="2:6" ht="18.75" thickBot="1">
      <c r="B982" s="3491">
        <v>978</v>
      </c>
      <c r="C982" s="3492" t="s">
        <v>4974</v>
      </c>
      <c r="D982" s="3493" t="s">
        <v>4554</v>
      </c>
      <c r="E982" s="3493">
        <v>27.63</v>
      </c>
      <c r="F982" s="3492">
        <v>9</v>
      </c>
    </row>
    <row r="983" spans="2:6" ht="18.75" thickBot="1">
      <c r="B983" s="3491">
        <v>979</v>
      </c>
      <c r="C983" s="3492" t="s">
        <v>4974</v>
      </c>
      <c r="D983" s="3493" t="s">
        <v>4555</v>
      </c>
      <c r="E983" s="3493">
        <v>27.63</v>
      </c>
      <c r="F983" s="3492">
        <v>9</v>
      </c>
    </row>
    <row r="984" spans="2:6" ht="18.75" thickBot="1">
      <c r="B984" s="3491">
        <v>980</v>
      </c>
      <c r="C984" s="3492" t="s">
        <v>4974</v>
      </c>
      <c r="D984" s="3493" t="s">
        <v>4556</v>
      </c>
      <c r="E984" s="3493">
        <v>27.63</v>
      </c>
      <c r="F984" s="3492">
        <v>9</v>
      </c>
    </row>
    <row r="985" spans="2:6" ht="18.75" thickBot="1">
      <c r="B985" s="3491">
        <v>981</v>
      </c>
      <c r="C985" s="3492" t="s">
        <v>4974</v>
      </c>
      <c r="D985" s="3493" t="s">
        <v>4557</v>
      </c>
      <c r="E985" s="3493">
        <v>27.63</v>
      </c>
      <c r="F985" s="3492">
        <v>9</v>
      </c>
    </row>
    <row r="986" spans="2:6" ht="18.75" thickBot="1">
      <c r="B986" s="3491">
        <v>982</v>
      </c>
      <c r="C986" s="3492" t="s">
        <v>4974</v>
      </c>
      <c r="D986" s="3493" t="s">
        <v>4558</v>
      </c>
      <c r="E986" s="3493">
        <v>27.63</v>
      </c>
      <c r="F986" s="3492">
        <v>9</v>
      </c>
    </row>
    <row r="987" spans="2:6" ht="18.75" thickBot="1">
      <c r="B987" s="3491">
        <v>983</v>
      </c>
      <c r="C987" s="3492" t="s">
        <v>4974</v>
      </c>
      <c r="D987" s="3493" t="s">
        <v>4559</v>
      </c>
      <c r="E987" s="3493">
        <v>27.63</v>
      </c>
      <c r="F987" s="3492">
        <v>9</v>
      </c>
    </row>
    <row r="988" spans="2:6" ht="18.75" thickBot="1">
      <c r="B988" s="3491">
        <v>984</v>
      </c>
      <c r="C988" s="3492" t="s">
        <v>4974</v>
      </c>
      <c r="D988" s="3493" t="s">
        <v>4560</v>
      </c>
      <c r="E988" s="3493">
        <v>27.63</v>
      </c>
      <c r="F988" s="3492">
        <v>9</v>
      </c>
    </row>
    <row r="989" spans="2:6" ht="18.75" thickBot="1">
      <c r="B989" s="3491">
        <v>985</v>
      </c>
      <c r="C989" s="3492" t="s">
        <v>4974</v>
      </c>
      <c r="D989" s="3493" t="s">
        <v>4561</v>
      </c>
      <c r="E989" s="3493">
        <v>27.63</v>
      </c>
      <c r="F989" s="3492">
        <v>9</v>
      </c>
    </row>
    <row r="990" spans="2:6" ht="18.75" thickBot="1">
      <c r="B990" s="3491">
        <v>986</v>
      </c>
      <c r="C990" s="3492" t="s">
        <v>4974</v>
      </c>
      <c r="D990" s="3493" t="s">
        <v>4562</v>
      </c>
      <c r="E990" s="3493">
        <v>27.63</v>
      </c>
      <c r="F990" s="3492">
        <v>9</v>
      </c>
    </row>
    <row r="991" spans="2:6" ht="18.75" thickBot="1">
      <c r="B991" s="3491">
        <v>987</v>
      </c>
      <c r="C991" s="3492" t="s">
        <v>4974</v>
      </c>
      <c r="D991" s="3493" t="s">
        <v>4563</v>
      </c>
      <c r="E991" s="3493">
        <v>27.63</v>
      </c>
      <c r="F991" s="3492">
        <v>9</v>
      </c>
    </row>
    <row r="992" spans="2:6" ht="18.75" thickBot="1">
      <c r="B992" s="3491">
        <v>988</v>
      </c>
      <c r="C992" s="3492" t="s">
        <v>4974</v>
      </c>
      <c r="D992" s="3493" t="s">
        <v>4564</v>
      </c>
      <c r="E992" s="3493">
        <v>27.63</v>
      </c>
      <c r="F992" s="3492">
        <v>9</v>
      </c>
    </row>
    <row r="993" spans="2:6" ht="18.75" thickBot="1">
      <c r="B993" s="3491">
        <v>989</v>
      </c>
      <c r="C993" s="3492" t="s">
        <v>4974</v>
      </c>
      <c r="D993" s="3493" t="s">
        <v>4565</v>
      </c>
      <c r="E993" s="3493">
        <v>27.63</v>
      </c>
      <c r="F993" s="3492">
        <v>9</v>
      </c>
    </row>
    <row r="994" spans="2:6" ht="18.75" thickBot="1">
      <c r="B994" s="3491">
        <v>990</v>
      </c>
      <c r="C994" s="3492" t="s">
        <v>4974</v>
      </c>
      <c r="D994" s="3493" t="s">
        <v>4566</v>
      </c>
      <c r="E994" s="3493">
        <v>27.63</v>
      </c>
      <c r="F994" s="3492">
        <v>9</v>
      </c>
    </row>
    <row r="995" spans="2:6" ht="18.75" thickBot="1">
      <c r="B995" s="3491">
        <v>991</v>
      </c>
      <c r="C995" s="3492" t="s">
        <v>4974</v>
      </c>
      <c r="D995" s="3493" t="s">
        <v>4567</v>
      </c>
      <c r="E995" s="3493">
        <v>27.63</v>
      </c>
      <c r="F995" s="3492">
        <v>9</v>
      </c>
    </row>
    <row r="996" spans="2:6" ht="18.75" thickBot="1">
      <c r="B996" s="3491">
        <v>992</v>
      </c>
      <c r="C996" s="3492" t="s">
        <v>4974</v>
      </c>
      <c r="D996" s="3493" t="s">
        <v>4568</v>
      </c>
      <c r="E996" s="3493">
        <v>27.63</v>
      </c>
      <c r="F996" s="3492">
        <v>9</v>
      </c>
    </row>
    <row r="997" spans="2:6" ht="18.75" thickBot="1">
      <c r="B997" s="3491">
        <v>993</v>
      </c>
      <c r="C997" s="3492" t="s">
        <v>4974</v>
      </c>
      <c r="D997" s="3493" t="s">
        <v>4569</v>
      </c>
      <c r="E997" s="3493">
        <v>27.63</v>
      </c>
      <c r="F997" s="3492">
        <v>9</v>
      </c>
    </row>
    <row r="998" spans="2:6" ht="18.75" thickBot="1">
      <c r="B998" s="3491">
        <v>994</v>
      </c>
      <c r="C998" s="3492" t="s">
        <v>4974</v>
      </c>
      <c r="D998" s="3493" t="s">
        <v>4570</v>
      </c>
      <c r="E998" s="3493">
        <v>27.63</v>
      </c>
      <c r="F998" s="3492">
        <v>9</v>
      </c>
    </row>
    <row r="999" spans="2:6" ht="18.75" thickBot="1">
      <c r="B999" s="3491">
        <v>995</v>
      </c>
      <c r="C999" s="3492" t="s">
        <v>4974</v>
      </c>
      <c r="D999" s="3493" t="s">
        <v>4571</v>
      </c>
      <c r="E999" s="3493">
        <v>27.63</v>
      </c>
      <c r="F999" s="3492">
        <v>9</v>
      </c>
    </row>
    <row r="1000" spans="2:6" ht="18.75" thickBot="1">
      <c r="B1000" s="3491">
        <v>996</v>
      </c>
      <c r="C1000" s="3492" t="s">
        <v>4974</v>
      </c>
      <c r="D1000" s="3493" t="s">
        <v>4572</v>
      </c>
      <c r="E1000" s="3493">
        <v>27.63</v>
      </c>
      <c r="F1000" s="3492">
        <v>9</v>
      </c>
    </row>
    <row r="1001" spans="2:6" ht="18.75" thickBot="1">
      <c r="B1001" s="3491">
        <v>997</v>
      </c>
      <c r="C1001" s="3492" t="s">
        <v>4974</v>
      </c>
      <c r="D1001" s="3493" t="s">
        <v>4573</v>
      </c>
      <c r="E1001" s="3493">
        <v>27.63</v>
      </c>
      <c r="F1001" s="3492">
        <v>9</v>
      </c>
    </row>
    <row r="1002" spans="2:6" ht="18.75" thickBot="1">
      <c r="B1002" s="3491">
        <v>998</v>
      </c>
      <c r="C1002" s="3492" t="s">
        <v>4974</v>
      </c>
      <c r="D1002" s="3493" t="s">
        <v>4574</v>
      </c>
      <c r="E1002" s="3493">
        <v>27.63</v>
      </c>
      <c r="F1002" s="3492">
        <v>9</v>
      </c>
    </row>
    <row r="1003" spans="2:6" ht="18.75" thickBot="1">
      <c r="B1003" s="3491">
        <v>999</v>
      </c>
      <c r="C1003" s="3492" t="s">
        <v>4974</v>
      </c>
      <c r="D1003" s="3493" t="s">
        <v>4575</v>
      </c>
      <c r="E1003" s="3493">
        <v>27.63</v>
      </c>
      <c r="F1003" s="3492">
        <v>9</v>
      </c>
    </row>
    <row r="1004" spans="2:6" ht="18.75" thickBot="1">
      <c r="B1004" s="3491">
        <v>1000</v>
      </c>
      <c r="C1004" s="3492" t="s">
        <v>4974</v>
      </c>
      <c r="D1004" s="3493" t="s">
        <v>4576</v>
      </c>
      <c r="E1004" s="3493">
        <v>27.63</v>
      </c>
      <c r="F1004" s="3492">
        <v>9</v>
      </c>
    </row>
    <row r="1005" spans="2:6" ht="18.75" thickBot="1">
      <c r="B1005" s="3491">
        <v>1001</v>
      </c>
      <c r="C1005" s="3492" t="s">
        <v>4974</v>
      </c>
      <c r="D1005" s="3493" t="s">
        <v>4577</v>
      </c>
      <c r="E1005" s="3493">
        <v>27.63</v>
      </c>
      <c r="F1005" s="3492">
        <v>9</v>
      </c>
    </row>
    <row r="1006" spans="2:6" ht="18.75" thickBot="1">
      <c r="B1006" s="3491">
        <v>1002</v>
      </c>
      <c r="C1006" s="3492" t="s">
        <v>4974</v>
      </c>
      <c r="D1006" s="3493" t="s">
        <v>4578</v>
      </c>
      <c r="E1006" s="3493">
        <v>27.63</v>
      </c>
      <c r="F1006" s="3492">
        <v>9</v>
      </c>
    </row>
    <row r="1007" spans="2:6" ht="18.75" thickBot="1">
      <c r="B1007" s="3491">
        <v>1003</v>
      </c>
      <c r="C1007" s="3492" t="s">
        <v>4974</v>
      </c>
      <c r="D1007" s="3493" t="s">
        <v>4579</v>
      </c>
      <c r="E1007" s="3493">
        <v>27.63</v>
      </c>
      <c r="F1007" s="3492">
        <v>9</v>
      </c>
    </row>
    <row r="1008" spans="2:6" ht="18.75" thickBot="1">
      <c r="B1008" s="3491">
        <v>1004</v>
      </c>
      <c r="C1008" s="3492" t="s">
        <v>4974</v>
      </c>
      <c r="D1008" s="3493" t="s">
        <v>4580</v>
      </c>
      <c r="E1008" s="3493">
        <v>27.63</v>
      </c>
      <c r="F1008" s="3492">
        <v>9</v>
      </c>
    </row>
    <row r="1009" spans="2:6" ht="18.75" thickBot="1">
      <c r="B1009" s="3491">
        <v>1005</v>
      </c>
      <c r="C1009" s="3492" t="s">
        <v>4974</v>
      </c>
      <c r="D1009" s="3493" t="s">
        <v>4581</v>
      </c>
      <c r="E1009" s="3493">
        <v>27.63</v>
      </c>
      <c r="F1009" s="3492">
        <v>9</v>
      </c>
    </row>
    <row r="1010" spans="2:6" ht="18.75" thickBot="1">
      <c r="B1010" s="3491">
        <v>1006</v>
      </c>
      <c r="C1010" s="3492" t="s">
        <v>4974</v>
      </c>
      <c r="D1010" s="3493" t="s">
        <v>4582</v>
      </c>
      <c r="E1010" s="3493">
        <v>27.63</v>
      </c>
      <c r="F1010" s="3492">
        <v>9</v>
      </c>
    </row>
    <row r="1011" spans="2:6" ht="18.75" thickBot="1">
      <c r="B1011" s="3491">
        <v>1007</v>
      </c>
      <c r="C1011" s="3492" t="s">
        <v>4974</v>
      </c>
      <c r="D1011" s="3493" t="s">
        <v>4583</v>
      </c>
      <c r="E1011" s="3493">
        <v>27.63</v>
      </c>
      <c r="F1011" s="3492">
        <v>9</v>
      </c>
    </row>
    <row r="1012" spans="2:6" ht="18.75" thickBot="1">
      <c r="B1012" s="3491">
        <v>1008</v>
      </c>
      <c r="C1012" s="3492" t="s">
        <v>4974</v>
      </c>
      <c r="D1012" s="3493" t="s">
        <v>4584</v>
      </c>
      <c r="E1012" s="3493">
        <v>27.63</v>
      </c>
      <c r="F1012" s="3492">
        <v>9</v>
      </c>
    </row>
    <row r="1013" spans="2:6" ht="18.75" thickBot="1">
      <c r="B1013" s="3491">
        <v>1009</v>
      </c>
      <c r="C1013" s="3492" t="s">
        <v>4974</v>
      </c>
      <c r="D1013" s="3493" t="s">
        <v>4585</v>
      </c>
      <c r="E1013" s="3493">
        <v>27.63</v>
      </c>
      <c r="F1013" s="3492">
        <v>9</v>
      </c>
    </row>
    <row r="1014" spans="2:6" ht="18.75" thickBot="1">
      <c r="B1014" s="3491">
        <v>1010</v>
      </c>
      <c r="C1014" s="3492" t="s">
        <v>4974</v>
      </c>
      <c r="D1014" s="3493" t="s">
        <v>4586</v>
      </c>
      <c r="E1014" s="3493">
        <v>27.63</v>
      </c>
      <c r="F1014" s="3492">
        <v>9</v>
      </c>
    </row>
    <row r="1015" spans="2:6" ht="18.75" thickBot="1">
      <c r="B1015" s="3491">
        <v>1011</v>
      </c>
      <c r="C1015" s="3492" t="s">
        <v>4974</v>
      </c>
      <c r="D1015" s="3493" t="s">
        <v>4587</v>
      </c>
      <c r="E1015" s="3493">
        <v>27.63</v>
      </c>
      <c r="F1015" s="3492">
        <v>9</v>
      </c>
    </row>
    <row r="1016" spans="2:6" ht="18.75" thickBot="1">
      <c r="B1016" s="3491">
        <v>1012</v>
      </c>
      <c r="C1016" s="3492" t="s">
        <v>4974</v>
      </c>
      <c r="D1016" s="3493" t="s">
        <v>4588</v>
      </c>
      <c r="E1016" s="3493">
        <v>27.63</v>
      </c>
      <c r="F1016" s="3492">
        <v>9</v>
      </c>
    </row>
    <row r="1017" spans="2:6" ht="18.75" thickBot="1">
      <c r="B1017" s="3491">
        <v>1013</v>
      </c>
      <c r="C1017" s="3492" t="s">
        <v>4974</v>
      </c>
      <c r="D1017" s="3493" t="s">
        <v>4589</v>
      </c>
      <c r="E1017" s="3493">
        <v>27.63</v>
      </c>
      <c r="F1017" s="3492">
        <v>9</v>
      </c>
    </row>
    <row r="1018" spans="2:6" ht="18.75" thickBot="1">
      <c r="B1018" s="3491">
        <v>1014</v>
      </c>
      <c r="C1018" s="3492" t="s">
        <v>4974</v>
      </c>
      <c r="D1018" s="3493" t="s">
        <v>4590</v>
      </c>
      <c r="E1018" s="3493">
        <v>27.63</v>
      </c>
      <c r="F1018" s="3492">
        <v>9</v>
      </c>
    </row>
    <row r="1019" spans="2:6" ht="18.75" thickBot="1">
      <c r="B1019" s="3491">
        <v>1015</v>
      </c>
      <c r="C1019" s="3492" t="s">
        <v>4974</v>
      </c>
      <c r="D1019" s="3493" t="s">
        <v>4591</v>
      </c>
      <c r="E1019" s="3493">
        <v>27.63</v>
      </c>
      <c r="F1019" s="3492">
        <v>9</v>
      </c>
    </row>
    <row r="1020" spans="2:6" ht="18.75" thickBot="1">
      <c r="B1020" s="3491">
        <v>1016</v>
      </c>
      <c r="C1020" s="3492" t="s">
        <v>4974</v>
      </c>
      <c r="D1020" s="3493" t="s">
        <v>4592</v>
      </c>
      <c r="E1020" s="3493">
        <v>27.63</v>
      </c>
      <c r="F1020" s="3492">
        <v>9</v>
      </c>
    </row>
    <row r="1021" spans="2:6" ht="18.75" thickBot="1">
      <c r="B1021" s="3491">
        <v>1017</v>
      </c>
      <c r="C1021" s="3492" t="s">
        <v>4974</v>
      </c>
      <c r="D1021" s="3493" t="s">
        <v>4593</v>
      </c>
      <c r="E1021" s="3493">
        <v>27.63</v>
      </c>
      <c r="F1021" s="3492">
        <v>9</v>
      </c>
    </row>
    <row r="1022" spans="2:6" ht="18.75" thickBot="1">
      <c r="B1022" s="3491">
        <v>1018</v>
      </c>
      <c r="C1022" s="3492" t="s">
        <v>4974</v>
      </c>
      <c r="D1022" s="3493" t="s">
        <v>4594</v>
      </c>
      <c r="E1022" s="3493">
        <v>27.63</v>
      </c>
      <c r="F1022" s="3492">
        <v>9</v>
      </c>
    </row>
    <row r="1023" spans="2:6" ht="18.75" thickBot="1">
      <c r="B1023" s="3491">
        <v>1019</v>
      </c>
      <c r="C1023" s="3492" t="s">
        <v>4974</v>
      </c>
      <c r="D1023" s="3493" t="s">
        <v>4595</v>
      </c>
      <c r="E1023" s="3493">
        <v>27.63</v>
      </c>
      <c r="F1023" s="3492">
        <v>9</v>
      </c>
    </row>
    <row r="1024" spans="2:6" ht="18.75" thickBot="1">
      <c r="B1024" s="3491">
        <v>1020</v>
      </c>
      <c r="C1024" s="3492" t="s">
        <v>4974</v>
      </c>
      <c r="D1024" s="3493" t="s">
        <v>4596</v>
      </c>
      <c r="E1024" s="3493">
        <v>27.63</v>
      </c>
      <c r="F1024" s="3492">
        <v>9</v>
      </c>
    </row>
    <row r="1025" spans="2:6" ht="18.75" thickBot="1">
      <c r="B1025" s="3491">
        <v>1021</v>
      </c>
      <c r="C1025" s="3492" t="s">
        <v>4974</v>
      </c>
      <c r="D1025" s="3493" t="s">
        <v>4597</v>
      </c>
      <c r="E1025" s="3493">
        <v>27.63</v>
      </c>
      <c r="F1025" s="3492">
        <v>9</v>
      </c>
    </row>
    <row r="1026" spans="2:6" ht="18.75" thickBot="1">
      <c r="B1026" s="3491">
        <v>1022</v>
      </c>
      <c r="C1026" s="3492" t="s">
        <v>4974</v>
      </c>
      <c r="D1026" s="3493" t="s">
        <v>4598</v>
      </c>
      <c r="E1026" s="3493">
        <v>27.63</v>
      </c>
      <c r="F1026" s="3492">
        <v>9</v>
      </c>
    </row>
    <row r="1027" spans="2:6" ht="18.75" thickBot="1">
      <c r="B1027" s="3491">
        <v>1023</v>
      </c>
      <c r="C1027" s="3492" t="s">
        <v>4974</v>
      </c>
      <c r="D1027" s="3493" t="s">
        <v>4599</v>
      </c>
      <c r="E1027" s="3493">
        <v>27.63</v>
      </c>
      <c r="F1027" s="3492">
        <v>9</v>
      </c>
    </row>
    <row r="1028" spans="2:6" ht="18.75" thickBot="1">
      <c r="B1028" s="3491">
        <v>1024</v>
      </c>
      <c r="C1028" s="3492" t="s">
        <v>4974</v>
      </c>
      <c r="D1028" s="3493" t="s">
        <v>4600</v>
      </c>
      <c r="E1028" s="3493">
        <v>27.63</v>
      </c>
      <c r="F1028" s="3492">
        <v>9</v>
      </c>
    </row>
    <row r="1029" spans="2:6" ht="18.75" thickBot="1">
      <c r="B1029" s="3491">
        <v>1025</v>
      </c>
      <c r="C1029" s="3492" t="s">
        <v>4974</v>
      </c>
      <c r="D1029" s="3493" t="s">
        <v>4601</v>
      </c>
      <c r="E1029" s="3493">
        <v>27.63</v>
      </c>
      <c r="F1029" s="3492">
        <v>9</v>
      </c>
    </row>
    <row r="1030" spans="2:6" ht="18.75" thickBot="1">
      <c r="B1030" s="3491">
        <v>1026</v>
      </c>
      <c r="C1030" s="3492" t="s">
        <v>4974</v>
      </c>
      <c r="D1030" s="3493" t="s">
        <v>4602</v>
      </c>
      <c r="E1030" s="3493">
        <v>27.63</v>
      </c>
      <c r="F1030" s="3492">
        <v>9</v>
      </c>
    </row>
    <row r="1031" spans="2:6" ht="18.75" thickBot="1">
      <c r="B1031" s="3491">
        <v>1027</v>
      </c>
      <c r="C1031" s="3492" t="s">
        <v>4974</v>
      </c>
      <c r="D1031" s="3493" t="s">
        <v>4603</v>
      </c>
      <c r="E1031" s="3493">
        <v>27.63</v>
      </c>
      <c r="F1031" s="3492">
        <v>9</v>
      </c>
    </row>
    <row r="1032" spans="2:6" ht="18.75" thickBot="1">
      <c r="B1032" s="3491">
        <v>1028</v>
      </c>
      <c r="C1032" s="3492" t="s">
        <v>4974</v>
      </c>
      <c r="D1032" s="3493" t="s">
        <v>4604</v>
      </c>
      <c r="E1032" s="3493">
        <v>27.63</v>
      </c>
      <c r="F1032" s="3492">
        <v>9</v>
      </c>
    </row>
    <row r="1033" spans="2:6" ht="18.75" thickBot="1">
      <c r="B1033" s="3491">
        <v>1029</v>
      </c>
      <c r="C1033" s="3492" t="s">
        <v>4974</v>
      </c>
      <c r="D1033" s="3493" t="s">
        <v>4605</v>
      </c>
      <c r="E1033" s="3493">
        <v>27.63</v>
      </c>
      <c r="F1033" s="3492">
        <v>9</v>
      </c>
    </row>
    <row r="1034" spans="2:6" ht="18.75" thickBot="1">
      <c r="B1034" s="3491">
        <v>1030</v>
      </c>
      <c r="C1034" s="3492" t="s">
        <v>4974</v>
      </c>
      <c r="D1034" s="3493" t="s">
        <v>4606</v>
      </c>
      <c r="E1034" s="3493">
        <v>27.63</v>
      </c>
      <c r="F1034" s="3492">
        <v>9</v>
      </c>
    </row>
    <row r="1035" spans="2:6" ht="18.75" thickBot="1">
      <c r="B1035" s="3491">
        <v>1031</v>
      </c>
      <c r="C1035" s="3492" t="s">
        <v>4974</v>
      </c>
      <c r="D1035" s="3493" t="s">
        <v>4607</v>
      </c>
      <c r="E1035" s="3493">
        <v>48.22</v>
      </c>
      <c r="F1035" s="3492">
        <v>15.7</v>
      </c>
    </row>
    <row r="1036" spans="2:6" ht="18.75" thickBot="1">
      <c r="B1036" s="3491">
        <v>1032</v>
      </c>
      <c r="C1036" s="3492" t="s">
        <v>4974</v>
      </c>
      <c r="D1036" s="3493" t="s">
        <v>4608</v>
      </c>
      <c r="E1036" s="3493">
        <v>27.63</v>
      </c>
      <c r="F1036" s="3492">
        <v>9</v>
      </c>
    </row>
    <row r="1037" spans="2:6" ht="18.75" thickBot="1">
      <c r="B1037" s="3491">
        <v>1033</v>
      </c>
      <c r="C1037" s="3492" t="s">
        <v>4974</v>
      </c>
      <c r="D1037" s="3493" t="s">
        <v>4609</v>
      </c>
      <c r="E1037" s="3493">
        <v>27.63</v>
      </c>
      <c r="F1037" s="3492">
        <v>9</v>
      </c>
    </row>
    <row r="1038" spans="2:6" ht="18.75" thickBot="1">
      <c r="B1038" s="3491">
        <v>1034</v>
      </c>
      <c r="C1038" s="3492" t="s">
        <v>4974</v>
      </c>
      <c r="D1038" s="3493" t="s">
        <v>4610</v>
      </c>
      <c r="E1038" s="3493">
        <v>27.63</v>
      </c>
      <c r="F1038" s="3492">
        <v>9</v>
      </c>
    </row>
    <row r="1039" spans="2:6" ht="18.75" thickBot="1">
      <c r="B1039" s="3491">
        <v>1035</v>
      </c>
      <c r="C1039" s="3492" t="s">
        <v>4974</v>
      </c>
      <c r="D1039" s="3493" t="s">
        <v>4611</v>
      </c>
      <c r="E1039" s="3493">
        <v>27.63</v>
      </c>
      <c r="F1039" s="3492">
        <v>9</v>
      </c>
    </row>
    <row r="1040" spans="2:6" ht="18.75" thickBot="1">
      <c r="B1040" s="3491">
        <v>1036</v>
      </c>
      <c r="C1040" s="3492" t="s">
        <v>4974</v>
      </c>
      <c r="D1040" s="3493" t="s">
        <v>4612</v>
      </c>
      <c r="E1040" s="3493">
        <v>27.63</v>
      </c>
      <c r="F1040" s="3492">
        <v>9</v>
      </c>
    </row>
    <row r="1041" spans="2:6" ht="18.75" thickBot="1">
      <c r="B1041" s="3491">
        <v>1037</v>
      </c>
      <c r="C1041" s="3492" t="s">
        <v>4974</v>
      </c>
      <c r="D1041" s="3493" t="s">
        <v>4613</v>
      </c>
      <c r="E1041" s="3493">
        <v>27.63</v>
      </c>
      <c r="F1041" s="3492">
        <v>9</v>
      </c>
    </row>
    <row r="1042" spans="2:6" ht="18.75" thickBot="1">
      <c r="B1042" s="3491">
        <v>1038</v>
      </c>
      <c r="C1042" s="3492" t="s">
        <v>4974</v>
      </c>
      <c r="D1042" s="3493" t="s">
        <v>4614</v>
      </c>
      <c r="E1042" s="3493">
        <v>27.63</v>
      </c>
      <c r="F1042" s="3492">
        <v>9</v>
      </c>
    </row>
    <row r="1043" spans="2:6" ht="18.75" thickBot="1">
      <c r="B1043" s="3491">
        <v>1039</v>
      </c>
      <c r="C1043" s="3492" t="s">
        <v>4974</v>
      </c>
      <c r="D1043" s="3493" t="s">
        <v>4615</v>
      </c>
      <c r="E1043" s="3493">
        <v>27.63</v>
      </c>
      <c r="F1043" s="3492">
        <v>9</v>
      </c>
    </row>
    <row r="1044" spans="2:6" ht="18.75" thickBot="1">
      <c r="B1044" s="3491">
        <v>1040</v>
      </c>
      <c r="C1044" s="3492" t="s">
        <v>4974</v>
      </c>
      <c r="D1044" s="3493" t="s">
        <v>4616</v>
      </c>
      <c r="E1044" s="3493">
        <v>27.63</v>
      </c>
      <c r="F1044" s="3492">
        <v>9</v>
      </c>
    </row>
    <row r="1045" spans="2:6" ht="18.75" thickBot="1">
      <c r="B1045" s="3491">
        <v>1041</v>
      </c>
      <c r="C1045" s="3492" t="s">
        <v>4974</v>
      </c>
      <c r="D1045" s="3493" t="s">
        <v>4617</v>
      </c>
      <c r="E1045" s="3493">
        <v>27.63</v>
      </c>
      <c r="F1045" s="3492">
        <v>9</v>
      </c>
    </row>
    <row r="1046" spans="2:6" ht="18.75" thickBot="1">
      <c r="B1046" s="3491">
        <v>1042</v>
      </c>
      <c r="C1046" s="3492" t="s">
        <v>4974</v>
      </c>
      <c r="D1046" s="3493" t="s">
        <v>4618</v>
      </c>
      <c r="E1046" s="3493">
        <v>27.63</v>
      </c>
      <c r="F1046" s="3492">
        <v>9</v>
      </c>
    </row>
    <row r="1047" spans="2:6" ht="18.75" thickBot="1">
      <c r="B1047" s="3491">
        <v>1043</v>
      </c>
      <c r="C1047" s="3492" t="s">
        <v>4974</v>
      </c>
      <c r="D1047" s="3493" t="s">
        <v>4619</v>
      </c>
      <c r="E1047" s="3493">
        <v>27.63</v>
      </c>
      <c r="F1047" s="3492">
        <v>9</v>
      </c>
    </row>
    <row r="1048" spans="2:6" ht="18.75" thickBot="1">
      <c r="B1048" s="3491">
        <v>1044</v>
      </c>
      <c r="C1048" s="3492" t="s">
        <v>4974</v>
      </c>
      <c r="D1048" s="3493" t="s">
        <v>4620</v>
      </c>
      <c r="E1048" s="3493">
        <v>27.63</v>
      </c>
      <c r="F1048" s="3492">
        <v>9</v>
      </c>
    </row>
    <row r="1049" spans="2:6" ht="18.75" thickBot="1">
      <c r="B1049" s="3491">
        <v>1045</v>
      </c>
      <c r="C1049" s="3492" t="s">
        <v>4974</v>
      </c>
      <c r="D1049" s="3493" t="s">
        <v>4621</v>
      </c>
      <c r="E1049" s="3493">
        <v>27.63</v>
      </c>
      <c r="F1049" s="3492">
        <v>9</v>
      </c>
    </row>
    <row r="1050" spans="2:6" ht="18.75" thickBot="1">
      <c r="B1050" s="3491">
        <v>1046</v>
      </c>
      <c r="C1050" s="3492" t="s">
        <v>4974</v>
      </c>
      <c r="D1050" s="3493" t="s">
        <v>4622</v>
      </c>
      <c r="E1050" s="3493">
        <v>27.63</v>
      </c>
      <c r="F1050" s="3492">
        <v>9</v>
      </c>
    </row>
    <row r="1051" spans="2:6" ht="18.75" thickBot="1">
      <c r="B1051" s="3491">
        <v>1047</v>
      </c>
      <c r="C1051" s="3492" t="s">
        <v>4974</v>
      </c>
      <c r="D1051" s="3493" t="s">
        <v>4623</v>
      </c>
      <c r="E1051" s="3493">
        <v>27.63</v>
      </c>
      <c r="F1051" s="3492">
        <v>9</v>
      </c>
    </row>
    <row r="1052" spans="2:6" ht="18.75" thickBot="1">
      <c r="B1052" s="3491">
        <v>1048</v>
      </c>
      <c r="C1052" s="3492" t="s">
        <v>4974</v>
      </c>
      <c r="D1052" s="3493" t="s">
        <v>4624</v>
      </c>
      <c r="E1052" s="3493">
        <v>27.63</v>
      </c>
      <c r="F1052" s="3492">
        <v>9</v>
      </c>
    </row>
    <row r="1053" spans="2:6" ht="18.75" thickBot="1">
      <c r="B1053" s="3491">
        <v>1049</v>
      </c>
      <c r="C1053" s="3492" t="s">
        <v>4974</v>
      </c>
      <c r="D1053" s="3493" t="s">
        <v>4625</v>
      </c>
      <c r="E1053" s="3493">
        <v>27.63</v>
      </c>
      <c r="F1053" s="3492">
        <v>9</v>
      </c>
    </row>
    <row r="1054" spans="2:6" ht="18.75" thickBot="1">
      <c r="B1054" s="3491">
        <v>1050</v>
      </c>
      <c r="C1054" s="3492" t="s">
        <v>4974</v>
      </c>
      <c r="D1054" s="3493" t="s">
        <v>4626</v>
      </c>
      <c r="E1054" s="3493">
        <v>27.63</v>
      </c>
      <c r="F1054" s="3492">
        <v>9</v>
      </c>
    </row>
    <row r="1055" spans="2:6" ht="18.75" thickBot="1">
      <c r="B1055" s="3491">
        <v>1051</v>
      </c>
      <c r="C1055" s="3492" t="s">
        <v>4974</v>
      </c>
      <c r="D1055" s="3493" t="s">
        <v>4627</v>
      </c>
      <c r="E1055" s="3493">
        <v>27.63</v>
      </c>
      <c r="F1055" s="3492">
        <v>9</v>
      </c>
    </row>
    <row r="1056" spans="2:6" ht="18.75" thickBot="1">
      <c r="B1056" s="3491">
        <v>1052</v>
      </c>
      <c r="C1056" s="3492" t="s">
        <v>4974</v>
      </c>
      <c r="D1056" s="3493" t="s">
        <v>4628</v>
      </c>
      <c r="E1056" s="3493">
        <v>27.63</v>
      </c>
      <c r="F1056" s="3492">
        <v>9</v>
      </c>
    </row>
    <row r="1057" spans="2:9" ht="18.75" thickBot="1">
      <c r="B1057" s="3491">
        <v>1053</v>
      </c>
      <c r="C1057" s="3492" t="s">
        <v>4974</v>
      </c>
      <c r="D1057" s="3493" t="s">
        <v>4629</v>
      </c>
      <c r="E1057" s="3493">
        <v>27.63</v>
      </c>
      <c r="F1057" s="3492">
        <v>9</v>
      </c>
    </row>
    <row r="1058" spans="2:9" ht="18.75" thickBot="1">
      <c r="B1058" s="3491">
        <v>1054</v>
      </c>
      <c r="C1058" s="3492" t="s">
        <v>4974</v>
      </c>
      <c r="D1058" s="3493" t="s">
        <v>4630</v>
      </c>
      <c r="E1058" s="3493">
        <v>27.63</v>
      </c>
      <c r="F1058" s="3492">
        <v>9</v>
      </c>
    </row>
    <row r="1059" spans="2:9" ht="18.75" thickBot="1">
      <c r="B1059" s="3491">
        <v>1055</v>
      </c>
      <c r="C1059" s="3492" t="s">
        <v>4974</v>
      </c>
      <c r="D1059" s="3493" t="s">
        <v>4631</v>
      </c>
      <c r="E1059" s="3493">
        <v>27.63</v>
      </c>
      <c r="F1059" s="3492">
        <v>9</v>
      </c>
    </row>
    <row r="1060" spans="2:9" ht="18.75" thickBot="1">
      <c r="B1060" s="3491">
        <v>1056</v>
      </c>
      <c r="C1060" s="3492" t="s">
        <v>4974</v>
      </c>
      <c r="D1060" s="3493" t="s">
        <v>4632</v>
      </c>
      <c r="E1060" s="3493">
        <v>27.63</v>
      </c>
      <c r="F1060" s="3492">
        <v>9</v>
      </c>
    </row>
    <row r="1061" spans="2:9" ht="18.75" thickBot="1">
      <c r="B1061" s="3491">
        <v>1057</v>
      </c>
      <c r="C1061" s="3492" t="s">
        <v>4974</v>
      </c>
      <c r="D1061" s="3493" t="s">
        <v>4633</v>
      </c>
      <c r="E1061" s="3493">
        <v>27.63</v>
      </c>
      <c r="F1061" s="3492">
        <v>9</v>
      </c>
    </row>
    <row r="1062" spans="2:9" ht="18.75" thickBot="1">
      <c r="B1062" s="3491">
        <v>1058</v>
      </c>
      <c r="C1062" s="3492" t="s">
        <v>4974</v>
      </c>
      <c r="D1062" s="3493" t="s">
        <v>4634</v>
      </c>
      <c r="E1062" s="3493">
        <v>27.63</v>
      </c>
      <c r="F1062" s="3492">
        <v>9</v>
      </c>
    </row>
    <row r="1063" spans="2:9" ht="18.75" thickBot="1">
      <c r="B1063" s="3491">
        <v>1059</v>
      </c>
      <c r="C1063" s="3492" t="s">
        <v>4974</v>
      </c>
      <c r="D1063" s="3493" t="s">
        <v>4635</v>
      </c>
      <c r="E1063" s="3493">
        <v>20.55</v>
      </c>
      <c r="F1063" s="3492">
        <v>6.69</v>
      </c>
    </row>
    <row r="1064" spans="2:9" ht="18.75" thickBot="1">
      <c r="B1064" s="3491">
        <v>1060</v>
      </c>
      <c r="C1064" s="3492" t="s">
        <v>4974</v>
      </c>
      <c r="D1064" s="3493" t="s">
        <v>4636</v>
      </c>
      <c r="E1064" s="3493">
        <v>27.63</v>
      </c>
      <c r="F1064" s="3492">
        <v>9</v>
      </c>
      <c r="I1064">
        <f>1060-285</f>
        <v>775</v>
      </c>
    </row>
    <row r="1065" spans="2:9" ht="18.75" thickBot="1">
      <c r="B1065" s="3494">
        <v>1061</v>
      </c>
      <c r="C1065" s="3495" t="s">
        <v>4974</v>
      </c>
      <c r="D1065" s="3495" t="s">
        <v>4637</v>
      </c>
      <c r="E1065" s="3495">
        <v>51.31</v>
      </c>
      <c r="F1065" s="3495">
        <v>16.71</v>
      </c>
    </row>
    <row r="1066" spans="2:9" ht="18.75" thickBot="1">
      <c r="B1066" s="3494">
        <v>1062</v>
      </c>
      <c r="C1066" s="3495" t="s">
        <v>4974</v>
      </c>
      <c r="D1066" s="3495" t="s">
        <v>4638</v>
      </c>
      <c r="E1066" s="3495">
        <v>39.340000000000003</v>
      </c>
      <c r="F1066" s="3495">
        <v>12.81</v>
      </c>
    </row>
    <row r="1067" spans="2:9" ht="18.75" thickBot="1">
      <c r="B1067" s="3494">
        <v>1063</v>
      </c>
      <c r="C1067" s="3495" t="s">
        <v>4974</v>
      </c>
      <c r="D1067" s="3495" t="s">
        <v>4639</v>
      </c>
      <c r="E1067" s="3495">
        <v>54.79</v>
      </c>
      <c r="F1067" s="3495">
        <v>17.84</v>
      </c>
    </row>
    <row r="1068" spans="2:9" ht="18.75" thickBot="1">
      <c r="B1068" s="3494">
        <v>1064</v>
      </c>
      <c r="C1068" s="3495" t="s">
        <v>4974</v>
      </c>
      <c r="D1068" s="3495" t="s">
        <v>4640</v>
      </c>
      <c r="E1068" s="3495">
        <v>68.3</v>
      </c>
      <c r="F1068" s="3495">
        <v>22.24</v>
      </c>
    </row>
    <row r="1069" spans="2:9" ht="18.75" thickBot="1">
      <c r="B1069" s="3494">
        <v>1065</v>
      </c>
      <c r="C1069" s="3495" t="s">
        <v>4974</v>
      </c>
      <c r="D1069" s="3495" t="s">
        <v>4641</v>
      </c>
      <c r="E1069" s="3495">
        <v>37.270000000000003</v>
      </c>
      <c r="F1069" s="3495">
        <v>12.14</v>
      </c>
    </row>
    <row r="1070" spans="2:9" ht="18.75" thickBot="1">
      <c r="B1070" s="3494">
        <v>1066</v>
      </c>
      <c r="C1070" s="3495" t="s">
        <v>4974</v>
      </c>
      <c r="D1070" s="3495" t="s">
        <v>4642</v>
      </c>
      <c r="E1070" s="3495">
        <v>26.78</v>
      </c>
      <c r="F1070" s="3495">
        <v>8.7200000000000006</v>
      </c>
    </row>
    <row r="1071" spans="2:9" ht="18.75" thickBot="1">
      <c r="B1071" s="3494">
        <v>1067</v>
      </c>
      <c r="C1071" s="3495" t="s">
        <v>4974</v>
      </c>
      <c r="D1071" s="3495" t="s">
        <v>4643</v>
      </c>
      <c r="E1071" s="3495">
        <v>37.270000000000003</v>
      </c>
      <c r="F1071" s="3495">
        <v>12.14</v>
      </c>
    </row>
    <row r="1072" spans="2:9" ht="18.75" thickBot="1">
      <c r="B1072" s="3494">
        <v>1068</v>
      </c>
      <c r="C1072" s="3495" t="s">
        <v>4974</v>
      </c>
      <c r="D1072" s="3495" t="s">
        <v>4644</v>
      </c>
      <c r="E1072" s="3495">
        <v>37.270000000000003</v>
      </c>
      <c r="F1072" s="3495">
        <v>12.14</v>
      </c>
    </row>
    <row r="1073" spans="2:6" ht="18.75" thickBot="1">
      <c r="B1073" s="3494">
        <v>1069</v>
      </c>
      <c r="C1073" s="3495" t="s">
        <v>4974</v>
      </c>
      <c r="D1073" s="3495" t="s">
        <v>4645</v>
      </c>
      <c r="E1073" s="3495">
        <v>26.78</v>
      </c>
      <c r="F1073" s="3495">
        <v>8.7200000000000006</v>
      </c>
    </row>
    <row r="1074" spans="2:6" ht="18.75" thickBot="1">
      <c r="B1074" s="3494">
        <v>1070</v>
      </c>
      <c r="C1074" s="3495" t="s">
        <v>4974</v>
      </c>
      <c r="D1074" s="3495" t="s">
        <v>4646</v>
      </c>
      <c r="E1074" s="3495">
        <v>26.78</v>
      </c>
      <c r="F1074" s="3495">
        <v>8.7200000000000006</v>
      </c>
    </row>
    <row r="1075" spans="2:6" ht="18.75" thickBot="1">
      <c r="B1075" s="3494">
        <v>1071</v>
      </c>
      <c r="C1075" s="3495" t="s">
        <v>4974</v>
      </c>
      <c r="D1075" s="3495" t="s">
        <v>4647</v>
      </c>
      <c r="E1075" s="3495">
        <v>26.78</v>
      </c>
      <c r="F1075" s="3495">
        <v>8.7200000000000006</v>
      </c>
    </row>
    <row r="1076" spans="2:6" ht="18.75" thickBot="1">
      <c r="B1076" s="3494">
        <v>1072</v>
      </c>
      <c r="C1076" s="3495" t="s">
        <v>4974</v>
      </c>
      <c r="D1076" s="3495" t="s">
        <v>4648</v>
      </c>
      <c r="E1076" s="3495">
        <v>37.270000000000003</v>
      </c>
      <c r="F1076" s="3495">
        <v>12.14</v>
      </c>
    </row>
    <row r="1077" spans="2:6" ht="18.75" thickBot="1">
      <c r="B1077" s="3494">
        <v>1073</v>
      </c>
      <c r="C1077" s="3495" t="s">
        <v>4974</v>
      </c>
      <c r="D1077" s="3495" t="s">
        <v>4649</v>
      </c>
      <c r="E1077" s="3495">
        <v>32.79</v>
      </c>
      <c r="F1077" s="3495">
        <v>10.68</v>
      </c>
    </row>
    <row r="1078" spans="2:6" ht="18.75" thickBot="1">
      <c r="B1078" s="3494">
        <v>1074</v>
      </c>
      <c r="C1078" s="3495" t="s">
        <v>4974</v>
      </c>
      <c r="D1078" s="3495" t="s">
        <v>4650</v>
      </c>
      <c r="E1078" s="3495">
        <v>23.56</v>
      </c>
      <c r="F1078" s="3495">
        <v>7.67</v>
      </c>
    </row>
    <row r="1079" spans="2:6" ht="18.75" thickBot="1">
      <c r="B1079" s="3494">
        <v>1075</v>
      </c>
      <c r="C1079" s="3495" t="s">
        <v>4974</v>
      </c>
      <c r="D1079" s="3495" t="s">
        <v>4651</v>
      </c>
      <c r="E1079" s="3495">
        <v>23.56</v>
      </c>
      <c r="F1079" s="3495">
        <v>7.67</v>
      </c>
    </row>
    <row r="1080" spans="2:6" ht="18.75" thickBot="1">
      <c r="B1080" s="3494">
        <v>1076</v>
      </c>
      <c r="C1080" s="3495" t="s">
        <v>4974</v>
      </c>
      <c r="D1080" s="3495" t="s">
        <v>4652</v>
      </c>
      <c r="E1080" s="3495">
        <v>23.56</v>
      </c>
      <c r="F1080" s="3495">
        <v>7.67</v>
      </c>
    </row>
    <row r="1081" spans="2:6" ht="18.75" thickBot="1">
      <c r="B1081" s="3494">
        <v>1077</v>
      </c>
      <c r="C1081" s="3495" t="s">
        <v>4974</v>
      </c>
      <c r="D1081" s="3495" t="s">
        <v>4653</v>
      </c>
      <c r="E1081" s="3495">
        <v>32.79</v>
      </c>
      <c r="F1081" s="3495">
        <v>10.68</v>
      </c>
    </row>
    <row r="1082" spans="2:6" ht="18.75" thickBot="1">
      <c r="B1082" s="3494">
        <v>1078</v>
      </c>
      <c r="C1082" s="3495" t="s">
        <v>4974</v>
      </c>
      <c r="D1082" s="3495" t="s">
        <v>4654</v>
      </c>
      <c r="E1082" s="3495">
        <v>32.79</v>
      </c>
      <c r="F1082" s="3495">
        <v>10.68</v>
      </c>
    </row>
    <row r="1083" spans="2:6" ht="18.75" thickBot="1">
      <c r="B1083" s="3494">
        <v>1079</v>
      </c>
      <c r="C1083" s="3495" t="s">
        <v>4974</v>
      </c>
      <c r="D1083" s="3495" t="s">
        <v>4655</v>
      </c>
      <c r="E1083" s="3495">
        <v>23.56</v>
      </c>
      <c r="F1083" s="3495">
        <v>7.67</v>
      </c>
    </row>
    <row r="1084" spans="2:6" ht="18.75" thickBot="1">
      <c r="B1084" s="3494">
        <v>1080</v>
      </c>
      <c r="C1084" s="3495" t="s">
        <v>4974</v>
      </c>
      <c r="D1084" s="3495" t="s">
        <v>4656</v>
      </c>
      <c r="E1084" s="3495">
        <v>32.79</v>
      </c>
      <c r="F1084" s="3495">
        <v>10.68</v>
      </c>
    </row>
    <row r="1085" spans="2:6" ht="18.75" thickBot="1">
      <c r="B1085" s="3494">
        <v>1081</v>
      </c>
      <c r="C1085" s="3495" t="s">
        <v>4974</v>
      </c>
      <c r="D1085" s="3495" t="s">
        <v>4657</v>
      </c>
      <c r="E1085" s="3495">
        <v>57.51</v>
      </c>
      <c r="F1085" s="3495">
        <v>18.73</v>
      </c>
    </row>
    <row r="1086" spans="2:6" ht="18.75" thickBot="1">
      <c r="B1086" s="3494">
        <v>1082</v>
      </c>
      <c r="C1086" s="3495" t="s">
        <v>4974</v>
      </c>
      <c r="D1086" s="3495" t="s">
        <v>4658</v>
      </c>
      <c r="E1086" s="3495">
        <v>109.85</v>
      </c>
      <c r="F1086" s="3495">
        <v>35.78</v>
      </c>
    </row>
    <row r="1087" spans="2:6" ht="18.75" thickBot="1">
      <c r="B1087" s="3494">
        <v>1083</v>
      </c>
      <c r="C1087" s="3495" t="s">
        <v>4974</v>
      </c>
      <c r="D1087" s="3495" t="s">
        <v>4659</v>
      </c>
      <c r="E1087" s="3495">
        <v>27.7</v>
      </c>
      <c r="F1087" s="3495">
        <v>9.02</v>
      </c>
    </row>
    <row r="1088" spans="2:6" ht="18.75" thickBot="1">
      <c r="B1088" s="3494">
        <v>1084</v>
      </c>
      <c r="C1088" s="3495" t="s">
        <v>4974</v>
      </c>
      <c r="D1088" s="3495" t="s">
        <v>4660</v>
      </c>
      <c r="E1088" s="3495">
        <v>27.7</v>
      </c>
      <c r="F1088" s="3495">
        <v>9.02</v>
      </c>
    </row>
    <row r="1089" spans="2:6" ht="18.75" thickBot="1">
      <c r="B1089" s="3494">
        <v>1085</v>
      </c>
      <c r="C1089" s="3495" t="s">
        <v>4974</v>
      </c>
      <c r="D1089" s="3495" t="s">
        <v>4661</v>
      </c>
      <c r="E1089" s="3495">
        <v>43.14</v>
      </c>
      <c r="F1089" s="3495">
        <v>14.05</v>
      </c>
    </row>
    <row r="1090" spans="2:6" ht="18.75" thickBot="1">
      <c r="B1090" s="3494">
        <v>1086</v>
      </c>
      <c r="C1090" s="3495" t="s">
        <v>4974</v>
      </c>
      <c r="D1090" s="3495" t="s">
        <v>4662</v>
      </c>
      <c r="E1090" s="3495">
        <v>43.14</v>
      </c>
      <c r="F1090" s="3495">
        <v>14.05</v>
      </c>
    </row>
    <row r="1091" spans="2:6" ht="18.75" thickBot="1">
      <c r="B1091" s="3494">
        <v>1087</v>
      </c>
      <c r="C1091" s="3495" t="s">
        <v>4974</v>
      </c>
      <c r="D1091" s="3495" t="s">
        <v>4663</v>
      </c>
      <c r="E1091" s="3495">
        <v>90.05</v>
      </c>
      <c r="F1091" s="3495">
        <v>29.33</v>
      </c>
    </row>
    <row r="1092" spans="2:6" ht="18.75" thickBot="1">
      <c r="B1092" s="3494">
        <v>1088</v>
      </c>
      <c r="C1092" s="3495" t="s">
        <v>4974</v>
      </c>
      <c r="D1092" s="3495" t="s">
        <v>4664</v>
      </c>
      <c r="E1092" s="3495">
        <v>72.63</v>
      </c>
      <c r="F1092" s="3495">
        <v>23.65</v>
      </c>
    </row>
    <row r="1093" spans="2:6" ht="18.75" thickBot="1">
      <c r="B1093" s="3494">
        <v>1089</v>
      </c>
      <c r="C1093" s="3495" t="s">
        <v>4974</v>
      </c>
      <c r="D1093" s="3495" t="s">
        <v>4665</v>
      </c>
      <c r="E1093" s="3495">
        <v>72.63</v>
      </c>
      <c r="F1093" s="3495">
        <v>23.65</v>
      </c>
    </row>
    <row r="1094" spans="2:6" ht="18.75" thickBot="1">
      <c r="B1094" s="3494">
        <v>1090</v>
      </c>
      <c r="C1094" s="3495" t="s">
        <v>4974</v>
      </c>
      <c r="D1094" s="3495" t="s">
        <v>4666</v>
      </c>
      <c r="E1094" s="3495">
        <v>49.16</v>
      </c>
      <c r="F1094" s="3495">
        <v>16.010000000000002</v>
      </c>
    </row>
    <row r="1095" spans="2:6" ht="18.75" thickBot="1">
      <c r="B1095" s="3494">
        <v>1091</v>
      </c>
      <c r="C1095" s="3495" t="s">
        <v>4974</v>
      </c>
      <c r="D1095" s="3495" t="s">
        <v>4667</v>
      </c>
      <c r="E1095" s="3495">
        <v>48.91</v>
      </c>
      <c r="F1095" s="3495">
        <v>15.93</v>
      </c>
    </row>
    <row r="1096" spans="2:6" ht="18.75" thickBot="1">
      <c r="B1096" s="3494">
        <v>1092</v>
      </c>
      <c r="C1096" s="3495" t="s">
        <v>4974</v>
      </c>
      <c r="D1096" s="3495" t="s">
        <v>4668</v>
      </c>
      <c r="E1096" s="3495">
        <v>90.12</v>
      </c>
      <c r="F1096" s="3495">
        <v>29.35</v>
      </c>
    </row>
    <row r="1097" spans="2:6" ht="18.75" thickBot="1">
      <c r="B1097" s="3494">
        <v>1093</v>
      </c>
      <c r="C1097" s="3495" t="s">
        <v>4974</v>
      </c>
      <c r="D1097" s="3495" t="s">
        <v>4669</v>
      </c>
      <c r="E1097" s="3495">
        <v>43.17</v>
      </c>
      <c r="F1097" s="3495">
        <v>14.06</v>
      </c>
    </row>
    <row r="1098" spans="2:6" ht="18.75" thickBot="1">
      <c r="B1098" s="3494">
        <v>1094</v>
      </c>
      <c r="C1098" s="3495" t="s">
        <v>4974</v>
      </c>
      <c r="D1098" s="3495" t="s">
        <v>4670</v>
      </c>
      <c r="E1098" s="3495">
        <v>43.17</v>
      </c>
      <c r="F1098" s="3495">
        <v>14.06</v>
      </c>
    </row>
    <row r="1099" spans="2:6" ht="18.75" thickBot="1">
      <c r="B1099" s="3494">
        <v>1095</v>
      </c>
      <c r="C1099" s="3495" t="s">
        <v>4974</v>
      </c>
      <c r="D1099" s="3495" t="s">
        <v>4671</v>
      </c>
      <c r="E1099" s="3495">
        <v>27.72</v>
      </c>
      <c r="F1099" s="3495">
        <v>9.0299999999999994</v>
      </c>
    </row>
    <row r="1100" spans="2:6" ht="18.75" thickBot="1">
      <c r="B1100" s="3494">
        <v>1096</v>
      </c>
      <c r="C1100" s="3495" t="s">
        <v>4974</v>
      </c>
      <c r="D1100" s="3495" t="s">
        <v>4672</v>
      </c>
      <c r="E1100" s="3495">
        <v>27.72</v>
      </c>
      <c r="F1100" s="3495">
        <v>9.0299999999999994</v>
      </c>
    </row>
    <row r="1101" spans="2:6" ht="18.75" thickBot="1">
      <c r="B1101" s="3494">
        <v>1097</v>
      </c>
      <c r="C1101" s="3495" t="s">
        <v>4974</v>
      </c>
      <c r="D1101" s="3495" t="s">
        <v>4673</v>
      </c>
      <c r="E1101" s="3495">
        <v>109.93</v>
      </c>
      <c r="F1101" s="3495">
        <v>35.799999999999997</v>
      </c>
    </row>
    <row r="1102" spans="2:6" ht="18.75" thickBot="1">
      <c r="B1102" s="3494">
        <v>1098</v>
      </c>
      <c r="C1102" s="3495" t="s">
        <v>4974</v>
      </c>
      <c r="D1102" s="3495" t="s">
        <v>4674</v>
      </c>
      <c r="E1102" s="3495">
        <v>48.95</v>
      </c>
      <c r="F1102" s="3495">
        <v>15.94</v>
      </c>
    </row>
    <row r="1103" spans="2:6" ht="18.75" thickBot="1">
      <c r="B1103" s="3494">
        <v>1099</v>
      </c>
      <c r="C1103" s="3495" t="s">
        <v>4974</v>
      </c>
      <c r="D1103" s="3495" t="s">
        <v>4675</v>
      </c>
      <c r="E1103" s="3495">
        <v>49.19</v>
      </c>
      <c r="F1103" s="3495">
        <v>16.02</v>
      </c>
    </row>
    <row r="1104" spans="2:6" ht="18.75" thickBot="1">
      <c r="B1104" s="3494">
        <v>1100</v>
      </c>
      <c r="C1104" s="3495" t="s">
        <v>4974</v>
      </c>
      <c r="D1104" s="3495" t="s">
        <v>4676</v>
      </c>
      <c r="E1104" s="3495">
        <v>72.680000000000007</v>
      </c>
      <c r="F1104" s="3495">
        <v>23.67</v>
      </c>
    </row>
    <row r="1105" spans="2:6" ht="18.75" thickBot="1">
      <c r="B1105" s="3494">
        <v>1101</v>
      </c>
      <c r="C1105" s="3495" t="s">
        <v>4974</v>
      </c>
      <c r="D1105" s="3495" t="s">
        <v>4677</v>
      </c>
      <c r="E1105" s="3495">
        <v>72.680000000000007</v>
      </c>
      <c r="F1105" s="3495">
        <v>23.67</v>
      </c>
    </row>
    <row r="1106" spans="2:6" ht="18.75" thickBot="1">
      <c r="B1106" s="3494">
        <v>1102</v>
      </c>
      <c r="C1106" s="3495" t="s">
        <v>4974</v>
      </c>
      <c r="D1106" s="3495" t="s">
        <v>4678</v>
      </c>
      <c r="E1106" s="3495">
        <v>37.93</v>
      </c>
      <c r="F1106" s="3495">
        <v>12.35</v>
      </c>
    </row>
    <row r="1107" spans="2:6" ht="18.75" thickBot="1">
      <c r="B1107" s="3494">
        <v>1103</v>
      </c>
      <c r="C1107" s="3495" t="s">
        <v>4974</v>
      </c>
      <c r="D1107" s="3495" t="s">
        <v>4679</v>
      </c>
      <c r="E1107" s="3495">
        <v>33.049999999999997</v>
      </c>
      <c r="F1107" s="3495">
        <v>10.76</v>
      </c>
    </row>
    <row r="1108" spans="2:6" ht="18.75" thickBot="1">
      <c r="B1108" s="3494">
        <v>1104</v>
      </c>
      <c r="C1108" s="3495" t="s">
        <v>4974</v>
      </c>
      <c r="D1108" s="3495" t="s">
        <v>4680</v>
      </c>
      <c r="E1108" s="3495">
        <v>33.049999999999997</v>
      </c>
      <c r="F1108" s="3495">
        <v>10.76</v>
      </c>
    </row>
    <row r="1109" spans="2:6" ht="18.75" thickBot="1">
      <c r="B1109" s="3494">
        <v>1105</v>
      </c>
      <c r="C1109" s="3495" t="s">
        <v>4974</v>
      </c>
      <c r="D1109" s="3495" t="s">
        <v>4681</v>
      </c>
      <c r="E1109" s="3495">
        <v>38.6</v>
      </c>
      <c r="F1109" s="3495">
        <v>12.57</v>
      </c>
    </row>
    <row r="1110" spans="2:6" ht="18.75" thickBot="1">
      <c r="B1110" s="3494">
        <v>1106</v>
      </c>
      <c r="C1110" s="3495" t="s">
        <v>4974</v>
      </c>
      <c r="D1110" s="3495" t="s">
        <v>4682</v>
      </c>
      <c r="E1110" s="3495">
        <v>19.62</v>
      </c>
      <c r="F1110" s="3495">
        <v>6.39</v>
      </c>
    </row>
    <row r="1111" spans="2:6" ht="18.75" thickBot="1">
      <c r="B1111" s="3494">
        <v>1107</v>
      </c>
      <c r="C1111" s="3495" t="s">
        <v>4974</v>
      </c>
      <c r="D1111" s="3495" t="s">
        <v>4683</v>
      </c>
      <c r="E1111" s="3495">
        <v>33.630000000000003</v>
      </c>
      <c r="F1111" s="3495">
        <v>10.95</v>
      </c>
    </row>
    <row r="1112" spans="2:6" ht="18.75" thickBot="1">
      <c r="B1112" s="3494">
        <v>1108</v>
      </c>
      <c r="C1112" s="3495" t="s">
        <v>4974</v>
      </c>
      <c r="D1112" s="3495" t="s">
        <v>4684</v>
      </c>
      <c r="E1112" s="3495">
        <v>22.53</v>
      </c>
      <c r="F1112" s="3495">
        <v>7.34</v>
      </c>
    </row>
    <row r="1113" spans="2:6" ht="18.75" thickBot="1">
      <c r="B1113" s="3494">
        <v>1109</v>
      </c>
      <c r="C1113" s="3495" t="s">
        <v>4974</v>
      </c>
      <c r="D1113" s="3495" t="s">
        <v>4685</v>
      </c>
      <c r="E1113" s="3495">
        <v>22.53</v>
      </c>
      <c r="F1113" s="3495">
        <v>7.34</v>
      </c>
    </row>
    <row r="1114" spans="2:6" ht="18.75" thickBot="1">
      <c r="B1114" s="3494">
        <v>1110</v>
      </c>
      <c r="C1114" s="3495" t="s">
        <v>4974</v>
      </c>
      <c r="D1114" s="3495" t="s">
        <v>4686</v>
      </c>
      <c r="E1114" s="3495">
        <v>50.85</v>
      </c>
      <c r="F1114" s="3495">
        <v>16.559999999999999</v>
      </c>
    </row>
    <row r="1115" spans="2:6" ht="18.75" thickBot="1">
      <c r="B1115" s="3494">
        <v>1111</v>
      </c>
      <c r="C1115" s="3495" t="s">
        <v>4974</v>
      </c>
      <c r="D1115" s="3495" t="s">
        <v>4687</v>
      </c>
      <c r="E1115" s="3495">
        <v>50.85</v>
      </c>
      <c r="F1115" s="3495">
        <v>16.559999999999999</v>
      </c>
    </row>
    <row r="1116" spans="2:6" ht="18.75" thickBot="1">
      <c r="B1116" s="3494">
        <v>1112</v>
      </c>
      <c r="C1116" s="3495" t="s">
        <v>4974</v>
      </c>
      <c r="D1116" s="3495" t="s">
        <v>4688</v>
      </c>
      <c r="E1116" s="3495">
        <v>13.16</v>
      </c>
      <c r="F1116" s="3495">
        <v>4.29</v>
      </c>
    </row>
    <row r="1117" spans="2:6" ht="18.75" thickBot="1">
      <c r="B1117" s="3494">
        <v>1113</v>
      </c>
      <c r="C1117" s="3495" t="s">
        <v>4974</v>
      </c>
      <c r="D1117" s="3495" t="s">
        <v>4689</v>
      </c>
      <c r="E1117" s="3495">
        <v>13.16</v>
      </c>
      <c r="F1117" s="3495">
        <v>4.29</v>
      </c>
    </row>
    <row r="1118" spans="2:6" ht="18.75" thickBot="1">
      <c r="B1118" s="3494">
        <v>1114</v>
      </c>
      <c r="C1118" s="3495" t="s">
        <v>4974</v>
      </c>
      <c r="D1118" s="3495" t="s">
        <v>4690</v>
      </c>
      <c r="E1118" s="3495">
        <v>130.13999999999999</v>
      </c>
      <c r="F1118" s="3495">
        <v>42.38</v>
      </c>
    </row>
    <row r="1119" spans="2:6" ht="18.75" thickBot="1">
      <c r="B1119" s="3494">
        <v>1115</v>
      </c>
      <c r="C1119" s="3495" t="s">
        <v>4974</v>
      </c>
      <c r="D1119" s="3495" t="s">
        <v>4691</v>
      </c>
      <c r="E1119" s="3495">
        <v>79.650000000000006</v>
      </c>
      <c r="F1119" s="3495">
        <v>25.94</v>
      </c>
    </row>
    <row r="1120" spans="2:6" ht="18.75" thickBot="1">
      <c r="B1120" s="3494">
        <v>1116</v>
      </c>
      <c r="C1120" s="3495" t="s">
        <v>4974</v>
      </c>
      <c r="D1120" s="3495" t="s">
        <v>4692</v>
      </c>
      <c r="E1120" s="3495">
        <v>79.650000000000006</v>
      </c>
      <c r="F1120" s="3495">
        <v>25.94</v>
      </c>
    </row>
    <row r="1121" spans="2:6" ht="18.75" thickBot="1">
      <c r="B1121" s="3494">
        <v>1117</v>
      </c>
      <c r="C1121" s="3495" t="s">
        <v>4974</v>
      </c>
      <c r="D1121" s="3495" t="s">
        <v>4693</v>
      </c>
      <c r="E1121" s="3495">
        <v>87.45</v>
      </c>
      <c r="F1121" s="3495">
        <v>28.48</v>
      </c>
    </row>
    <row r="1122" spans="2:6" ht="18.75" thickBot="1">
      <c r="B1122" s="3494">
        <v>1118</v>
      </c>
      <c r="C1122" s="3495" t="s">
        <v>4974</v>
      </c>
      <c r="D1122" s="3495" t="s">
        <v>4694</v>
      </c>
      <c r="E1122" s="3495">
        <v>87.45</v>
      </c>
      <c r="F1122" s="3495">
        <v>28.48</v>
      </c>
    </row>
    <row r="1123" spans="2:6" ht="18.75" thickBot="1">
      <c r="B1123" s="3494">
        <v>1119</v>
      </c>
      <c r="C1123" s="3495" t="s">
        <v>4974</v>
      </c>
      <c r="D1123" s="3495" t="s">
        <v>4695</v>
      </c>
      <c r="E1123" s="3495">
        <v>105.79</v>
      </c>
      <c r="F1123" s="3495">
        <v>34.450000000000003</v>
      </c>
    </row>
    <row r="1124" spans="2:6" ht="18.75" thickBot="1">
      <c r="B1124" s="3494">
        <v>1120</v>
      </c>
      <c r="C1124" s="3495" t="s">
        <v>4974</v>
      </c>
      <c r="D1124" s="3495" t="s">
        <v>4696</v>
      </c>
      <c r="E1124" s="3495">
        <v>34.56</v>
      </c>
      <c r="F1124" s="3495">
        <v>11.26</v>
      </c>
    </row>
    <row r="1125" spans="2:6" ht="18.75" thickBot="1">
      <c r="B1125" s="3494">
        <v>1121</v>
      </c>
      <c r="C1125" s="3495" t="s">
        <v>4974</v>
      </c>
      <c r="D1125" s="3495" t="s">
        <v>4697</v>
      </c>
      <c r="E1125" s="3495">
        <v>16.38</v>
      </c>
      <c r="F1125" s="3495">
        <v>5.33</v>
      </c>
    </row>
    <row r="1126" spans="2:6" ht="18.75" thickBot="1">
      <c r="B1126" s="3494">
        <v>1122</v>
      </c>
      <c r="C1126" s="3495" t="s">
        <v>4974</v>
      </c>
      <c r="D1126" s="3495" t="s">
        <v>4698</v>
      </c>
      <c r="E1126" s="3495">
        <v>10.029999999999999</v>
      </c>
      <c r="F1126" s="3495">
        <v>3.27</v>
      </c>
    </row>
    <row r="1127" spans="2:6" ht="18.75" thickBot="1">
      <c r="B1127" s="3494">
        <v>1123</v>
      </c>
      <c r="C1127" s="3495" t="s">
        <v>4974</v>
      </c>
      <c r="D1127" s="3495" t="s">
        <v>4699</v>
      </c>
      <c r="E1127" s="3495">
        <v>16.38</v>
      </c>
      <c r="F1127" s="3495">
        <v>5.33</v>
      </c>
    </row>
    <row r="1128" spans="2:6" ht="18.75" thickBot="1">
      <c r="B1128" s="3494">
        <v>1124</v>
      </c>
      <c r="C1128" s="3495" t="s">
        <v>4974</v>
      </c>
      <c r="D1128" s="3495" t="s">
        <v>4700</v>
      </c>
      <c r="E1128" s="3495">
        <v>34.56</v>
      </c>
      <c r="F1128" s="3495">
        <v>11.26</v>
      </c>
    </row>
    <row r="1129" spans="2:6" ht="18.75" thickBot="1">
      <c r="B1129" s="3494">
        <v>1125</v>
      </c>
      <c r="C1129" s="3495" t="s">
        <v>4974</v>
      </c>
      <c r="D1129" s="3495" t="s">
        <v>4701</v>
      </c>
      <c r="E1129" s="3495">
        <v>19.54</v>
      </c>
      <c r="F1129" s="3495">
        <v>6.36</v>
      </c>
    </row>
    <row r="1130" spans="2:6" ht="18.75" thickBot="1">
      <c r="B1130" s="3494">
        <v>1126</v>
      </c>
      <c r="C1130" s="3495" t="s">
        <v>4974</v>
      </c>
      <c r="D1130" s="3495" t="s">
        <v>4702</v>
      </c>
      <c r="E1130" s="3495">
        <v>13.2</v>
      </c>
      <c r="F1130" s="3495">
        <v>4.3</v>
      </c>
    </row>
    <row r="1131" spans="2:6" ht="18.75" thickBot="1">
      <c r="B1131" s="3494">
        <v>1127</v>
      </c>
      <c r="C1131" s="3495" t="s">
        <v>4974</v>
      </c>
      <c r="D1131" s="3495" t="s">
        <v>4703</v>
      </c>
      <c r="E1131" s="3495">
        <v>13.2</v>
      </c>
      <c r="F1131" s="3495">
        <v>4.3</v>
      </c>
    </row>
    <row r="1132" spans="2:6" ht="18.75" thickBot="1">
      <c r="B1132" s="3494">
        <v>1128</v>
      </c>
      <c r="C1132" s="3495" t="s">
        <v>4974</v>
      </c>
      <c r="D1132" s="3495" t="s">
        <v>4704</v>
      </c>
      <c r="E1132" s="3495">
        <v>19.54</v>
      </c>
      <c r="F1132" s="3495">
        <v>6.36</v>
      </c>
    </row>
    <row r="1133" spans="2:6" ht="18.75" thickBot="1">
      <c r="B1133" s="3494">
        <v>1129</v>
      </c>
      <c r="C1133" s="3495" t="s">
        <v>4974</v>
      </c>
      <c r="D1133" s="3495" t="s">
        <v>4705</v>
      </c>
      <c r="E1133" s="3495">
        <v>13.32</v>
      </c>
      <c r="F1133" s="3495">
        <v>4.34</v>
      </c>
    </row>
    <row r="1134" spans="2:6" ht="18.75" thickBot="1">
      <c r="B1134" s="3494">
        <v>1130</v>
      </c>
      <c r="C1134" s="3495" t="s">
        <v>4974</v>
      </c>
      <c r="D1134" s="3495" t="s">
        <v>4706</v>
      </c>
      <c r="E1134" s="3495">
        <v>13.32</v>
      </c>
      <c r="F1134" s="3495">
        <v>4.34</v>
      </c>
    </row>
    <row r="1135" spans="2:6" ht="18.75" thickBot="1">
      <c r="B1135" s="3494">
        <v>1131</v>
      </c>
      <c r="C1135" s="3495" t="s">
        <v>4974</v>
      </c>
      <c r="D1135" s="3495" t="s">
        <v>4707</v>
      </c>
      <c r="E1135" s="3495">
        <v>51.4</v>
      </c>
      <c r="F1135" s="3495">
        <v>16.739999999999998</v>
      </c>
    </row>
    <row r="1136" spans="2:6" ht="18.75" thickBot="1">
      <c r="B1136" s="3494">
        <v>1132</v>
      </c>
      <c r="C1136" s="3495" t="s">
        <v>4974</v>
      </c>
      <c r="D1136" s="3495" t="s">
        <v>4708</v>
      </c>
      <c r="E1136" s="3495">
        <v>51.4</v>
      </c>
      <c r="F1136" s="3495">
        <v>16.739999999999998</v>
      </c>
    </row>
    <row r="1137" spans="2:6" ht="18.75" thickBot="1">
      <c r="B1137" s="3494">
        <v>1133</v>
      </c>
      <c r="C1137" s="3495" t="s">
        <v>4974</v>
      </c>
      <c r="D1137" s="3495" t="s">
        <v>4709</v>
      </c>
      <c r="E1137" s="3495">
        <v>106.78</v>
      </c>
      <c r="F1137" s="3495">
        <v>34.78</v>
      </c>
    </row>
    <row r="1138" spans="2:6" ht="18.75" thickBot="1">
      <c r="B1138" s="3494">
        <v>1134</v>
      </c>
      <c r="C1138" s="3495" t="s">
        <v>4974</v>
      </c>
      <c r="D1138" s="3495" t="s">
        <v>4710</v>
      </c>
      <c r="E1138" s="3495">
        <v>88.27</v>
      </c>
      <c r="F1138" s="3495">
        <v>28.75</v>
      </c>
    </row>
    <row r="1139" spans="2:6" ht="18.75" thickBot="1">
      <c r="B1139" s="3494">
        <v>1135</v>
      </c>
      <c r="C1139" s="3495" t="s">
        <v>4974</v>
      </c>
      <c r="D1139" s="3495" t="s">
        <v>4711</v>
      </c>
      <c r="E1139" s="3495">
        <v>88.27</v>
      </c>
      <c r="F1139" s="3495">
        <v>28.75</v>
      </c>
    </row>
    <row r="1140" spans="2:6" ht="18.75" thickBot="1">
      <c r="B1140" s="3494">
        <v>1136</v>
      </c>
      <c r="C1140" s="3495" t="s">
        <v>4974</v>
      </c>
      <c r="D1140" s="3495" t="s">
        <v>4712</v>
      </c>
      <c r="E1140" s="3495">
        <v>80.39</v>
      </c>
      <c r="F1140" s="3495">
        <v>26.18</v>
      </c>
    </row>
    <row r="1141" spans="2:6" ht="18.75" thickBot="1">
      <c r="B1141" s="3494">
        <v>1137</v>
      </c>
      <c r="C1141" s="3495" t="s">
        <v>4974</v>
      </c>
      <c r="D1141" s="3495" t="s">
        <v>4713</v>
      </c>
      <c r="E1141" s="3495">
        <v>80.39</v>
      </c>
      <c r="F1141" s="3495">
        <v>26.18</v>
      </c>
    </row>
    <row r="1142" spans="2:6" ht="18.75" thickBot="1">
      <c r="B1142" s="3494">
        <v>1138</v>
      </c>
      <c r="C1142" s="3495" t="s">
        <v>4974</v>
      </c>
      <c r="D1142" s="3495" t="s">
        <v>4714</v>
      </c>
      <c r="E1142" s="3495">
        <v>131.44999999999999</v>
      </c>
      <c r="F1142" s="3495">
        <v>42.81</v>
      </c>
    </row>
    <row r="1143" spans="2:6" ht="18.75" thickBot="1">
      <c r="B1143" s="3494">
        <v>1139</v>
      </c>
      <c r="C1143" s="3495" t="s">
        <v>4974</v>
      </c>
      <c r="D1143" s="3495" t="s">
        <v>4715</v>
      </c>
      <c r="E1143" s="3495">
        <v>13.22</v>
      </c>
      <c r="F1143" s="3495">
        <v>4.3099999999999996</v>
      </c>
    </row>
    <row r="1144" spans="2:6" ht="18.75" thickBot="1">
      <c r="B1144" s="3494">
        <v>1140</v>
      </c>
      <c r="C1144" s="3495" t="s">
        <v>4974</v>
      </c>
      <c r="D1144" s="3495" t="s">
        <v>4716</v>
      </c>
      <c r="E1144" s="3495">
        <v>19.73</v>
      </c>
      <c r="F1144" s="3495">
        <v>6.43</v>
      </c>
    </row>
    <row r="1145" spans="2:6" ht="18.75" thickBot="1">
      <c r="B1145" s="3494">
        <v>1141</v>
      </c>
      <c r="C1145" s="3495" t="s">
        <v>4974</v>
      </c>
      <c r="D1145" s="3495" t="s">
        <v>4717</v>
      </c>
      <c r="E1145" s="3495">
        <v>19.73</v>
      </c>
      <c r="F1145" s="3495">
        <v>6.43</v>
      </c>
    </row>
    <row r="1146" spans="2:6" ht="18.75" thickBot="1">
      <c r="B1146" s="3494">
        <v>1142</v>
      </c>
      <c r="C1146" s="3495" t="s">
        <v>4974</v>
      </c>
      <c r="D1146" s="3495" t="s">
        <v>4718</v>
      </c>
      <c r="E1146" s="3495">
        <v>13.32</v>
      </c>
      <c r="F1146" s="3495">
        <v>4.34</v>
      </c>
    </row>
    <row r="1147" spans="2:6" ht="18.75" thickBot="1">
      <c r="B1147" s="3494">
        <v>1143</v>
      </c>
      <c r="C1147" s="3495" t="s">
        <v>4974</v>
      </c>
      <c r="D1147" s="3495" t="s">
        <v>4719</v>
      </c>
      <c r="E1147" s="3495">
        <v>13.32</v>
      </c>
      <c r="F1147" s="3495">
        <v>4.34</v>
      </c>
    </row>
    <row r="1148" spans="2:6" ht="18.75" thickBot="1">
      <c r="B1148" s="3494">
        <v>1144</v>
      </c>
      <c r="C1148" s="3495" t="s">
        <v>4974</v>
      </c>
      <c r="D1148" s="3495" t="s">
        <v>4720</v>
      </c>
      <c r="E1148" s="3495">
        <v>9.7899999999999991</v>
      </c>
      <c r="F1148" s="3495">
        <v>3.19</v>
      </c>
    </row>
    <row r="1149" spans="2:6" ht="18.75" thickBot="1">
      <c r="B1149" s="3494">
        <v>1145</v>
      </c>
      <c r="C1149" s="3495" t="s">
        <v>4974</v>
      </c>
      <c r="D1149" s="3495" t="s">
        <v>4721</v>
      </c>
      <c r="E1149" s="3495">
        <v>35.06</v>
      </c>
      <c r="F1149" s="3495">
        <v>11.42</v>
      </c>
    </row>
    <row r="1150" spans="2:6" ht="18.75" thickBot="1">
      <c r="B1150" s="3494">
        <v>1146</v>
      </c>
      <c r="C1150" s="3495" t="s">
        <v>4974</v>
      </c>
      <c r="D1150" s="3495" t="s">
        <v>4722</v>
      </c>
      <c r="E1150" s="3495">
        <v>16.579999999999998</v>
      </c>
      <c r="F1150" s="3495">
        <v>5.4</v>
      </c>
    </row>
    <row r="1151" spans="2:6" ht="18.75" thickBot="1">
      <c r="B1151" s="3494">
        <v>1147</v>
      </c>
      <c r="C1151" s="3495" t="s">
        <v>4974</v>
      </c>
      <c r="D1151" s="3495" t="s">
        <v>4723</v>
      </c>
      <c r="E1151" s="3495">
        <v>10.18</v>
      </c>
      <c r="F1151" s="3495">
        <v>3.32</v>
      </c>
    </row>
    <row r="1152" spans="2:6" ht="18.75" thickBot="1">
      <c r="B1152" s="3494">
        <v>1148</v>
      </c>
      <c r="C1152" s="3495" t="s">
        <v>4974</v>
      </c>
      <c r="D1152" s="3495" t="s">
        <v>4724</v>
      </c>
      <c r="E1152" s="3495">
        <v>16.579999999999998</v>
      </c>
      <c r="F1152" s="3495">
        <v>5.4</v>
      </c>
    </row>
    <row r="1153" spans="2:6" ht="18.75" thickBot="1">
      <c r="B1153" s="3494">
        <v>1149</v>
      </c>
      <c r="C1153" s="3495" t="s">
        <v>4974</v>
      </c>
      <c r="D1153" s="3495" t="s">
        <v>4725</v>
      </c>
      <c r="E1153" s="3495">
        <v>35.06</v>
      </c>
      <c r="F1153" s="3495">
        <v>11.42</v>
      </c>
    </row>
    <row r="1154" spans="2:6" ht="18.75" thickBot="1">
      <c r="B1154" s="3494">
        <v>1150</v>
      </c>
      <c r="C1154" s="3495" t="s">
        <v>4974</v>
      </c>
      <c r="D1154" s="3495" t="s">
        <v>4726</v>
      </c>
      <c r="E1154" s="3495">
        <v>11.6</v>
      </c>
      <c r="F1154" s="3495">
        <v>3.78</v>
      </c>
    </row>
    <row r="1155" spans="2:6" ht="18.75" thickBot="1">
      <c r="B1155" s="3494">
        <v>1151</v>
      </c>
      <c r="C1155" s="3495" t="s">
        <v>4974</v>
      </c>
      <c r="D1155" s="3495" t="s">
        <v>4727</v>
      </c>
      <c r="E1155" s="3495">
        <v>11.6</v>
      </c>
      <c r="F1155" s="3495">
        <v>3.78</v>
      </c>
    </row>
    <row r="1156" spans="2:6" ht="18.75" thickBot="1">
      <c r="B1156" s="3494">
        <v>1152</v>
      </c>
      <c r="C1156" s="3495" t="s">
        <v>4974</v>
      </c>
      <c r="D1156" s="3495" t="s">
        <v>4728</v>
      </c>
      <c r="E1156" s="3495">
        <v>44.75</v>
      </c>
      <c r="F1156" s="3495">
        <v>14.57</v>
      </c>
    </row>
    <row r="1157" spans="2:6" ht="18.75" thickBot="1">
      <c r="B1157" s="3494">
        <v>1153</v>
      </c>
      <c r="C1157" s="3495" t="s">
        <v>4974</v>
      </c>
      <c r="D1157" s="3495" t="s">
        <v>4729</v>
      </c>
      <c r="E1157" s="3495">
        <v>44.75</v>
      </c>
      <c r="F1157" s="3495">
        <v>14.57</v>
      </c>
    </row>
    <row r="1158" spans="2:6" ht="18.75" thickBot="1">
      <c r="B1158" s="3494">
        <v>1154</v>
      </c>
      <c r="C1158" s="3495" t="s">
        <v>4974</v>
      </c>
      <c r="D1158" s="3495" t="s">
        <v>4730</v>
      </c>
      <c r="E1158" s="3495">
        <v>93.36</v>
      </c>
      <c r="F1158" s="3495">
        <v>30.41</v>
      </c>
    </row>
    <row r="1159" spans="2:6" ht="18.75" thickBot="1">
      <c r="B1159" s="3494">
        <v>1155</v>
      </c>
      <c r="C1159" s="3495" t="s">
        <v>4974</v>
      </c>
      <c r="D1159" s="3495" t="s">
        <v>4731</v>
      </c>
      <c r="E1159" s="3495">
        <v>75.45</v>
      </c>
      <c r="F1159" s="3495">
        <v>24.57</v>
      </c>
    </row>
    <row r="1160" spans="2:6" ht="18.75" thickBot="1">
      <c r="B1160" s="3494">
        <v>1156</v>
      </c>
      <c r="C1160" s="3495" t="s">
        <v>4974</v>
      </c>
      <c r="D1160" s="3495" t="s">
        <v>4732</v>
      </c>
      <c r="E1160" s="3495">
        <v>75.45</v>
      </c>
      <c r="F1160" s="3495">
        <v>24.57</v>
      </c>
    </row>
    <row r="1161" spans="2:6" ht="18.75" thickBot="1">
      <c r="B1161" s="3494">
        <v>1157</v>
      </c>
      <c r="C1161" s="3495" t="s">
        <v>4974</v>
      </c>
      <c r="D1161" s="3495" t="s">
        <v>4733</v>
      </c>
      <c r="E1161" s="3495">
        <v>69.989999999999995</v>
      </c>
      <c r="F1161" s="3495">
        <v>22.79</v>
      </c>
    </row>
    <row r="1162" spans="2:6" ht="18.75" thickBot="1">
      <c r="B1162" s="3494">
        <v>1158</v>
      </c>
      <c r="C1162" s="3495" t="s">
        <v>4974</v>
      </c>
      <c r="D1162" s="3495" t="s">
        <v>4734</v>
      </c>
      <c r="E1162" s="3495">
        <v>69.989999999999995</v>
      </c>
      <c r="F1162" s="3495">
        <v>22.79</v>
      </c>
    </row>
    <row r="1163" spans="2:6" ht="18.75" thickBot="1">
      <c r="B1163" s="3494">
        <v>1159</v>
      </c>
      <c r="C1163" s="3495" t="s">
        <v>4974</v>
      </c>
      <c r="D1163" s="3495" t="s">
        <v>4735</v>
      </c>
      <c r="E1163" s="3495">
        <v>114.44</v>
      </c>
      <c r="F1163" s="3495">
        <v>37.270000000000003</v>
      </c>
    </row>
    <row r="1164" spans="2:6" ht="18.75" thickBot="1">
      <c r="B1164" s="3494">
        <v>1160</v>
      </c>
      <c r="C1164" s="3495" t="s">
        <v>4974</v>
      </c>
      <c r="D1164" s="3495" t="s">
        <v>4736</v>
      </c>
      <c r="E1164" s="3495">
        <v>11.3</v>
      </c>
      <c r="F1164" s="3495">
        <v>3.68</v>
      </c>
    </row>
    <row r="1165" spans="2:6" ht="18.75" thickBot="1">
      <c r="B1165" s="3494">
        <v>1161</v>
      </c>
      <c r="C1165" s="3495" t="s">
        <v>4974</v>
      </c>
      <c r="D1165" s="3495" t="s">
        <v>4737</v>
      </c>
      <c r="E1165" s="3495">
        <v>9.68</v>
      </c>
      <c r="F1165" s="3495">
        <v>3.15</v>
      </c>
    </row>
    <row r="1166" spans="2:6" ht="18.75" thickBot="1">
      <c r="B1166" s="3494">
        <v>1162</v>
      </c>
      <c r="C1166" s="3495" t="s">
        <v>4974</v>
      </c>
      <c r="D1166" s="3495" t="s">
        <v>4738</v>
      </c>
      <c r="E1166" s="3495">
        <v>7.29</v>
      </c>
      <c r="F1166" s="3495">
        <v>2.37</v>
      </c>
    </row>
    <row r="1167" spans="2:6" ht="18.75" thickBot="1">
      <c r="B1167" s="3494">
        <v>1163</v>
      </c>
      <c r="C1167" s="3495" t="s">
        <v>4974</v>
      </c>
      <c r="D1167" s="3495" t="s">
        <v>4739</v>
      </c>
      <c r="E1167" s="3495">
        <v>11.48</v>
      </c>
      <c r="F1167" s="3495">
        <v>3.74</v>
      </c>
    </row>
    <row r="1168" spans="2:6" ht="18.75" thickBot="1">
      <c r="B1168" s="3494">
        <v>1164</v>
      </c>
      <c r="C1168" s="3495" t="s">
        <v>4974</v>
      </c>
      <c r="D1168" s="3495" t="s">
        <v>4740</v>
      </c>
      <c r="E1168" s="3495">
        <v>11.48</v>
      </c>
      <c r="F1168" s="3495">
        <v>3.74</v>
      </c>
    </row>
    <row r="1169" spans="2:6" ht="18.75" thickBot="1">
      <c r="B1169" s="3494">
        <v>1165</v>
      </c>
      <c r="C1169" s="3495" t="s">
        <v>4974</v>
      </c>
      <c r="D1169" s="3495" t="s">
        <v>4741</v>
      </c>
      <c r="E1169" s="3495">
        <v>30.15</v>
      </c>
      <c r="F1169" s="3495">
        <v>9.82</v>
      </c>
    </row>
    <row r="1170" spans="2:6" ht="18.75" thickBot="1">
      <c r="B1170" s="3494">
        <v>1166</v>
      </c>
      <c r="C1170" s="3495" t="s">
        <v>4974</v>
      </c>
      <c r="D1170" s="3495" t="s">
        <v>4742</v>
      </c>
      <c r="E1170" s="3495">
        <v>14.29</v>
      </c>
      <c r="F1170" s="3495">
        <v>4.6500000000000004</v>
      </c>
    </row>
    <row r="1171" spans="2:6" ht="18.75" thickBot="1">
      <c r="B1171" s="3494">
        <v>1167</v>
      </c>
      <c r="C1171" s="3495" t="s">
        <v>4974</v>
      </c>
      <c r="D1171" s="3495" t="s">
        <v>4743</v>
      </c>
      <c r="E1171" s="3495">
        <v>8.76</v>
      </c>
      <c r="F1171" s="3495">
        <v>2.85</v>
      </c>
    </row>
    <row r="1172" spans="2:6" ht="18.75" thickBot="1">
      <c r="B1172" s="3494">
        <v>1168</v>
      </c>
      <c r="C1172" s="3495" t="s">
        <v>4974</v>
      </c>
      <c r="D1172" s="3495" t="s">
        <v>4744</v>
      </c>
      <c r="E1172" s="3495">
        <v>14.29</v>
      </c>
      <c r="F1172" s="3495">
        <v>4.6500000000000004</v>
      </c>
    </row>
    <row r="1173" spans="2:6" ht="18.75" thickBot="1">
      <c r="B1173" s="3494">
        <v>1169</v>
      </c>
      <c r="C1173" s="3495" t="s">
        <v>4974</v>
      </c>
      <c r="D1173" s="3495" t="s">
        <v>4745</v>
      </c>
      <c r="E1173" s="3495">
        <v>30.15</v>
      </c>
      <c r="F1173" s="3495">
        <v>9.82</v>
      </c>
    </row>
    <row r="1174" spans="2:6" ht="18.75" thickBot="1">
      <c r="B1174" s="3494">
        <v>1170</v>
      </c>
      <c r="C1174" s="3495" t="s">
        <v>4974</v>
      </c>
      <c r="D1174" s="3495" t="s">
        <v>4746</v>
      </c>
      <c r="E1174" s="3495">
        <v>25.5</v>
      </c>
      <c r="F1174" s="3495">
        <v>8.3000000000000007</v>
      </c>
    </row>
    <row r="1175" spans="2:6" ht="18.75" thickBot="1">
      <c r="B1175" s="3494">
        <v>1171</v>
      </c>
      <c r="C1175" s="3495" t="s">
        <v>4974</v>
      </c>
      <c r="D1175" s="3495" t="s">
        <v>4747</v>
      </c>
      <c r="E1175" s="3495">
        <v>24.15</v>
      </c>
      <c r="F1175" s="3495">
        <v>7.87</v>
      </c>
    </row>
    <row r="1176" spans="2:6" ht="18.75" thickBot="1">
      <c r="B1176" s="3494">
        <v>1172</v>
      </c>
      <c r="C1176" s="3495" t="s">
        <v>4974</v>
      </c>
      <c r="D1176" s="3495" t="s">
        <v>4748</v>
      </c>
      <c r="E1176" s="3495">
        <v>26.42</v>
      </c>
      <c r="F1176" s="3495">
        <v>8.6</v>
      </c>
    </row>
    <row r="1177" spans="2:6" ht="18.75" thickBot="1">
      <c r="B1177" s="3494">
        <v>1173</v>
      </c>
      <c r="C1177" s="3495" t="s">
        <v>4974</v>
      </c>
      <c r="D1177" s="3495" t="s">
        <v>4749</v>
      </c>
      <c r="E1177" s="3495">
        <v>26.42</v>
      </c>
      <c r="F1177" s="3495">
        <v>8.6</v>
      </c>
    </row>
    <row r="1178" spans="2:6" ht="18.75" thickBot="1">
      <c r="B1178" s="3494">
        <v>1174</v>
      </c>
      <c r="C1178" s="3495" t="s">
        <v>4974</v>
      </c>
      <c r="D1178" s="3495" t="s">
        <v>4750</v>
      </c>
      <c r="E1178" s="3495">
        <v>24.15</v>
      </c>
      <c r="F1178" s="3495">
        <v>7.87</v>
      </c>
    </row>
    <row r="1179" spans="2:6" ht="18.75" thickBot="1">
      <c r="B1179" s="3494">
        <v>1175</v>
      </c>
      <c r="C1179" s="3495" t="s">
        <v>4974</v>
      </c>
      <c r="D1179" s="3495" t="s">
        <v>4751</v>
      </c>
      <c r="E1179" s="3495">
        <v>25.5</v>
      </c>
      <c r="F1179" s="3495">
        <v>8.3000000000000007</v>
      </c>
    </row>
    <row r="1180" spans="2:6" ht="18.75" thickBot="1">
      <c r="B1180" s="3494">
        <v>1176</v>
      </c>
      <c r="C1180" s="3495" t="s">
        <v>4974</v>
      </c>
      <c r="D1180" s="3495" t="s">
        <v>4752</v>
      </c>
      <c r="E1180" s="3495">
        <v>20.97</v>
      </c>
      <c r="F1180" s="3495">
        <v>6.83</v>
      </c>
    </row>
    <row r="1181" spans="2:6" ht="18.75" thickBot="1">
      <c r="B1181" s="3494">
        <v>1177</v>
      </c>
      <c r="C1181" s="3495" t="s">
        <v>4974</v>
      </c>
      <c r="D1181" s="3495" t="s">
        <v>4753</v>
      </c>
      <c r="E1181" s="3495">
        <v>24.15</v>
      </c>
      <c r="F1181" s="3495">
        <v>7.87</v>
      </c>
    </row>
    <row r="1182" spans="2:6" ht="18.75" thickBot="1">
      <c r="B1182" s="3494">
        <v>1178</v>
      </c>
      <c r="C1182" s="3495" t="s">
        <v>4974</v>
      </c>
      <c r="D1182" s="3495" t="s">
        <v>4754</v>
      </c>
      <c r="E1182" s="3495">
        <v>24.15</v>
      </c>
      <c r="F1182" s="3495">
        <v>7.87</v>
      </c>
    </row>
    <row r="1183" spans="2:6" ht="18.75" thickBot="1">
      <c r="B1183" s="3494">
        <v>1179</v>
      </c>
      <c r="C1183" s="3495" t="s">
        <v>4974</v>
      </c>
      <c r="D1183" s="3495" t="s">
        <v>4755</v>
      </c>
      <c r="E1183" s="3495">
        <v>24.15</v>
      </c>
      <c r="F1183" s="3495">
        <v>7.87</v>
      </c>
    </row>
    <row r="1184" spans="2:6" ht="18.75" thickBot="1">
      <c r="B1184" s="3494">
        <v>1180</v>
      </c>
      <c r="C1184" s="3495" t="s">
        <v>4974</v>
      </c>
      <c r="D1184" s="3495" t="s">
        <v>4756</v>
      </c>
      <c r="E1184" s="3495">
        <v>24.15</v>
      </c>
      <c r="F1184" s="3495">
        <v>7.87</v>
      </c>
    </row>
    <row r="1185" spans="2:6" ht="18.75" thickBot="1">
      <c r="B1185" s="3494">
        <v>1181</v>
      </c>
      <c r="C1185" s="3495" t="s">
        <v>4974</v>
      </c>
      <c r="D1185" s="3495" t="s">
        <v>4757</v>
      </c>
      <c r="E1185" s="3495">
        <v>20.97</v>
      </c>
      <c r="F1185" s="3495">
        <v>6.83</v>
      </c>
    </row>
    <row r="1186" spans="2:6" ht="18.75" thickBot="1">
      <c r="B1186" s="3494">
        <v>1182</v>
      </c>
      <c r="C1186" s="3495" t="s">
        <v>4974</v>
      </c>
      <c r="D1186" s="3495" t="s">
        <v>4758</v>
      </c>
      <c r="E1186" s="3495">
        <v>20.97</v>
      </c>
      <c r="F1186" s="3495">
        <v>6.83</v>
      </c>
    </row>
    <row r="1187" spans="2:6" ht="18.75" thickBot="1">
      <c r="B1187" s="3494">
        <v>1183</v>
      </c>
      <c r="C1187" s="3495" t="s">
        <v>4974</v>
      </c>
      <c r="D1187" s="3495" t="s">
        <v>4759</v>
      </c>
      <c r="E1187" s="3495">
        <v>24.15</v>
      </c>
      <c r="F1187" s="3495">
        <v>7.87</v>
      </c>
    </row>
    <row r="1188" spans="2:6" ht="18.75" thickBot="1">
      <c r="B1188" s="3494">
        <v>1184</v>
      </c>
      <c r="C1188" s="3495" t="s">
        <v>4974</v>
      </c>
      <c r="D1188" s="3495" t="s">
        <v>4760</v>
      </c>
      <c r="E1188" s="3495">
        <v>23.78</v>
      </c>
      <c r="F1188" s="3495">
        <v>7.74</v>
      </c>
    </row>
    <row r="1189" spans="2:6" ht="18.75" thickBot="1">
      <c r="B1189" s="3494">
        <v>1185</v>
      </c>
      <c r="C1189" s="3495" t="s">
        <v>4974</v>
      </c>
      <c r="D1189" s="3495" t="s">
        <v>4761</v>
      </c>
      <c r="E1189" s="3495">
        <v>45.13</v>
      </c>
      <c r="F1189" s="3495">
        <v>14.7</v>
      </c>
    </row>
    <row r="1190" spans="2:6" ht="18.75" thickBot="1">
      <c r="B1190" s="3494">
        <v>1186</v>
      </c>
      <c r="C1190" s="3495" t="s">
        <v>4974</v>
      </c>
      <c r="D1190" s="3495" t="s">
        <v>4762</v>
      </c>
      <c r="E1190" s="3495">
        <v>45.13</v>
      </c>
      <c r="F1190" s="3495">
        <v>14.7</v>
      </c>
    </row>
    <row r="1191" spans="2:6" ht="18.75" thickBot="1">
      <c r="B1191" s="3494">
        <v>1187</v>
      </c>
      <c r="C1191" s="3495" t="s">
        <v>4974</v>
      </c>
      <c r="D1191" s="3495" t="s">
        <v>4763</v>
      </c>
      <c r="E1191" s="3495">
        <v>11.7</v>
      </c>
      <c r="F1191" s="3495">
        <v>3.81</v>
      </c>
    </row>
    <row r="1192" spans="2:6" ht="18.75" thickBot="1">
      <c r="B1192" s="3494">
        <v>1188</v>
      </c>
      <c r="C1192" s="3495" t="s">
        <v>4974</v>
      </c>
      <c r="D1192" s="3495" t="s">
        <v>4764</v>
      </c>
      <c r="E1192" s="3495">
        <v>11.7</v>
      </c>
      <c r="F1192" s="3495">
        <v>3.81</v>
      </c>
    </row>
    <row r="1193" spans="2:6" ht="18.75" thickBot="1">
      <c r="B1193" s="3494">
        <v>1189</v>
      </c>
      <c r="C1193" s="3495" t="s">
        <v>4974</v>
      </c>
      <c r="D1193" s="3495" t="s">
        <v>4765</v>
      </c>
      <c r="E1193" s="3495">
        <v>115.29</v>
      </c>
      <c r="F1193" s="3495">
        <v>37.549999999999997</v>
      </c>
    </row>
    <row r="1194" spans="2:6" ht="18.75" thickBot="1">
      <c r="B1194" s="3494">
        <v>1190</v>
      </c>
      <c r="C1194" s="3495" t="s">
        <v>4974</v>
      </c>
      <c r="D1194" s="3495" t="s">
        <v>4766</v>
      </c>
      <c r="E1194" s="3495">
        <v>70.58</v>
      </c>
      <c r="F1194" s="3495">
        <v>22.99</v>
      </c>
    </row>
    <row r="1195" spans="2:6" ht="18.75" thickBot="1">
      <c r="B1195" s="3494">
        <v>1191</v>
      </c>
      <c r="C1195" s="3495" t="s">
        <v>4974</v>
      </c>
      <c r="D1195" s="3495" t="s">
        <v>4767</v>
      </c>
      <c r="E1195" s="3495">
        <v>70.58</v>
      </c>
      <c r="F1195" s="3495">
        <v>22.99</v>
      </c>
    </row>
    <row r="1196" spans="2:6" ht="18.75" thickBot="1">
      <c r="B1196" s="3494">
        <v>1192</v>
      </c>
      <c r="C1196" s="3495" t="s">
        <v>4974</v>
      </c>
      <c r="D1196" s="3495" t="s">
        <v>4768</v>
      </c>
      <c r="E1196" s="3495">
        <v>77.5</v>
      </c>
      <c r="F1196" s="3495">
        <v>25.24</v>
      </c>
    </row>
    <row r="1197" spans="2:6" ht="18.75" thickBot="1">
      <c r="B1197" s="3494">
        <v>1193</v>
      </c>
      <c r="C1197" s="3495" t="s">
        <v>4974</v>
      </c>
      <c r="D1197" s="3495" t="s">
        <v>4769</v>
      </c>
      <c r="E1197" s="3495">
        <v>77.5</v>
      </c>
      <c r="F1197" s="3495">
        <v>25.24</v>
      </c>
    </row>
    <row r="1198" spans="2:6" ht="18.75" thickBot="1">
      <c r="B1198" s="3494">
        <v>1194</v>
      </c>
      <c r="C1198" s="3495" t="s">
        <v>4974</v>
      </c>
      <c r="D1198" s="3495" t="s">
        <v>4770</v>
      </c>
      <c r="E1198" s="3495">
        <v>94.07</v>
      </c>
      <c r="F1198" s="3495">
        <v>30.64</v>
      </c>
    </row>
    <row r="1199" spans="2:6" ht="18.75" thickBot="1">
      <c r="B1199" s="3494">
        <v>1195</v>
      </c>
      <c r="C1199" s="3495" t="s">
        <v>4974</v>
      </c>
      <c r="D1199" s="3495" t="s">
        <v>4771</v>
      </c>
      <c r="E1199" s="3495">
        <v>30.4</v>
      </c>
      <c r="F1199" s="3495">
        <v>9.9</v>
      </c>
    </row>
    <row r="1200" spans="2:6" ht="18.75" thickBot="1">
      <c r="B1200" s="3494">
        <v>1196</v>
      </c>
      <c r="C1200" s="3495" t="s">
        <v>4974</v>
      </c>
      <c r="D1200" s="3495" t="s">
        <v>4772</v>
      </c>
      <c r="E1200" s="3495">
        <v>14.41</v>
      </c>
      <c r="F1200" s="3495">
        <v>4.6900000000000004</v>
      </c>
    </row>
    <row r="1201" spans="2:6" ht="18.75" thickBot="1">
      <c r="B1201" s="3494">
        <v>1197</v>
      </c>
      <c r="C1201" s="3495" t="s">
        <v>4974</v>
      </c>
      <c r="D1201" s="3495" t="s">
        <v>4773</v>
      </c>
      <c r="E1201" s="3495">
        <v>8.83</v>
      </c>
      <c r="F1201" s="3495">
        <v>2.88</v>
      </c>
    </row>
    <row r="1202" spans="2:6" ht="18.75" thickBot="1">
      <c r="B1202" s="3494">
        <v>1198</v>
      </c>
      <c r="C1202" s="3495" t="s">
        <v>4974</v>
      </c>
      <c r="D1202" s="3495" t="s">
        <v>4774</v>
      </c>
      <c r="E1202" s="3495">
        <v>14.41</v>
      </c>
      <c r="F1202" s="3495">
        <v>4.6900000000000004</v>
      </c>
    </row>
    <row r="1203" spans="2:6" ht="18.75" thickBot="1">
      <c r="B1203" s="3494">
        <v>1199</v>
      </c>
      <c r="C1203" s="3495" t="s">
        <v>4974</v>
      </c>
      <c r="D1203" s="3495" t="s">
        <v>4775</v>
      </c>
      <c r="E1203" s="3495">
        <v>30.4</v>
      </c>
      <c r="F1203" s="3495">
        <v>9.9</v>
      </c>
    </row>
    <row r="1204" spans="2:6" ht="18.75" thickBot="1">
      <c r="B1204" s="3494">
        <v>1200</v>
      </c>
      <c r="C1204" s="3495" t="s">
        <v>4974</v>
      </c>
      <c r="D1204" s="3495" t="s">
        <v>4776</v>
      </c>
      <c r="E1204" s="3495">
        <v>11.58</v>
      </c>
      <c r="F1204" s="3495">
        <v>3.77</v>
      </c>
    </row>
    <row r="1205" spans="2:6" ht="18.75" thickBot="1">
      <c r="B1205" s="3494">
        <v>1201</v>
      </c>
      <c r="C1205" s="3495" t="s">
        <v>4974</v>
      </c>
      <c r="D1205" s="3495" t="s">
        <v>4777</v>
      </c>
      <c r="E1205" s="3495">
        <v>42.69</v>
      </c>
      <c r="F1205" s="3495">
        <v>13.9</v>
      </c>
    </row>
    <row r="1206" spans="2:6" ht="18.75" thickBot="1">
      <c r="B1206" s="3494">
        <v>1202</v>
      </c>
      <c r="C1206" s="3495" t="s">
        <v>4974</v>
      </c>
      <c r="D1206" s="3495" t="s">
        <v>4778</v>
      </c>
      <c r="E1206" s="3495">
        <v>24.36</v>
      </c>
      <c r="F1206" s="3495">
        <v>7.93</v>
      </c>
    </row>
    <row r="1207" spans="2:6" ht="18.75" thickBot="1">
      <c r="B1207" s="3494">
        <v>1203</v>
      </c>
      <c r="C1207" s="3495" t="s">
        <v>4974</v>
      </c>
      <c r="D1207" s="3495" t="s">
        <v>4779</v>
      </c>
      <c r="E1207" s="3495">
        <v>20.56</v>
      </c>
      <c r="F1207" s="3495">
        <v>6.7</v>
      </c>
    </row>
    <row r="1208" spans="2:6" ht="18.75" thickBot="1">
      <c r="B1208" s="3494">
        <v>1204</v>
      </c>
      <c r="C1208" s="3495" t="s">
        <v>4974</v>
      </c>
      <c r="D1208" s="3495" t="s">
        <v>4780</v>
      </c>
      <c r="E1208" s="3495">
        <v>24.94</v>
      </c>
      <c r="F1208" s="3495">
        <v>8.1199999999999992</v>
      </c>
    </row>
    <row r="1209" spans="2:6" ht="18.75" thickBot="1">
      <c r="B1209" s="3494">
        <v>1205</v>
      </c>
      <c r="C1209" s="3495" t="s">
        <v>4974</v>
      </c>
      <c r="D1209" s="3496" t="s">
        <v>4781</v>
      </c>
      <c r="E1209" s="3496">
        <v>25.71</v>
      </c>
      <c r="F1209" s="3495">
        <v>8.3699999999999992</v>
      </c>
    </row>
    <row r="1210" spans="2:6" ht="18.75" thickBot="1">
      <c r="B1210" s="3494">
        <v>1206</v>
      </c>
      <c r="C1210" s="3495" t="s">
        <v>4974</v>
      </c>
      <c r="D1210" s="3497" t="s">
        <v>4782</v>
      </c>
      <c r="E1210" s="3497">
        <v>24.36</v>
      </c>
      <c r="F1210" s="3495">
        <v>7.93</v>
      </c>
    </row>
    <row r="1211" spans="2:6" ht="18.75" thickBot="1">
      <c r="B1211" s="3494">
        <v>1207</v>
      </c>
      <c r="C1211" s="3495" t="s">
        <v>4974</v>
      </c>
      <c r="D1211" s="3495" t="s">
        <v>4783</v>
      </c>
      <c r="E1211" s="3495">
        <v>26.65</v>
      </c>
      <c r="F1211" s="3495">
        <v>8.68</v>
      </c>
    </row>
    <row r="1212" spans="2:6" ht="18.75" thickBot="1">
      <c r="B1212" s="3494">
        <v>1208</v>
      </c>
      <c r="C1212" s="3495" t="s">
        <v>4974</v>
      </c>
      <c r="D1212" s="3495" t="s">
        <v>4784</v>
      </c>
      <c r="E1212" s="3495">
        <v>26.65</v>
      </c>
      <c r="F1212" s="3495">
        <v>8.68</v>
      </c>
    </row>
    <row r="1213" spans="2:6" ht="18.75" thickBot="1">
      <c r="B1213" s="3494">
        <v>1209</v>
      </c>
      <c r="C1213" s="3495" t="s">
        <v>4974</v>
      </c>
      <c r="D1213" s="3495" t="s">
        <v>4785</v>
      </c>
      <c r="E1213" s="3495">
        <v>24.36</v>
      </c>
      <c r="F1213" s="3495">
        <v>7.93</v>
      </c>
    </row>
    <row r="1214" spans="2:6" ht="18.75" thickBot="1">
      <c r="B1214" s="3494">
        <v>1210</v>
      </c>
      <c r="C1214" s="3495" t="s">
        <v>4974</v>
      </c>
      <c r="D1214" s="3495" t="s">
        <v>4786</v>
      </c>
      <c r="E1214" s="3495">
        <v>25.71</v>
      </c>
      <c r="F1214" s="3495">
        <v>8.3699999999999992</v>
      </c>
    </row>
    <row r="1215" spans="2:6" ht="18.75" thickBot="1">
      <c r="B1215" s="3494">
        <v>1211</v>
      </c>
      <c r="C1215" s="3495" t="s">
        <v>4974</v>
      </c>
      <c r="D1215" s="3495" t="s">
        <v>4787</v>
      </c>
      <c r="E1215" s="3495">
        <v>16.579999999999998</v>
      </c>
      <c r="F1215" s="3495">
        <v>5.4</v>
      </c>
    </row>
    <row r="1216" spans="2:6" ht="18.75" thickBot="1">
      <c r="B1216" s="3494">
        <v>1212</v>
      </c>
      <c r="C1216" s="3495" t="s">
        <v>4974</v>
      </c>
      <c r="D1216" s="3495" t="s">
        <v>4788</v>
      </c>
      <c r="E1216" s="3495">
        <v>17.510000000000002</v>
      </c>
      <c r="F1216" s="3495">
        <v>5.7</v>
      </c>
    </row>
    <row r="1217" spans="2:6" ht="18.75" thickBot="1">
      <c r="B1217" s="3494">
        <v>1213</v>
      </c>
      <c r="C1217" s="3495" t="s">
        <v>4974</v>
      </c>
      <c r="D1217" s="3495" t="s">
        <v>4789</v>
      </c>
      <c r="E1217" s="3495">
        <v>42.35</v>
      </c>
      <c r="F1217" s="3495">
        <v>13.79</v>
      </c>
    </row>
    <row r="1218" spans="2:6" ht="14.25" thickBot="1">
      <c r="B1218" s="3585" t="s">
        <v>4790</v>
      </c>
      <c r="C1218" s="3586"/>
      <c r="D1218" s="3587"/>
      <c r="E1218" s="3487">
        <v>53053.42</v>
      </c>
      <c r="F1218" s="3487">
        <v>17279.310000000001</v>
      </c>
    </row>
  </sheetData>
  <mergeCells count="4">
    <mergeCell ref="H187:J187"/>
    <mergeCell ref="H3:L3"/>
    <mergeCell ref="B3:F3"/>
    <mergeCell ref="B1218:D1218"/>
  </mergeCells>
  <phoneticPr fontId="1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97" t="s">
        <v>1131</v>
      </c>
      <c r="B2" s="3597"/>
      <c r="C2" s="3597"/>
      <c r="D2" s="796" t="s">
        <v>1107</v>
      </c>
      <c r="E2" s="1638" t="s">
        <v>1108</v>
      </c>
      <c r="F2" s="2655"/>
      <c r="G2" s="2646"/>
      <c r="H2" s="2647"/>
      <c r="I2" s="2321" t="s">
        <v>1132</v>
      </c>
      <c r="J2" s="2655"/>
      <c r="K2" s="2655"/>
      <c r="L2" s="2655"/>
      <c r="M2" s="2655"/>
      <c r="N2" s="2657"/>
      <c r="O2" s="2655"/>
      <c r="P2" s="2655"/>
    </row>
    <row r="3" spans="1:16" ht="15.75" thickBot="1">
      <c r="A3" s="3598" t="s">
        <v>1105</v>
      </c>
      <c r="B3" s="3598"/>
      <c r="C3" s="3598"/>
      <c r="D3" s="43">
        <f>'数据-基础表'!AY6</f>
        <v>22768.44</v>
      </c>
      <c r="E3" s="43">
        <f>'数据-基础表'!AZ5</f>
        <v>69908.279999999955</v>
      </c>
      <c r="F3" s="2655"/>
      <c r="G3" s="1145"/>
      <c r="H3" s="1026" t="s">
        <v>1106</v>
      </c>
      <c r="I3" s="855">
        <f>ROUND('数据-基础表'!B3/'数据-基础表'!A3,2)</f>
        <v>3.07</v>
      </c>
      <c r="J3" s="2655"/>
      <c r="K3" s="2655"/>
      <c r="L3" s="2655"/>
      <c r="M3" s="2655"/>
      <c r="N3" s="2657"/>
      <c r="O3" s="2655"/>
      <c r="P3" s="2655"/>
    </row>
    <row r="4" spans="1:16" ht="15">
      <c r="A4" s="3599"/>
      <c r="B4" s="3600"/>
      <c r="C4" s="3601"/>
      <c r="D4" s="1640" t="s">
        <v>1107</v>
      </c>
      <c r="E4" s="1641" t="s">
        <v>1108</v>
      </c>
      <c r="F4" s="2655"/>
      <c r="G4" s="2648" t="s">
        <v>1133</v>
      </c>
      <c r="H4" s="1026" t="s">
        <v>1113</v>
      </c>
      <c r="I4" s="855">
        <f>ROUND(SUMIF('数据-基础表'!I9:AS9,"地上",'数据-基础表'!I5:AS5)/'数据-基础表'!A3,2)</f>
        <v>1.86</v>
      </c>
      <c r="J4" s="2655"/>
      <c r="K4" s="2655"/>
      <c r="L4" s="2655"/>
      <c r="M4" s="2655"/>
      <c r="N4" s="2657"/>
      <c r="O4" s="2655"/>
      <c r="P4" s="2655"/>
    </row>
    <row r="5" spans="1:16">
      <c r="A5" s="44" t="s">
        <v>1109</v>
      </c>
      <c r="B5" s="3602" t="s">
        <v>1110</v>
      </c>
      <c r="C5" s="3602"/>
      <c r="D5" s="45">
        <f>ROUND($D$3*E5/$E$3,2)</f>
        <v>13780.24</v>
      </c>
      <c r="E5" s="46">
        <f>SUMIF('数据-基础表'!$11:$11,"住宅",'数据-基础表'!$5:$5)</f>
        <v>42310.899999999994</v>
      </c>
      <c r="F5" s="2655"/>
      <c r="G5" s="1145"/>
      <c r="H5" s="1026" t="s">
        <v>1106</v>
      </c>
      <c r="I5" s="855">
        <f>ROUND(E31/D31,2)</f>
        <v>3.07</v>
      </c>
      <c r="J5" s="2655"/>
      <c r="K5" s="2655"/>
      <c r="L5" s="2655"/>
      <c r="M5" s="2655"/>
      <c r="N5" s="2655"/>
      <c r="O5" s="2655"/>
      <c r="P5" s="2655"/>
    </row>
    <row r="6" spans="1:16" ht="15" thickBot="1">
      <c r="A6" s="1643"/>
      <c r="B6" s="3602" t="s">
        <v>1111</v>
      </c>
      <c r="C6" s="3602"/>
      <c r="D6" s="45">
        <f>ROUND($D$3*E6/$E$3,2)</f>
        <v>8988.2000000000007</v>
      </c>
      <c r="E6" s="46">
        <f>E3-E5</f>
        <v>27597.379999999961</v>
      </c>
      <c r="F6" s="2655"/>
      <c r="G6" s="2649" t="s">
        <v>1112</v>
      </c>
      <c r="H6" s="1146" t="s">
        <v>1113</v>
      </c>
      <c r="I6" s="2650">
        <f>ROUND(F31/D31,2)</f>
        <v>1.86</v>
      </c>
      <c r="J6" s="2655"/>
      <c r="K6" s="2655"/>
      <c r="L6" s="2655"/>
      <c r="M6" s="2655"/>
      <c r="N6" s="2655"/>
      <c r="O6" s="2655"/>
      <c r="P6" s="2655"/>
    </row>
    <row r="7" spans="1:16" ht="15.75" thickBot="1">
      <c r="A7" s="3594"/>
      <c r="B7" s="3595"/>
      <c r="C7" s="3596"/>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13780.24</v>
      </c>
      <c r="E8" s="48">
        <f>SUMIF('数据-基础表'!BB10:BK10,"地上",'数据-基础表'!BB5:BK5)</f>
        <v>42310.899999999994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1999.28</v>
      </c>
      <c r="E12" s="48">
        <f>SUMPRODUCT(('数据-基础表'!BB10:BK10="地下")*('数据-基础表'!BB11:BK11="仓储")*('数据-基础表'!BB5:BK5))</f>
        <v>6138.5999999999922</v>
      </c>
      <c r="F12" s="2655"/>
      <c r="G12" s="2656"/>
      <c r="H12" s="2656"/>
      <c r="I12" s="2655"/>
      <c r="J12" s="2655"/>
      <c r="K12" s="2655"/>
      <c r="L12" s="2655"/>
      <c r="M12" s="2655"/>
      <c r="N12" s="2655"/>
      <c r="O12" s="2655"/>
      <c r="P12" s="2655"/>
    </row>
    <row r="13" spans="1:16">
      <c r="A13" s="1645"/>
      <c r="B13" s="1646"/>
      <c r="C13" s="45" t="s">
        <v>1122</v>
      </c>
      <c r="D13" s="45">
        <f t="shared" si="0"/>
        <v>6988.91</v>
      </c>
      <c r="E13" s="48">
        <f>SUMPRODUCT(('数据-基础表'!BB10:BK10="地下")*('数据-基础表'!BB11:BK11="车库")*('数据-基础表'!BB5:BK5))</f>
        <v>21458.77999999997</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22768.43</v>
      </c>
      <c r="E16" s="50">
        <f>SUM(E8:E15)</f>
        <v>69908.279999999955</v>
      </c>
      <c r="F16" s="2655"/>
      <c r="G16" s="2656"/>
      <c r="H16" s="1647" t="s">
        <v>1135</v>
      </c>
      <c r="I16" s="1648"/>
      <c r="J16" s="1139"/>
      <c r="K16" s="3591" t="s">
        <v>1135</v>
      </c>
      <c r="L16" s="3592"/>
      <c r="M16" s="3592"/>
      <c r="N16" s="3592"/>
      <c r="O16" s="3592"/>
      <c r="P16" s="3593"/>
    </row>
    <row r="17" spans="1:19" ht="15">
      <c r="A17" s="1649" t="s">
        <v>1136</v>
      </c>
      <c r="B17" s="1650" t="s">
        <v>1137</v>
      </c>
      <c r="C17" s="1651" t="s">
        <v>1138</v>
      </c>
      <c r="D17" s="1652" t="s">
        <v>1126</v>
      </c>
      <c r="E17" s="1653" t="s">
        <v>1127</v>
      </c>
      <c r="F17" s="1654"/>
      <c r="G17" s="1655"/>
      <c r="H17" s="1656" t="s">
        <v>1139</v>
      </c>
      <c r="I17" s="1657" t="s">
        <v>1124</v>
      </c>
      <c r="J17" s="1139"/>
      <c r="K17" s="3588" t="s">
        <v>1140</v>
      </c>
      <c r="L17" s="3589"/>
      <c r="M17" s="3590"/>
      <c r="N17" s="3588" t="s">
        <v>1141</v>
      </c>
      <c r="O17" s="3589"/>
      <c r="P17" s="359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3530</v>
      </c>
      <c r="D19" s="45">
        <f>ROUND($D$3*E19/$E$3,2)</f>
        <v>13780.24</v>
      </c>
      <c r="E19" s="53">
        <f t="shared" ref="E19:E26" si="1">SUM(F19:G19)</f>
        <v>42310.899999999994</v>
      </c>
      <c r="F19" s="2791">
        <f>'数据-基础表'!I13</f>
        <v>42310.899999999994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13780.24</v>
      </c>
      <c r="S19" s="1027">
        <f t="shared" si="5"/>
        <v>42310.899999999994</v>
      </c>
    </row>
    <row r="20" spans="1:19">
      <c r="A20" s="1669"/>
      <c r="B20" s="47" t="s">
        <v>1153</v>
      </c>
      <c r="C20" s="3413" t="s">
        <v>3531</v>
      </c>
      <c r="D20" s="45">
        <f t="shared" ref="D20:D26" si="6">ROUND($D$3*E20/$E$3,2)</f>
        <v>6988.91</v>
      </c>
      <c r="E20" s="53">
        <f t="shared" si="1"/>
        <v>21458.77999999997</v>
      </c>
      <c r="F20" s="2791"/>
      <c r="G20" s="2792">
        <f>'数据-基础表'!K13</f>
        <v>21458.77999999997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6988.91</v>
      </c>
      <c r="S20" s="1027">
        <f t="shared" si="5"/>
        <v>21458.77999999997</v>
      </c>
    </row>
    <row r="21" spans="1:19">
      <c r="A21" s="1669"/>
      <c r="B21" s="47" t="s">
        <v>1153</v>
      </c>
      <c r="C21" s="3413" t="s">
        <v>3532</v>
      </c>
      <c r="D21" s="45">
        <f t="shared" si="6"/>
        <v>1999.28</v>
      </c>
      <c r="E21" s="53">
        <f t="shared" si="1"/>
        <v>6138.5999999999922</v>
      </c>
      <c r="F21" s="2791"/>
      <c r="G21" s="2792">
        <f>'数据-基础表'!M13</f>
        <v>6138.5999999999922</v>
      </c>
      <c r="H21" s="670">
        <f t="shared" si="7"/>
        <v>0</v>
      </c>
      <c r="I21" s="48">
        <f t="shared" si="2"/>
        <v>0</v>
      </c>
      <c r="J21" s="1139"/>
      <c r="K21" s="1138">
        <f t="shared" si="3"/>
        <v>0</v>
      </c>
      <c r="L21" s="1026">
        <f t="shared" si="4"/>
        <v>0</v>
      </c>
      <c r="M21" s="1150">
        <f t="shared" si="8"/>
        <v>0</v>
      </c>
      <c r="N21" s="1667"/>
      <c r="O21" s="1668"/>
      <c r="P21" s="1150">
        <f t="shared" si="9"/>
        <v>0</v>
      </c>
      <c r="R21" s="1026">
        <f t="shared" si="5"/>
        <v>1999.28</v>
      </c>
      <c r="S21" s="1027">
        <f t="shared" si="5"/>
        <v>6138.5999999999922</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1154</v>
      </c>
      <c r="D27" s="1140">
        <f>SUM(D19:D26)</f>
        <v>22768.43</v>
      </c>
      <c r="E27" s="1141">
        <f>IF(SUM(E19:E26)='数据-基础表'!BA5,SUM(E19:E26),IF(F27="地上面积有误","面积有误","地下面积有误"))</f>
        <v>69908.279999999955</v>
      </c>
      <c r="F27" s="1140">
        <f>IF(SUM(F19:F26)=E8,SUM(F19:F26),"地上面积有误")</f>
        <v>42310.899999999994</v>
      </c>
      <c r="G27" s="1142">
        <f>SUM(G19:G26)</f>
        <v>27597.379999999961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t="str">
        <f>IF(SUM(R19:R26)=$D$3,SUM(R19:R26),SUM(R19:R26)&amp;"误差"&amp;ROUND(SUM(R19:R26)-$D$3,2))</f>
        <v>22768.43误差-0.01</v>
      </c>
      <c r="S27" s="1026">
        <f>IF(SUM(S19:S26)=$E$3,SUM(S19:S26),SUM(S19:S26)&amp;"误差"&amp;ROUND(SUM(S19:S26)-E3,2))</f>
        <v>69908.279999999955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22768.43</v>
      </c>
      <c r="E31" s="676">
        <f>E27+E30</f>
        <v>69908.279999999955</v>
      </c>
      <c r="F31" s="677">
        <f>F27+F30</f>
        <v>42310.899999999994</v>
      </c>
      <c r="G31" s="678">
        <f>G27+G30</f>
        <v>27597.379999999961</v>
      </c>
      <c r="H31" s="2655"/>
      <c r="I31" s="2655"/>
      <c r="J31" s="2655"/>
      <c r="K31" s="2655"/>
      <c r="L31" s="2655"/>
      <c r="M31" s="2655"/>
      <c r="N31" s="2655"/>
      <c r="O31" s="2655"/>
      <c r="P31" s="2655"/>
    </row>
    <row r="32" spans="1:19">
      <c r="A32" s="1642"/>
      <c r="B32" s="1642" t="s">
        <v>1159</v>
      </c>
      <c r="C32" s="1642"/>
      <c r="D32" s="1642"/>
      <c r="E32" s="1053">
        <f>SUMIF(C19:C26,"*住宅*",E19:E26)</f>
        <v>42310.899999999994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D24" sqref="AD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45063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3533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3528</v>
      </c>
      <c r="D6" s="858">
        <f>SUMIF(项目基本情况!C$12:I$12,C6,项目基本情况!C$14:I$14)</f>
        <v>70</v>
      </c>
      <c r="E6" s="857">
        <f>IF(B6="","",SUMIF(项目基本情况!C$12:I$12,C6,项目基本情况!C$13:I$13))</f>
        <v>70179</v>
      </c>
      <c r="F6" s="64">
        <f>SUMIF(项目基本情况!C$12:I$12,C6,项目基本情况!C$15:I$15)</f>
        <v>68.81</v>
      </c>
      <c r="G6" s="65">
        <f>IF(ISERROR(ROUND(POWER(1+H6,D6-F6)*(POWER(1+H6,F6)-1)/(POWER(1+H6,D6)-1),3)),0,ROUND(POWER(1+H6,D6-F6)*(POWER(1+H6,F6)-1)/(POWER(1+H6,D6)-1),3))</f>
        <v>0.998</v>
      </c>
      <c r="H6" s="732">
        <v>0.05</v>
      </c>
      <c r="I6" s="732">
        <v>5.5E-2</v>
      </c>
      <c r="J6" s="66">
        <v>7.0000000000000007E-2</v>
      </c>
      <c r="K6" s="1030">
        <f>SUMIF('数据-汇总表'!C$19:C$33,A6,'数据-汇总表'!E$19:E$33)</f>
        <v>42310.899999999994</v>
      </c>
      <c r="L6" s="3506">
        <v>5500</v>
      </c>
      <c r="M6" s="67">
        <f t="shared" ref="M6:M14" si="0">ROUND(K6*L6/10000,0)</f>
        <v>23271</v>
      </c>
      <c r="N6" s="731">
        <v>0.3</v>
      </c>
      <c r="O6" s="67">
        <f>IF($N$5="成新度","——",ROUND(M6*N6,0))</f>
        <v>6981</v>
      </c>
      <c r="P6" s="68">
        <f>IF($N$5="成新度","——",M6-O6)</f>
        <v>16290</v>
      </c>
      <c r="Q6" s="734">
        <v>0.15</v>
      </c>
      <c r="R6" s="69">
        <f ca="1">SUMIF('数据-汇总表'!C$19:C$33,A6,'数据-汇总表'!R$19:R$27)</f>
        <v>13780.24</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232709949.99999997</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v>
      </c>
      <c r="B7" s="1712" t="str">
        <f t="shared" ref="B7:B13" si="1">IF(A7=0,"","经营性")</f>
        <v>经营性</v>
      </c>
      <c r="C7" s="1713" t="s">
        <v>3338</v>
      </c>
      <c r="D7" s="858">
        <f>SUMIF(项目基本情况!C$12:I$12,C7,项目基本情况!C$14:I$14)</f>
        <v>50</v>
      </c>
      <c r="E7" s="857">
        <f>IF(B7="","",SUMIF(项目基本情况!C$12:I$12,C7,项目基本情况!C$13:I$13))</f>
        <v>62874</v>
      </c>
      <c r="F7" s="64">
        <f>SUMIF(项目基本情况!C$12:I$12,C7,项目基本情况!C$15:I$15)</f>
        <v>48.79</v>
      </c>
      <c r="G7" s="65">
        <f t="shared" ref="G7:G11" si="2">IF(ISERROR(ROUND(POWER(1+H7,D7-F7)*(POWER(1+H7,F7)-1)/(POWER(1+H7,D7)-1),3)),0,ROUND(POWER(1+H7,D7-F7)*(POWER(1+H7,F7)-1)/(POWER(1+H7,D7)-1),3))</f>
        <v>0.99399999999999999</v>
      </c>
      <c r="H7" s="3504">
        <v>0.05</v>
      </c>
      <c r="I7" s="3504">
        <v>5.5E-2</v>
      </c>
      <c r="J7" s="3505">
        <v>7.0000000000000007E-2</v>
      </c>
      <c r="K7" s="1030">
        <f>SUMIF('数据-汇总表'!C$19:C$33,A7,'数据-汇总表'!E$19:E$33)</f>
        <v>21458.77999999997</v>
      </c>
      <c r="L7" s="3506">
        <v>4500</v>
      </c>
      <c r="M7" s="67">
        <f t="shared" si="0"/>
        <v>9656</v>
      </c>
      <c r="N7" s="731">
        <v>0.5</v>
      </c>
      <c r="O7" s="67">
        <f t="shared" ref="O7:O14" si="3">IF($N$5="成新度","——",ROUND(M7*N7,0))</f>
        <v>4828</v>
      </c>
      <c r="P7" s="68">
        <f t="shared" ref="P7:P14" si="4">IF($N$5="成新度","——",M7-O7)</f>
        <v>4828</v>
      </c>
      <c r="Q7" s="734">
        <v>0.05</v>
      </c>
      <c r="R7" s="69">
        <f ca="1">SUMIF('数据-汇总表'!C$19:C$33,A7,'数据-汇总表'!R$19:R$27)</f>
        <v>6988.91</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v>775</v>
      </c>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地下仓储</v>
      </c>
      <c r="B8" s="1712" t="str">
        <f t="shared" si="1"/>
        <v>经营性</v>
      </c>
      <c r="C8" s="1713" t="s">
        <v>3339</v>
      </c>
      <c r="D8" s="858">
        <f>SUMIF(项目基本情况!C$12:I$12,C8,项目基本情况!C$14:I$14)</f>
        <v>50</v>
      </c>
      <c r="E8" s="857">
        <f>IF(B8="","",SUMIF(项目基本情况!C$12:I$12,C8,项目基本情况!C$13:I$13))</f>
        <v>62874</v>
      </c>
      <c r="F8" s="64">
        <f>SUMIF(项目基本情况!C$12:I$12,C8,项目基本情况!C$15:I$15)</f>
        <v>48.79</v>
      </c>
      <c r="G8" s="65">
        <f t="shared" si="2"/>
        <v>0.99399999999999999</v>
      </c>
      <c r="H8" s="3504">
        <v>0.05</v>
      </c>
      <c r="I8" s="3504">
        <v>5.5E-2</v>
      </c>
      <c r="J8" s="3505">
        <v>7.0000000000000007E-2</v>
      </c>
      <c r="K8" s="1030">
        <f>SUMIF('数据-汇总表'!C$19:C$33,A8,'数据-汇总表'!E$19:E$33)</f>
        <v>6138.5999999999922</v>
      </c>
      <c r="L8" s="3506">
        <f>L7</f>
        <v>4500</v>
      </c>
      <c r="M8" s="67">
        <f>ROUND(K8*L8/10000,0)</f>
        <v>2762</v>
      </c>
      <c r="N8" s="731">
        <f>N7</f>
        <v>0.5</v>
      </c>
      <c r="O8" s="67">
        <f t="shared" si="3"/>
        <v>1381</v>
      </c>
      <c r="P8" s="68">
        <f t="shared" si="4"/>
        <v>1381</v>
      </c>
      <c r="Q8" s="734">
        <v>0.08</v>
      </c>
      <c r="R8" s="69">
        <f ca="1">SUMIF('数据-汇总表'!C$19:C$33,A8,'数据-汇总表'!R$19:R$27)</f>
        <v>1999.28</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0.996</v>
      </c>
      <c r="H16" s="90">
        <f>ROUND(SUMPRODUCT(H6:H13,K6:K13)/SUMPRODUCT((H6:H13&gt;0)*(K6:K13)),3)</f>
        <v>0.05</v>
      </c>
      <c r="I16" s="91"/>
      <c r="J16" s="91"/>
      <c r="K16" s="92">
        <f>SUM(K6:K15)</f>
        <v>69908.279999999955</v>
      </c>
      <c r="L16" s="93">
        <f>ROUND(M16*10000/SUM(K6:K14),0)</f>
        <v>5105</v>
      </c>
      <c r="M16" s="93">
        <f>SUM(M6:M14)</f>
        <v>35689</v>
      </c>
      <c r="N16" s="94">
        <f>ROUND(SUMPRODUCT(M6:M14,N6:N14)/M16,3)</f>
        <v>0.37</v>
      </c>
      <c r="O16" s="93">
        <f>SUM(O6:O14)</f>
        <v>13190</v>
      </c>
      <c r="P16" s="93">
        <f>SUM(P6:P14)</f>
        <v>22499</v>
      </c>
      <c r="Q16" s="95">
        <f>ROUND(SUMPRODUCT(Q6:Q13,K6:K13)/SUMPRODUCT((Q6:Q13&gt;0)*(K6:K13)),2)</f>
        <v>0.11</v>
      </c>
      <c r="R16" s="1034">
        <f ca="1">SUM(R6:R13)</f>
        <v>22768.43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3508" t="s">
        <v>5043</v>
      </c>
      <c r="N20" s="3508" t="s">
        <v>5042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ROUND(B20*N16,2)</f>
        <v>0.74</v>
      </c>
      <c r="C21" s="2669"/>
      <c r="D21" s="2672"/>
      <c r="E21" s="2669"/>
      <c r="F21" s="2669"/>
      <c r="G21" s="2669"/>
      <c r="H21" s="2669"/>
      <c r="I21" s="2669"/>
      <c r="J21" s="2669"/>
      <c r="K21" s="2668"/>
      <c r="L21" s="2668" t="s">
        <v>5028</v>
      </c>
      <c r="M21" s="2667">
        <f>6/11</f>
        <v>0.54545454545454541</v>
      </c>
      <c r="N21" s="2667">
        <f>面积清单!E4</f>
        <v>5031.1000000000004</v>
      </c>
      <c r="O21" s="2667">
        <f>M21*N21</f>
        <v>2744.2363636363634</v>
      </c>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t="s">
        <v>5029</v>
      </c>
      <c r="M22" s="2667">
        <f>8/9</f>
        <v>0.88888888888888884</v>
      </c>
      <c r="N22" s="2667">
        <f>面积清单!E5</f>
        <v>5492.21</v>
      </c>
      <c r="O22" s="2667">
        <f t="shared" ref="O22:O34" si="12">M22*N22</f>
        <v>4881.9644444444439</v>
      </c>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0.74</v>
      </c>
      <c r="C23" s="2669"/>
      <c r="D23" s="2672"/>
      <c r="E23" s="2669"/>
      <c r="F23" s="2669"/>
      <c r="G23" s="2669"/>
      <c r="H23" s="2669"/>
      <c r="I23" s="2669"/>
      <c r="J23" s="2669"/>
      <c r="K23" s="2668"/>
      <c r="L23" s="2668" t="s">
        <v>5030</v>
      </c>
      <c r="M23" s="2667">
        <f>8/9</f>
        <v>0.88888888888888884</v>
      </c>
      <c r="N23" s="2667">
        <f>面积清单!E6</f>
        <v>5492.21</v>
      </c>
      <c r="O23" s="2667">
        <f t="shared" si="12"/>
        <v>4881.9644444444439</v>
      </c>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1.26</v>
      </c>
      <c r="C24" s="2669"/>
      <c r="D24" s="2672"/>
      <c r="E24" s="2669"/>
      <c r="F24" s="2669"/>
      <c r="G24" s="2669"/>
      <c r="H24" s="2669"/>
      <c r="I24" s="2669"/>
      <c r="J24" s="2669"/>
      <c r="K24" s="2668"/>
      <c r="L24" s="2668" t="s">
        <v>5031</v>
      </c>
      <c r="M24" s="2667">
        <f>5/11</f>
        <v>0.45454545454545453</v>
      </c>
      <c r="N24" s="2667">
        <f>面积清单!E7</f>
        <v>4883.87</v>
      </c>
      <c r="O24" s="2667">
        <f t="shared" si="12"/>
        <v>2219.9409090909089</v>
      </c>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t="s">
        <v>5032</v>
      </c>
      <c r="M25" s="2667">
        <f>3/9</f>
        <v>0.33333333333333331</v>
      </c>
      <c r="N25" s="2667">
        <f>面积清单!E8</f>
        <v>5532.28</v>
      </c>
      <c r="O25" s="2667">
        <f t="shared" si="12"/>
        <v>1844.0933333333332</v>
      </c>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t="s">
        <v>5033</v>
      </c>
      <c r="M26" s="2667">
        <f>3/9</f>
        <v>0.33333333333333331</v>
      </c>
      <c r="N26" s="2667">
        <f>面积清单!E9</f>
        <v>5532.28</v>
      </c>
      <c r="O26" s="2667">
        <f t="shared" si="12"/>
        <v>1844.0933333333332</v>
      </c>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0</v>
      </c>
      <c r="C27" s="2797" t="s">
        <v>2307</v>
      </c>
      <c r="D27" s="2675"/>
      <c r="E27" s="2657"/>
      <c r="F27" s="2657"/>
      <c r="G27" s="2669"/>
      <c r="H27" s="2669"/>
      <c r="I27" s="2669"/>
      <c r="J27" s="2669"/>
      <c r="K27" s="2668"/>
      <c r="L27" s="2668" t="s">
        <v>5034</v>
      </c>
      <c r="M27" s="2667">
        <f>8/11</f>
        <v>0.72727272727272729</v>
      </c>
      <c r="N27" s="2667">
        <f>面积清单!E10</f>
        <v>3548.44</v>
      </c>
      <c r="O27" s="2667">
        <f t="shared" si="12"/>
        <v>2580.6836363636367</v>
      </c>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0</v>
      </c>
      <c r="C28" s="2676"/>
      <c r="D28" s="2675"/>
      <c r="E28" s="2657"/>
      <c r="F28" s="2657"/>
      <c r="G28" s="2669"/>
      <c r="H28" s="2669"/>
      <c r="I28" s="2669"/>
      <c r="J28" s="2669"/>
      <c r="K28" s="2668"/>
      <c r="L28" s="2668" t="s">
        <v>5035</v>
      </c>
      <c r="M28" s="2667">
        <f>3/9</f>
        <v>0.33333333333333331</v>
      </c>
      <c r="N28" s="2667">
        <f>面积清单!E11</f>
        <v>5532.28</v>
      </c>
      <c r="O28" s="2667">
        <f t="shared" si="12"/>
        <v>1844.0933333333332</v>
      </c>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8" t="s">
        <v>2294</v>
      </c>
      <c r="D29" s="2675"/>
      <c r="E29" s="2657"/>
      <c r="F29" s="2657"/>
      <c r="G29" s="2669"/>
      <c r="H29" s="2669"/>
      <c r="I29" s="2669"/>
      <c r="J29" s="2669"/>
      <c r="K29" s="2668"/>
      <c r="L29" s="2668" t="s">
        <v>5036</v>
      </c>
      <c r="M29" s="2667">
        <f>3/9</f>
        <v>0.33333333333333331</v>
      </c>
      <c r="N29" s="2667">
        <f>面积清单!E12</f>
        <v>5532.28</v>
      </c>
      <c r="O29" s="2667">
        <f t="shared" si="12"/>
        <v>1844.0933333333332</v>
      </c>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t="s">
        <v>5037</v>
      </c>
      <c r="M30" s="2667">
        <f>6/11</f>
        <v>0.54545454545454541</v>
      </c>
      <c r="N30" s="2667">
        <f>面积清单!E13</f>
        <v>3548.33</v>
      </c>
      <c r="O30" s="2667">
        <f t="shared" si="12"/>
        <v>1935.4527272727271</v>
      </c>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100</v>
      </c>
      <c r="C31" s="2674"/>
      <c r="D31" s="2675"/>
      <c r="E31" s="2657"/>
      <c r="F31" s="2657"/>
      <c r="G31" s="2669"/>
      <c r="H31" s="2669"/>
      <c r="I31" s="2669"/>
      <c r="J31" s="2669"/>
      <c r="K31" s="2668"/>
      <c r="L31" s="2668" t="s">
        <v>5038</v>
      </c>
      <c r="M31" s="2667">
        <f>4/11</f>
        <v>0.36363636363636365</v>
      </c>
      <c r="N31" s="2667">
        <f>面积清单!E14</f>
        <v>3548.44</v>
      </c>
      <c r="O31" s="2667">
        <f t="shared" si="12"/>
        <v>1290.3418181818183</v>
      </c>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100</v>
      </c>
      <c r="C32" s="2676"/>
      <c r="D32" s="2672"/>
      <c r="E32" s="2669"/>
      <c r="F32" s="2669"/>
      <c r="G32" s="2669"/>
      <c r="H32" s="2669"/>
      <c r="I32" s="2669"/>
      <c r="J32" s="2669"/>
      <c r="K32" s="2668"/>
      <c r="L32" s="2668" t="s">
        <v>5039</v>
      </c>
      <c r="M32" s="2667">
        <f>11/11</f>
        <v>1</v>
      </c>
      <c r="N32" s="2667">
        <f>面积清单!E15</f>
        <v>6660.72</v>
      </c>
      <c r="O32" s="2667">
        <f t="shared" si="12"/>
        <v>6660.72</v>
      </c>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t="s">
        <v>5040</v>
      </c>
      <c r="M33" s="2667">
        <f>9/11</f>
        <v>0.81818181818181823</v>
      </c>
      <c r="N33" s="2667">
        <f>面积清单!E16</f>
        <v>6660.72</v>
      </c>
      <c r="O33" s="2667">
        <f t="shared" si="12"/>
        <v>5449.68</v>
      </c>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t="s">
        <v>5041</v>
      </c>
      <c r="M34" s="2667">
        <f>5/11</f>
        <v>0.45454545454545453</v>
      </c>
      <c r="N34" s="2667">
        <f>面积清单!E17</f>
        <v>3550.25</v>
      </c>
      <c r="O34" s="2667">
        <f t="shared" si="12"/>
        <v>1613.75</v>
      </c>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3509" t="s">
        <v>5044</v>
      </c>
      <c r="M35" s="2667">
        <f>O35/N35</f>
        <v>0.5901887546867709</v>
      </c>
      <c r="N35" s="2667">
        <f>SUM(N21:N34)</f>
        <v>70545.41</v>
      </c>
      <c r="O35" s="2667">
        <f>SUM(O21:O34)</f>
        <v>41635.107676767679</v>
      </c>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3509" t="s">
        <v>5045</v>
      </c>
      <c r="M36" s="2667">
        <v>1</v>
      </c>
      <c r="N36" s="2671">
        <f>K7</f>
        <v>21458.77999999997</v>
      </c>
      <c r="O36" s="2671">
        <f>N36</f>
        <v>21458.77999999997</v>
      </c>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3509" t="s">
        <v>5046</v>
      </c>
      <c r="M37" s="2667">
        <v>1</v>
      </c>
      <c r="N37" s="2671">
        <f>K8</f>
        <v>6138.5999999999922</v>
      </c>
      <c r="O37" s="2671">
        <f>N37</f>
        <v>6138.5999999999922</v>
      </c>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3539</v>
      </c>
      <c r="B40" s="1078">
        <f ca="1">IF(A40="利息：取LPR",存贷款利率!G1,存贷款利率!G1+C40)</f>
        <v>4.1499999999999995E-2</v>
      </c>
      <c r="C40" s="2810">
        <v>5.0000000000000001E-3</v>
      </c>
      <c r="D40" s="2667"/>
      <c r="E40" s="2672"/>
      <c r="F40" s="2669"/>
      <c r="G40" s="2669"/>
      <c r="H40" s="2669"/>
      <c r="I40" s="2669"/>
      <c r="J40" s="2669"/>
      <c r="K40" s="2668"/>
      <c r="L40" s="2668"/>
      <c r="M40" s="2667">
        <f>M35*0.5</f>
        <v>0.29509437734338545</v>
      </c>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603" t="s">
        <v>2286</v>
      </c>
      <c r="B1" s="3604"/>
      <c r="C1" s="3604"/>
      <c r="D1" s="3604"/>
      <c r="E1" s="3604"/>
      <c r="F1" s="3604"/>
      <c r="G1" s="360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1" t="str">
        <f>项目基本情况!B1</f>
        <v>北京市房地产抵押价值预评估</v>
      </c>
      <c r="C37" s="3511"/>
      <c r="D37" s="3511"/>
      <c r="E37" s="3511"/>
      <c r="F37" s="3511"/>
      <c r="G37" s="3511"/>
      <c r="H37" s="3511"/>
      <c r="I37" s="351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3" sqref="I33"/>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69908.279999999955</v>
      </c>
      <c r="C1" s="2682"/>
      <c r="D1" s="2682"/>
      <c r="E1" s="2682"/>
      <c r="F1" s="2682"/>
      <c r="G1" s="2683"/>
      <c r="H1" s="2684"/>
      <c r="I1" s="2684"/>
      <c r="J1" s="2684"/>
      <c r="K1" s="2684"/>
    </row>
    <row r="2" spans="1:11" ht="16.5">
      <c r="A2" s="2508" t="s">
        <v>653</v>
      </c>
      <c r="B2" s="2508">
        <f>SUM(C14:C23)</f>
        <v>22768.44</v>
      </c>
      <c r="C2" s="2682"/>
      <c r="D2" s="2682"/>
      <c r="E2" s="2682"/>
      <c r="F2" s="2682"/>
      <c r="G2" s="2683"/>
      <c r="H2" s="2684"/>
      <c r="I2" s="2684"/>
      <c r="J2" s="2684"/>
      <c r="K2" s="2684"/>
    </row>
    <row r="3" spans="1:11" ht="16.5">
      <c r="A3" s="2508" t="s">
        <v>662</v>
      </c>
      <c r="B3" s="2510">
        <f>项目基本情况!D3</f>
        <v>45063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118239</v>
      </c>
      <c r="C5" s="2508">
        <f ca="1">IF(B5=D14,结果表!H102,ROUND(B5*10000/$B$1,0))</f>
        <v>16913</v>
      </c>
      <c r="D5" s="2508">
        <f ca="1">ROUND(B5*10000/$B$2,0)</f>
        <v>51931</v>
      </c>
      <c r="E5" s="2682"/>
      <c r="F5" s="2683"/>
      <c r="G5" s="2683"/>
      <c r="H5" s="2684"/>
      <c r="I5" s="2684"/>
      <c r="J5" s="2684"/>
      <c r="K5" s="2684"/>
    </row>
    <row r="6" spans="1:11" ht="16.5">
      <c r="A6" s="2508" t="s">
        <v>656</v>
      </c>
      <c r="B6" s="2508">
        <f ca="1">SUM(G14:G23)</f>
        <v>118239</v>
      </c>
      <c r="C6" s="2508">
        <f ca="1">IF(B6=G14,结果表!H108,ROUND(B6*10000/$B$1,0))</f>
        <v>16913</v>
      </c>
      <c r="D6" s="2508">
        <f ca="1">ROUND(B6*10000/$B$2,0)</f>
        <v>51931</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 ca="1">SUM(I14:I23)</f>
        <v>111987</v>
      </c>
      <c r="C8" s="2508">
        <f ca="1">IF(B8=I14,结果表!H112,ROUND(B8*10000/$B$1,0))</f>
        <v>16019</v>
      </c>
      <c r="D8" s="2508">
        <f ca="1">ROUND(B8*10000/$B$2,0)</f>
        <v>49185</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69908.279999999955</v>
      </c>
      <c r="C14" s="2514">
        <f>结果表!C118</f>
        <v>22768.44</v>
      </c>
      <c r="D14" s="2514">
        <f ca="1">结果表!H101</f>
        <v>118239</v>
      </c>
      <c r="E14" s="2514">
        <f ca="1">ROUND(D14*10000/B14,0)</f>
        <v>16913</v>
      </c>
      <c r="F14" s="2514">
        <f ca="1">ROUND(D14*10000/C14,0)</f>
        <v>51931</v>
      </c>
      <c r="G14" s="2514">
        <f ca="1">结果表!H107</f>
        <v>118239</v>
      </c>
      <c r="H14" s="2514"/>
      <c r="I14" s="2514">
        <f ca="1">结果表!H111</f>
        <v>111987</v>
      </c>
      <c r="J14" s="2683">
        <f ca="1">ROUND(I14/B14*10000,0)</f>
        <v>16019</v>
      </c>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K112" sqref="K11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72" t="str">
        <f>项目基本情况!S2</f>
        <v>北京市房地产</v>
      </c>
      <c r="B2" s="3673"/>
      <c r="C2" s="3673"/>
      <c r="D2" s="3673"/>
      <c r="E2" s="3673"/>
      <c r="F2" s="3673"/>
      <c r="G2" s="3673"/>
      <c r="H2" s="3673"/>
      <c r="I2" s="3674"/>
    </row>
    <row r="3" spans="1:12" ht="12.75">
      <c r="A3" s="3676" t="s">
        <v>1264</v>
      </c>
      <c r="B3" s="3677"/>
      <c r="C3" s="3677"/>
      <c r="D3" s="3677"/>
      <c r="E3" s="3677"/>
      <c r="F3" s="3677"/>
      <c r="G3" s="3677"/>
      <c r="H3" s="3677"/>
      <c r="I3" s="3677"/>
    </row>
    <row r="4" spans="1:12" ht="14.25">
      <c r="A4" s="1753" t="s">
        <v>1265</v>
      </c>
      <c r="B4" s="1754" t="s">
        <v>1266</v>
      </c>
      <c r="C4" s="1755" t="s">
        <v>5001</v>
      </c>
      <c r="D4" s="1755" t="s">
        <v>5002</v>
      </c>
      <c r="E4" s="3681" t="s">
        <v>1267</v>
      </c>
      <c r="F4" s="3682"/>
      <c r="G4" s="3682"/>
      <c r="H4" s="3682"/>
      <c r="I4" s="36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20" t="s">
        <v>1268</v>
      </c>
      <c r="B5" s="3675">
        <v>25</v>
      </c>
      <c r="C5" s="3678"/>
      <c r="D5" s="3666"/>
      <c r="E5" s="131" t="s">
        <v>1269</v>
      </c>
      <c r="F5" s="1756"/>
      <c r="G5" s="1756"/>
      <c r="H5" s="1756"/>
      <c r="I5" s="1372"/>
    </row>
    <row r="6" spans="1:12" ht="12.75">
      <c r="A6" s="3620"/>
      <c r="B6" s="3675"/>
      <c r="C6" s="3680"/>
      <c r="D6" s="3666"/>
      <c r="E6" s="131" t="s">
        <v>1270</v>
      </c>
      <c r="F6" s="1756"/>
      <c r="G6" s="1756"/>
      <c r="H6" s="1756"/>
      <c r="I6" s="1372"/>
    </row>
    <row r="7" spans="1:12" ht="12.75">
      <c r="A7" s="3620"/>
      <c r="B7" s="3675"/>
      <c r="C7" s="3679"/>
      <c r="D7" s="3666"/>
      <c r="E7" s="131" t="s">
        <v>1271</v>
      </c>
      <c r="F7" s="1756"/>
      <c r="G7" s="1756"/>
      <c r="H7" s="1756"/>
      <c r="I7" s="1372"/>
    </row>
    <row r="8" spans="1:12" ht="12.75">
      <c r="A8" s="3620" t="s">
        <v>1272</v>
      </c>
      <c r="B8" s="3675">
        <v>15</v>
      </c>
      <c r="C8" s="3678"/>
      <c r="D8" s="3666"/>
      <c r="E8" s="131" t="s">
        <v>1273</v>
      </c>
      <c r="F8" s="1756"/>
      <c r="G8" s="1756"/>
      <c r="H8" s="1756"/>
      <c r="I8" s="1372"/>
    </row>
    <row r="9" spans="1:12" ht="12.75">
      <c r="A9" s="3620"/>
      <c r="B9" s="3675"/>
      <c r="C9" s="3679"/>
      <c r="D9" s="3666"/>
      <c r="E9" s="131" t="s">
        <v>1274</v>
      </c>
      <c r="F9" s="1756"/>
      <c r="G9" s="1756"/>
      <c r="H9" s="1756"/>
      <c r="I9" s="1372"/>
    </row>
    <row r="10" spans="1:12" ht="12.75">
      <c r="A10" s="3620" t="s">
        <v>1275</v>
      </c>
      <c r="B10" s="3675">
        <v>15</v>
      </c>
      <c r="C10" s="3678"/>
      <c r="D10" s="3666"/>
      <c r="E10" s="131" t="s">
        <v>1276</v>
      </c>
      <c r="F10" s="1756"/>
      <c r="G10" s="1756"/>
      <c r="H10" s="1756"/>
      <c r="I10" s="1372"/>
    </row>
    <row r="11" spans="1:12" ht="12.75">
      <c r="A11" s="3620"/>
      <c r="B11" s="3675"/>
      <c r="C11" s="3679"/>
      <c r="D11" s="3666"/>
      <c r="E11" s="131" t="s">
        <v>1277</v>
      </c>
      <c r="F11" s="1756"/>
      <c r="G11" s="1756"/>
      <c r="H11" s="1756"/>
      <c r="I11" s="1372"/>
    </row>
    <row r="12" spans="1:12" ht="12.75">
      <c r="A12" s="3620" t="s">
        <v>1278</v>
      </c>
      <c r="B12" s="3675">
        <v>15</v>
      </c>
      <c r="C12" s="3678"/>
      <c r="D12" s="3666"/>
      <c r="E12" s="131" t="s">
        <v>1279</v>
      </c>
      <c r="F12" s="1756"/>
      <c r="G12" s="1756"/>
      <c r="H12" s="1756"/>
      <c r="I12" s="1372"/>
    </row>
    <row r="13" spans="1:12" ht="12.75">
      <c r="A13" s="3620"/>
      <c r="B13" s="3675"/>
      <c r="C13" s="3679"/>
      <c r="D13" s="3666"/>
      <c r="E13" s="131" t="s">
        <v>1280</v>
      </c>
      <c r="F13" s="1756"/>
      <c r="G13" s="1756"/>
      <c r="H13" s="1756"/>
      <c r="I13" s="1372"/>
    </row>
    <row r="14" spans="1:12" ht="12.75">
      <c r="A14" s="3620" t="s">
        <v>1281</v>
      </c>
      <c r="B14" s="3675">
        <v>30</v>
      </c>
      <c r="C14" s="3678">
        <v>5</v>
      </c>
      <c r="D14" s="3666">
        <v>5</v>
      </c>
      <c r="E14" s="131" t="s">
        <v>1282</v>
      </c>
      <c r="F14" s="1756"/>
      <c r="G14" s="1756"/>
      <c r="H14" s="1756"/>
      <c r="I14" s="1372"/>
    </row>
    <row r="15" spans="1:12" ht="12.75">
      <c r="A15" s="3620"/>
      <c r="B15" s="3675"/>
      <c r="C15" s="3680"/>
      <c r="D15" s="3666"/>
      <c r="E15" s="131" t="s">
        <v>1283</v>
      </c>
      <c r="F15" s="1756"/>
      <c r="G15" s="1756"/>
      <c r="H15" s="1756"/>
      <c r="I15" s="1372"/>
    </row>
    <row r="16" spans="1:12" ht="12.75">
      <c r="A16" s="3620"/>
      <c r="B16" s="3675"/>
      <c r="C16" s="3679"/>
      <c r="D16" s="366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97" t="s">
        <v>2131</v>
      </c>
      <c r="F18" s="3698"/>
      <c r="G18" s="3698"/>
      <c r="H18" s="3698"/>
      <c r="I18" s="3698"/>
      <c r="K18" s="302" t="s">
        <v>1289</v>
      </c>
      <c r="L18" s="302">
        <f>IF(C1="",'数据-汇总表'!E3,SUMIF(项目类型,C1,'数据-汇总表'!E17:E26)+SUMIF(项目类型,C1,'数据-汇总表'!I17:I26))</f>
        <v>69908.279999999955</v>
      </c>
      <c r="M18" s="302">
        <f>IF(C1="",'数据-汇总表'!E3,SUMIF(项目类型,C1,'数据-汇总表'!E17:E26))</f>
        <v>69908.279999999955</v>
      </c>
    </row>
    <row r="19" spans="1:36" ht="15">
      <c r="A19" s="1760" t="s">
        <v>1290</v>
      </c>
      <c r="B19" s="1761" t="s">
        <v>1291</v>
      </c>
      <c r="C19" s="134">
        <f ca="1">SUMIF(INDIRECT("'"&amp;C4&amp;"'"&amp;"!A:A"),结果表!B19,INDIRECT("'"&amp;C4&amp;"'"&amp;"!B:B"))</f>
        <v>118922</v>
      </c>
      <c r="D19" s="135">
        <f ca="1">SUMIF(INDIRECT("'"&amp;D4&amp;"'"&amp;"!A:A"),结果表!B19,INDIRECT("'"&amp;D4&amp;"'"&amp;"!B:B"))</f>
        <v>117555</v>
      </c>
      <c r="E19" s="1760" t="s">
        <v>1292</v>
      </c>
      <c r="F19" s="1761" t="s">
        <v>1291</v>
      </c>
      <c r="G19" s="136">
        <f ca="1">ROUND(C19*$C$18+D19*$D$18,0)</f>
        <v>118239</v>
      </c>
      <c r="H19" s="1762" t="s">
        <v>1293</v>
      </c>
      <c r="I19" s="129"/>
      <c r="K19" s="302" t="s">
        <v>1294</v>
      </c>
      <c r="L19" s="302">
        <f>IF(C1="",'数据-汇总表'!D3,SUMIF(项目类型,C1,'数据-汇总表'!D17:D26)+SUMIF(项目类型,C1,'数据-汇总表'!H17:H27))</f>
        <v>22768.44</v>
      </c>
      <c r="M19" s="302">
        <f>IF(C1="",'数据-汇总表'!D3,SUMIF(项目类型,C1,'数据-汇总表'!D17:D26))</f>
        <v>22768.44</v>
      </c>
    </row>
    <row r="20" spans="1:36" ht="15">
      <c r="A20" s="1763"/>
      <c r="B20" s="1026" t="s">
        <v>1295</v>
      </c>
      <c r="C20" s="137">
        <f ca="1">SUMIF(INDIRECT("'"&amp;C4&amp;"'"&amp;"!A:A"),结果表!B20,INDIRECT("'"&amp;C4&amp;"'"&amp;"!B:B"))</f>
        <v>17011</v>
      </c>
      <c r="D20" s="138">
        <f ca="1">SUMIF(INDIRECT("'"&amp;D4&amp;"'"&amp;"!A:A"),结果表!B20,INDIRECT("'"&amp;D4&amp;"'"&amp;"!B:B"))</f>
        <v>16816</v>
      </c>
      <c r="E20" s="1763"/>
      <c r="F20" s="1026" t="s">
        <v>1295</v>
      </c>
      <c r="G20" s="139">
        <f ca="1">ROUND(C20*$C$18+D20*$D$18,0)</f>
        <v>16914</v>
      </c>
      <c r="H20" s="808" t="s">
        <v>1296</v>
      </c>
      <c r="I20" s="129"/>
    </row>
    <row r="21" spans="1:36" ht="15" customHeight="1" thickBot="1">
      <c r="A21" s="828"/>
      <c r="B21" s="1764" t="s">
        <v>1297</v>
      </c>
      <c r="C21" s="719">
        <f ca="1">ROUND(C19*10000/L19,0)</f>
        <v>52231</v>
      </c>
      <c r="D21" s="720">
        <f ca="1">ROUND(D19*10000/L19,0)</f>
        <v>51631</v>
      </c>
      <c r="E21" s="828"/>
      <c r="F21" s="1764" t="s">
        <v>1297</v>
      </c>
      <c r="G21" s="140">
        <f ca="1">ROUND(G19*10000/L19,0)</f>
        <v>51931</v>
      </c>
      <c r="H21" s="1765" t="s">
        <v>1296</v>
      </c>
      <c r="I21" s="129"/>
    </row>
    <row r="22" spans="1:36" ht="15" thickBot="1">
      <c r="A22" s="1687" t="s">
        <v>1298</v>
      </c>
      <c r="B22" s="1766"/>
      <c r="C22" s="1767"/>
      <c r="D22" s="721">
        <f ca="1">IF(C19&lt;D19,D19/C19-1,C19/D19-1)</f>
        <v>1.1628599379014171E-2</v>
      </c>
      <c r="E22" s="129"/>
      <c r="F22" s="129"/>
      <c r="G22" s="129"/>
      <c r="H22" s="129"/>
      <c r="I22" s="129"/>
    </row>
    <row r="23" spans="1:36" ht="13.5" thickBot="1">
      <c r="A23" s="1746"/>
      <c r="B23" s="1746"/>
      <c r="C23" s="1746"/>
      <c r="D23" s="1746"/>
      <c r="E23" s="129"/>
      <c r="F23" s="129"/>
      <c r="G23" s="129"/>
      <c r="H23" s="129"/>
      <c r="I23" s="129"/>
    </row>
    <row r="24" spans="1:36" ht="14.25">
      <c r="A24" s="3690" t="s">
        <v>1299</v>
      </c>
      <c r="B24" s="1761" t="s">
        <v>1291</v>
      </c>
      <c r="C24" s="136">
        <f>IF(B30=0,0,D30)</f>
        <v>0</v>
      </c>
      <c r="D24" s="1768"/>
      <c r="E24" s="129"/>
      <c r="F24" s="129"/>
      <c r="G24" s="129"/>
      <c r="H24" s="129"/>
      <c r="I24" s="129"/>
    </row>
    <row r="25" spans="1:36" ht="14.25">
      <c r="A25" s="369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118239</v>
      </c>
      <c r="D32" s="1774" t="s">
        <v>5003</v>
      </c>
      <c r="E32" s="129"/>
      <c r="F32" s="129"/>
      <c r="G32" s="129"/>
      <c r="H32" s="129"/>
      <c r="I32" s="129"/>
    </row>
    <row r="33" spans="1:15" ht="15">
      <c r="A33" s="786" t="s">
        <v>1306</v>
      </c>
      <c r="B33" s="1775"/>
      <c r="C33" s="1776" t="s">
        <v>5004</v>
      </c>
      <c r="D33" s="1777" t="s">
        <v>5001</v>
      </c>
      <c r="E33" s="1778" t="s">
        <v>1307</v>
      </c>
      <c r="F33" s="1779" t="str">
        <f>IF(D32="楼面单价","取值（单价）","取值（总价）")</f>
        <v>取值（总价）</v>
      </c>
      <c r="G33" s="129"/>
      <c r="H33" s="129"/>
      <c r="I33" s="129"/>
    </row>
    <row r="34" spans="1:15" ht="15">
      <c r="A34" s="1780"/>
      <c r="B34" s="1781" t="s">
        <v>1308</v>
      </c>
      <c r="C34" s="148">
        <f ca="1">IF(C33="自定义",F34,C32-C35)</f>
        <v>100148</v>
      </c>
      <c r="D34" s="861">
        <f ca="1">IF(C33="自定义",ROUND(C34/C32,3),IF(C33="收益比率",SUMIF(INDIRECT("'"&amp;D33&amp;"'"&amp;"!b:b"),"土地收益比率",INDIRECT("'"&amp;D33&amp;"'"&amp;"!c:c")),SUMIF(INDIRECT("'"&amp;D33&amp;"'"&amp;"!b:b"),"土地成本比率",INDIRECT("'"&amp;D33&amp;"'"&amp;"!c:c"))))</f>
        <v>0.84699999999999998</v>
      </c>
      <c r="E34" s="1782" t="s">
        <v>1309</v>
      </c>
      <c r="F34" s="1329"/>
      <c r="G34" s="129"/>
      <c r="H34" s="129"/>
      <c r="I34" s="129"/>
    </row>
    <row r="35" spans="1:15" ht="15.75" thickBot="1">
      <c r="A35" s="1783"/>
      <c r="B35" s="1784" t="s">
        <v>1310</v>
      </c>
      <c r="C35" s="1170">
        <f ca="1">IF(C33="自定义",F35,ROUND(C32*D35,0))</f>
        <v>18091</v>
      </c>
      <c r="D35" s="1171">
        <f ca="1">IF(C33="自定义",ROUND(C35/C32,3),IF(C33="收益比率",SUMIF(INDIRECT("'"&amp;D33&amp;"'"&amp;"!b:b"),"建筑物收益比率",INDIRECT("'"&amp;D33&amp;"'"&amp;"!c:c")),SUMIF(INDIRECT("'"&amp;D33&amp;"'"&amp;"!b:b"),"建筑物成本比率",INDIRECT("'"&amp;D33&amp;"'"&amp;"!c:c"))))</f>
        <v>0.153</v>
      </c>
      <c r="E35" s="1785" t="s">
        <v>1311</v>
      </c>
      <c r="F35" s="154"/>
      <c r="G35" s="129"/>
      <c r="H35" s="129"/>
      <c r="I35" s="129"/>
    </row>
    <row r="36" spans="1:15" ht="15.75" thickBot="1">
      <c r="A36" s="3667" t="s">
        <v>1312</v>
      </c>
      <c r="B36" s="1786" t="s">
        <v>1313</v>
      </c>
      <c r="C36" s="145"/>
      <c r="D36" s="1787"/>
      <c r="E36" s="1788"/>
      <c r="F36" s="1789"/>
      <c r="G36" s="129"/>
      <c r="H36" s="129"/>
      <c r="I36" s="129"/>
    </row>
    <row r="37" spans="1:15" ht="15.75" thickBot="1">
      <c r="A37" s="3668"/>
      <c r="B37" s="1673" t="s">
        <v>1314</v>
      </c>
      <c r="C37" s="147"/>
      <c r="D37" s="1139"/>
      <c r="E37" s="1139"/>
      <c r="F37" s="1789"/>
      <c r="G37" s="129"/>
      <c r="H37" s="129"/>
      <c r="I37" s="129"/>
    </row>
    <row r="38" spans="1:15" ht="15.75" thickBot="1">
      <c r="A38" s="366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87" t="s">
        <v>1326</v>
      </c>
      <c r="B45" s="3688"/>
      <c r="C45" s="3689"/>
      <c r="D45" s="155">
        <f ca="1">ROUND(H101*F45,0)</f>
        <v>118239</v>
      </c>
      <c r="E45" s="156" t="s">
        <v>1327</v>
      </c>
      <c r="F45" s="157">
        <v>1</v>
      </c>
      <c r="G45" s="158" t="s">
        <v>1328</v>
      </c>
      <c r="H45" s="129"/>
      <c r="I45" s="129"/>
      <c r="J45" s="3607" t="s">
        <v>1329</v>
      </c>
      <c r="K45" s="3607"/>
      <c r="L45" s="3607"/>
      <c r="M45" s="3607"/>
      <c r="N45" s="3607"/>
      <c r="O45" s="3607"/>
    </row>
    <row r="46" spans="1:15" ht="14.25" customHeight="1">
      <c r="A46" s="3684" t="s">
        <v>1330</v>
      </c>
      <c r="B46" s="3685"/>
      <c r="C46" s="3685"/>
      <c r="D46" s="3685"/>
      <c r="E46" s="3685"/>
      <c r="F46" s="3685"/>
      <c r="G46" s="3686"/>
      <c r="H46" s="1805"/>
      <c r="I46" s="159"/>
      <c r="J46" s="2519">
        <v>1</v>
      </c>
      <c r="K46" s="3608" t="s">
        <v>1331</v>
      </c>
      <c r="L46" s="3608"/>
      <c r="M46" s="3609"/>
      <c r="N46" s="3609"/>
      <c r="O46" s="3609"/>
    </row>
    <row r="47" spans="1:15" ht="12" customHeight="1">
      <c r="A47" s="160" t="s">
        <v>1332</v>
      </c>
      <c r="B47" s="161"/>
      <c r="C47" s="162"/>
      <c r="D47" s="1087" t="s">
        <v>1333</v>
      </c>
      <c r="E47" s="302" t="s">
        <v>1334</v>
      </c>
      <c r="F47" s="163" t="s">
        <v>1335</v>
      </c>
      <c r="G47" s="2542" t="s">
        <v>1336</v>
      </c>
      <c r="H47" s="2543"/>
      <c r="I47" s="159"/>
      <c r="J47" s="2519">
        <v>2</v>
      </c>
      <c r="K47" s="3608" t="s">
        <v>1337</v>
      </c>
      <c r="L47" s="3608"/>
      <c r="M47" s="3610">
        <f>'数据-取费表'!B2</f>
        <v>45063</v>
      </c>
      <c r="N47" s="3610"/>
      <c r="O47" s="3610"/>
    </row>
    <row r="48" spans="1:15" ht="25.5">
      <c r="A48" s="3670" t="s">
        <v>1338</v>
      </c>
      <c r="B48" s="3671"/>
      <c r="C48" s="3671"/>
      <c r="D48" s="2320">
        <f ca="1">IF(H48="情况1",0,IF(H48="情况2",D52,IF(H48="情况3",D53,IF(H48="情况4",D54))))</f>
        <v>6193</v>
      </c>
      <c r="E48" s="2330" t="str">
        <f>IF(H48="情况4","(销售额-原购置价)×税（费）率","销售额×税（费）率")</f>
        <v>销售额×税（费）率</v>
      </c>
      <c r="F48" s="2544">
        <f>IF(H48="情况1","免征",'数据-取费表'!B41)</f>
        <v>5.5000000000000007E-2</v>
      </c>
      <c r="G48" s="2545" t="s">
        <v>1339</v>
      </c>
      <c r="H48" s="2546" t="s">
        <v>5011</v>
      </c>
      <c r="I48" s="1805"/>
      <c r="J48" s="2519">
        <v>3</v>
      </c>
      <c r="K48" s="3608" t="s">
        <v>1340</v>
      </c>
      <c r="L48" s="3608"/>
      <c r="M48" s="3611">
        <f ca="1">H101</f>
        <v>118239</v>
      </c>
      <c r="N48" s="3611"/>
      <c r="O48" s="3611"/>
    </row>
    <row r="49" spans="1:35" ht="25.5" customHeight="1">
      <c r="A49" s="2329" t="s">
        <v>1341</v>
      </c>
      <c r="B49" s="3656" t="s">
        <v>1342</v>
      </c>
      <c r="C49" s="3656"/>
      <c r="D49" s="1589">
        <v>0</v>
      </c>
      <c r="E49" s="324" t="s">
        <v>1343</v>
      </c>
      <c r="F49" s="2420" t="s">
        <v>28</v>
      </c>
      <c r="G49" s="3639"/>
      <c r="H49" s="2306" t="s">
        <v>2134</v>
      </c>
      <c r="I49" s="2307"/>
      <c r="J49" s="2519">
        <v>4</v>
      </c>
      <c r="K49" s="3608" t="str">
        <f>IF(项目基本情况!E8="房地产抵押价值","房地产抵押价值","抵押担保权已注销时的房地产抵押价值")</f>
        <v>房地产抵押价值</v>
      </c>
      <c r="L49" s="3608"/>
      <c r="M49" s="3611">
        <f ca="1">IF(项目基本情况!E8="房地产抵押价值",H107,H109)</f>
        <v>118239</v>
      </c>
      <c r="N49" s="3611"/>
      <c r="O49" s="3611"/>
    </row>
    <row r="50" spans="1:35" ht="25.5" customHeight="1">
      <c r="A50" s="2547"/>
      <c r="B50" s="3656" t="s">
        <v>1344</v>
      </c>
      <c r="C50" s="3656"/>
      <c r="D50" s="2548"/>
      <c r="E50" s="332"/>
      <c r="F50" s="2420"/>
      <c r="G50" s="3640"/>
      <c r="H50" s="2308" t="s">
        <v>2135</v>
      </c>
      <c r="I50" s="2307"/>
      <c r="J50" s="3607" t="s">
        <v>1345</v>
      </c>
      <c r="K50" s="3607"/>
      <c r="L50" s="3607"/>
      <c r="M50" s="3607"/>
      <c r="N50" s="3607"/>
      <c r="O50" s="3607"/>
    </row>
    <row r="51" spans="1:35" ht="20.45" customHeight="1">
      <c r="A51" s="2549"/>
      <c r="B51" s="3656" t="s">
        <v>1346</v>
      </c>
      <c r="C51" s="3656"/>
      <c r="D51" s="1087"/>
      <c r="E51" s="327"/>
      <c r="F51" s="2420"/>
      <c r="G51" s="3641"/>
      <c r="H51" s="2308" t="s">
        <v>2136</v>
      </c>
      <c r="I51" s="2307"/>
      <c r="J51" s="2520" t="s">
        <v>1347</v>
      </c>
      <c r="K51" s="3608" t="s">
        <v>1348</v>
      </c>
      <c r="L51" s="3608"/>
      <c r="M51" s="2520" t="s">
        <v>1349</v>
      </c>
      <c r="N51" s="2520" t="s">
        <v>1350</v>
      </c>
      <c r="O51" s="2520" t="s">
        <v>1351</v>
      </c>
    </row>
    <row r="52" spans="1:35" ht="24" customHeight="1">
      <c r="A52" s="2331" t="s">
        <v>1352</v>
      </c>
      <c r="B52" s="3656" t="s">
        <v>1353</v>
      </c>
      <c r="C52" s="3656"/>
      <c r="D52" s="1087">
        <f ca="1">ROUND(D45*'数据-取费表'!B41/(1+'数据-取费表'!C42),0)</f>
        <v>6193</v>
      </c>
      <c r="E52" s="2330" t="s">
        <v>1354</v>
      </c>
      <c r="F52" s="2550">
        <f>'数据-取费表'!B41</f>
        <v>5.5000000000000007E-2</v>
      </c>
      <c r="G52" s="2551"/>
      <c r="H52" s="2540"/>
      <c r="I52" s="1806"/>
      <c r="J52" s="2519">
        <v>1</v>
      </c>
      <c r="K52" s="3633" t="s">
        <v>1355</v>
      </c>
      <c r="L52" s="3633"/>
      <c r="M52" s="2521">
        <f ca="1">D48</f>
        <v>6193</v>
      </c>
      <c r="N52" s="2519" t="str">
        <f>E48</f>
        <v>销售额×税（费）率</v>
      </c>
      <c r="O52" s="2522">
        <f>F48</f>
        <v>5.5000000000000007E-2</v>
      </c>
    </row>
    <row r="53" spans="1:35" ht="12" customHeight="1">
      <c r="A53" s="2331" t="s">
        <v>1356</v>
      </c>
      <c r="B53" s="3657" t="s">
        <v>2291</v>
      </c>
      <c r="C53" s="3658"/>
      <c r="D53" s="1087">
        <f ca="1">ROUND(D45*'数据-取费表'!B41/(1+'数据-取费表'!C42),0)</f>
        <v>6193</v>
      </c>
      <c r="E53" s="2330" t="s">
        <v>1354</v>
      </c>
      <c r="F53" s="2550">
        <f>'数据-取费表'!B41</f>
        <v>5.5000000000000007E-2</v>
      </c>
      <c r="G53" s="2551"/>
      <c r="H53" s="2540"/>
      <c r="I53" s="1806"/>
      <c r="J53" s="2519">
        <v>2</v>
      </c>
      <c r="K53" s="3633" t="s">
        <v>1357</v>
      </c>
      <c r="L53" s="3633"/>
      <c r="M53" s="2521">
        <f t="shared" ref="M53:O54" ca="1" si="0">D55</f>
        <v>59</v>
      </c>
      <c r="N53" s="2519" t="str">
        <f t="shared" si="0"/>
        <v>销售额×税（费）率</v>
      </c>
      <c r="O53" s="2522">
        <f t="shared" si="0"/>
        <v>5.0000000000000001E-4</v>
      </c>
    </row>
    <row r="54" spans="1:35" ht="12" customHeight="1">
      <c r="A54" s="2331" t="s">
        <v>1358</v>
      </c>
      <c r="B54" s="3657" t="s">
        <v>2292</v>
      </c>
      <c r="C54" s="3658"/>
      <c r="D54" s="1087">
        <f ca="1">C68</f>
        <v>6193</v>
      </c>
      <c r="E54" s="327" t="s">
        <v>1359</v>
      </c>
      <c r="F54" s="2550">
        <f>'数据-取费表'!B41</f>
        <v>5.5000000000000007E-2</v>
      </c>
      <c r="G54" s="2551"/>
      <c r="H54" s="2552"/>
      <c r="I54" s="1806"/>
      <c r="J54" s="2519">
        <v>3</v>
      </c>
      <c r="K54" s="3633" t="s">
        <v>1360</v>
      </c>
      <c r="L54" s="3633"/>
      <c r="M54" s="2521">
        <f t="shared" ca="1" si="0"/>
        <v>0</v>
      </c>
      <c r="N54" s="2519" t="str">
        <f t="shared" si="0"/>
        <v>增值额×税（费）率</v>
      </c>
      <c r="O54" s="2523" t="str">
        <f t="shared" si="0"/>
        <v>——</v>
      </c>
    </row>
    <row r="55" spans="1:35" ht="24" customHeight="1">
      <c r="A55" s="3693" t="s">
        <v>1361</v>
      </c>
      <c r="B55" s="3671"/>
      <c r="C55" s="3671"/>
      <c r="D55" s="2320">
        <f ca="1">IF(H55="个人住宅",0,ROUND(D45*I55,0))</f>
        <v>59</v>
      </c>
      <c r="E55" s="2330" t="s">
        <v>1362</v>
      </c>
      <c r="F55" s="2550">
        <f>IF(H55="正常",I55,"免征")</f>
        <v>5.0000000000000001E-4</v>
      </c>
      <c r="G55" s="2551"/>
      <c r="H55" s="2546" t="s">
        <v>5012</v>
      </c>
      <c r="I55" s="165">
        <f>'数据-取费表'!B49</f>
        <v>5.0000000000000001E-4</v>
      </c>
      <c r="J55" s="2519" t="str">
        <f>IF(H59="非个人房产","",4)</f>
        <v/>
      </c>
      <c r="K55" s="3633" t="str">
        <f>IF(H59="非个人房产","——","个人所得税")</f>
        <v>——</v>
      </c>
      <c r="L55" s="3633"/>
      <c r="M55" s="2524" t="str">
        <f>D59</f>
        <v>——</v>
      </c>
      <c r="N55" s="2036" t="str">
        <f>E59</f>
        <v>——</v>
      </c>
      <c r="O55" s="2525" t="str">
        <f>F59</f>
        <v>——</v>
      </c>
    </row>
    <row r="56" spans="1:35" ht="24.75">
      <c r="A56" s="3693" t="s">
        <v>1363</v>
      </c>
      <c r="B56" s="3671"/>
      <c r="C56" s="3671"/>
      <c r="D56" s="2320">
        <f ca="1">IF(H56="个人住宅",D57,D58)</f>
        <v>0</v>
      </c>
      <c r="E56" s="2330" t="s">
        <v>1364</v>
      </c>
      <c r="F56" s="2550" t="str">
        <f>IF(H56="正常",F58,"免征")</f>
        <v>——</v>
      </c>
      <c r="G56" s="2553" t="s">
        <v>1365</v>
      </c>
      <c r="H56" s="2554" t="s">
        <v>5012</v>
      </c>
      <c r="I56" s="1807"/>
      <c r="J56" s="2519" t="str">
        <f>IF(项目基本情况!K6="上海银行",IF(J55="",4,J55+1),"")</f>
        <v/>
      </c>
      <c r="K56" s="3614" t="str">
        <f>IF(项目基本情况!K6="上海银行","其他处置费用","")</f>
        <v/>
      </c>
      <c r="L56" s="3615"/>
      <c r="M56" s="2521" t="str">
        <f>IF(项目基本情况!K6="上海银行",M69,"")</f>
        <v/>
      </c>
      <c r="N56" s="3614" t="str">
        <f>IF(项目基本情况!K6="上海银行","包含处置中涉及的律师、诉讼、拍卖、评估等费用","")</f>
        <v/>
      </c>
      <c r="O56" s="3617"/>
    </row>
    <row r="57" spans="1:35" ht="12.75">
      <c r="A57" s="2331" t="s">
        <v>1341</v>
      </c>
      <c r="B57" s="3657" t="s">
        <v>1366</v>
      </c>
      <c r="C57" s="3658"/>
      <c r="D57" s="1589">
        <v>0</v>
      </c>
      <c r="E57" s="324" t="s">
        <v>1343</v>
      </c>
      <c r="F57" s="302"/>
      <c r="G57" s="2551"/>
      <c r="H57" s="2555"/>
      <c r="I57" s="1807"/>
      <c r="J57" s="3633">
        <f>IF(AND(J55="",J56=""),4,IF(项目基本情况!K6="上海银行",结果表!J56+1,结果表!J55+1))</f>
        <v>4</v>
      </c>
      <c r="K57" s="3633" t="s">
        <v>1367</v>
      </c>
      <c r="L57" s="2526" t="s">
        <v>1368</v>
      </c>
      <c r="M57" s="2527"/>
      <c r="N57" s="2528">
        <f ca="1">SUMIF(M52:M56,"&lt;9e307")</f>
        <v>6252</v>
      </c>
      <c r="O57" s="2529"/>
      <c r="P57" s="2686">
        <f ca="1">N57/M49</f>
        <v>5.2875954634257732E-2</v>
      </c>
    </row>
    <row r="58" spans="1:35" ht="24.75">
      <c r="A58" s="2331" t="s">
        <v>1352</v>
      </c>
      <c r="B58" s="3657" t="s">
        <v>1369</v>
      </c>
      <c r="C58" s="3656"/>
      <c r="D58" s="2320">
        <f ca="1">IF(H58="转让取得",C81,C97)</f>
        <v>0</v>
      </c>
      <c r="E58" s="2330" t="s">
        <v>1364</v>
      </c>
      <c r="F58" s="302" t="s">
        <v>28</v>
      </c>
      <c r="G58" s="2551"/>
      <c r="H58" s="2554" t="s">
        <v>5013</v>
      </c>
      <c r="I58" s="1807"/>
      <c r="J58" s="3633"/>
      <c r="K58" s="3633"/>
      <c r="L58" s="2526" t="s">
        <v>1370</v>
      </c>
      <c r="M58" s="2530"/>
      <c r="N58" s="2531" t="str">
        <f ca="1">NUMBERSTRING(INT(N57*10000),2)&amp;"元整"</f>
        <v>陆仟贰佰伍拾贰万元整</v>
      </c>
      <c r="O58" s="2532"/>
    </row>
    <row r="59" spans="1:35" ht="24.75" thickBot="1">
      <c r="A59" s="3637" t="s">
        <v>1371</v>
      </c>
      <c r="B59" s="3638"/>
      <c r="C59" s="3638"/>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5014</v>
      </c>
      <c r="I59" s="2309" t="s">
        <v>2137</v>
      </c>
      <c r="J59" s="3635">
        <f>J57+1</f>
        <v>5</v>
      </c>
      <c r="K59" s="3633" t="s">
        <v>1372</v>
      </c>
      <c r="L59" s="2519" t="s">
        <v>1368</v>
      </c>
      <c r="M59" s="2533"/>
      <c r="N59" s="2534">
        <f ca="1">M49-N57</f>
        <v>111987</v>
      </c>
      <c r="O59" s="2535"/>
    </row>
    <row r="60" spans="1:35" ht="12" customHeight="1">
      <c r="A60" s="1808"/>
      <c r="B60" s="1746"/>
      <c r="C60" s="1746"/>
      <c r="D60" s="1746"/>
      <c r="E60" s="1577"/>
      <c r="F60" s="1807"/>
      <c r="G60" s="1807"/>
      <c r="H60" s="1809"/>
      <c r="I60" s="129"/>
      <c r="J60" s="3636"/>
      <c r="K60" s="3633"/>
      <c r="L60" s="2526" t="s">
        <v>1370</v>
      </c>
      <c r="M60" s="2530"/>
      <c r="N60" s="2531" t="str">
        <f ca="1">NUMBERSTRING(INT(N59*10000),2)&amp;"元整"</f>
        <v>壹拾壹亿壹仟玖佰捌拾柒万元整</v>
      </c>
      <c r="O60" s="2532"/>
    </row>
    <row r="61" spans="1:35" ht="13.5" thickBot="1">
      <c r="A61" s="3692" t="s">
        <v>1373</v>
      </c>
      <c r="B61" s="3692"/>
      <c r="C61" s="3692"/>
      <c r="D61" s="3692"/>
      <c r="E61" s="3692"/>
      <c r="F61" s="1807"/>
      <c r="G61" s="1807"/>
      <c r="H61" s="1809"/>
      <c r="I61" s="129"/>
      <c r="J61" s="2519">
        <f>J59+1</f>
        <v>6</v>
      </c>
      <c r="K61" s="3633" t="s">
        <v>1374</v>
      </c>
      <c r="L61" s="3633"/>
      <c r="M61" s="2536"/>
      <c r="N61" s="2537">
        <f ca="1">ROUND(N59*10000/'数据-汇总表'!E3,0)</f>
        <v>16019</v>
      </c>
      <c r="O61" s="2538"/>
    </row>
    <row r="62" spans="1:35" ht="12.75">
      <c r="A62" s="3652" t="s">
        <v>1375</v>
      </c>
      <c r="B62" s="3653"/>
      <c r="C62" s="2017"/>
      <c r="D62" s="2017" t="s">
        <v>1376</v>
      </c>
      <c r="E62" s="166" t="s">
        <v>1377</v>
      </c>
      <c r="F62" s="1807"/>
      <c r="G62" s="1807"/>
      <c r="H62" s="1809"/>
      <c r="I62" s="129"/>
    </row>
    <row r="63" spans="1:35" ht="12.75">
      <c r="A63" s="173" t="s">
        <v>330</v>
      </c>
      <c r="B63" s="167" t="s">
        <v>1378</v>
      </c>
      <c r="C63" s="2560">
        <f ca="1">ROUND((C64+C65)/(1+'数据-取费表'!C42),0)</f>
        <v>112609</v>
      </c>
      <c r="D63" s="167"/>
      <c r="E63" s="168"/>
      <c r="F63" s="1807"/>
      <c r="G63" s="1807"/>
      <c r="H63" s="1809"/>
      <c r="I63" s="129"/>
      <c r="J63" s="3616" t="s">
        <v>1379</v>
      </c>
      <c r="K63" s="1331" t="s">
        <v>1380</v>
      </c>
      <c r="L63" s="1331">
        <f ca="1">IF(M49&gt;10000,M49*0.5%,IF(AND(M49&gt;1000,M49&lt;=10000),M49*1%,IF(AND(M49&gt;100,M49&lt;=1000),M49*3%,IF(AND(M49&gt;10,M49&lt;=100),M49*5%,M49*8%))))</f>
        <v>591.19500000000005</v>
      </c>
      <c r="M63" s="302">
        <f ca="1">ROUND(L63,1)</f>
        <v>591.20000000000005</v>
      </c>
      <c r="N63" s="2539"/>
      <c r="Z63" s="1751"/>
      <c r="AI63" s="1752"/>
    </row>
    <row r="64" spans="1:35" ht="14.25" customHeight="1">
      <c r="A64" s="169" t="s">
        <v>325</v>
      </c>
      <c r="B64" s="170" t="s">
        <v>1381</v>
      </c>
      <c r="C64" s="2561">
        <f ca="1">D45</f>
        <v>118239</v>
      </c>
      <c r="D64" s="170" t="s">
        <v>26</v>
      </c>
      <c r="E64" s="172"/>
      <c r="F64" s="1807"/>
      <c r="G64" s="1807"/>
      <c r="H64" s="1809"/>
      <c r="I64" s="129"/>
      <c r="J64" s="3616"/>
      <c r="K64" s="1331" t="s">
        <v>1382</v>
      </c>
      <c r="L64" s="1331">
        <f ca="1">IF(M49&gt;2000,M49*0.5%,IF(AND(M49&gt;1000,M49&lt;=2000),M49*0.6%,IF(AND(M49&gt;500,M49&lt;=1000),M49*0.7%,IF(AND(M49&gt;200,M49&lt;=500),M49*0.8%,IF(AND(M49&gt;100,M49&lt;=200),M49*0.9%,IF(AND(M49&gt;50,M49&lt;=100),M49*1%,IF(AND(M49&gt;20,M49&lt;=50),M49*1.5%,IF(AND(M49&gt;10,M49&lt;=20),M49*2%,IF(AND(M49&gt;1,M49&lt;=10),M49*2.5%)))))))))</f>
        <v>591.19500000000005</v>
      </c>
      <c r="M64" s="302">
        <f t="shared" ref="M64:M65" ca="1" si="1">ROUND(L64,1)</f>
        <v>591.20000000000005</v>
      </c>
      <c r="N64" s="2540" t="s">
        <v>1383</v>
      </c>
      <c r="Z64" s="1751"/>
      <c r="AI64" s="1752"/>
    </row>
    <row r="65" spans="1:35" ht="14.25" customHeight="1">
      <c r="A65" s="169" t="s">
        <v>326</v>
      </c>
      <c r="B65" s="170" t="s">
        <v>1384</v>
      </c>
      <c r="C65" s="2562"/>
      <c r="D65" s="170"/>
      <c r="E65" s="172"/>
      <c r="F65" s="1807"/>
      <c r="G65" s="1807"/>
      <c r="H65" s="1809"/>
      <c r="I65" s="129"/>
      <c r="J65" s="3616"/>
      <c r="K65" s="1331" t="s">
        <v>1385</v>
      </c>
      <c r="L65" s="1331">
        <f ca="1">IF(M49&gt;1000,M49*0.1%,IF(AND(M49&gt;500,M49&lt;=1000),M49*0.5%,IF(AND(M49&gt;50,M49&lt;=500),M49*1%,IF(AND(M49&gt;1,M49&lt;=50),M49*1.5%))))</f>
        <v>118.239</v>
      </c>
      <c r="M65" s="302">
        <f t="shared" ca="1" si="1"/>
        <v>118.2</v>
      </c>
      <c r="N65" s="2540" t="s">
        <v>1383</v>
      </c>
      <c r="Z65" s="1751"/>
      <c r="AI65" s="1752"/>
    </row>
    <row r="66" spans="1:35" ht="14.25" customHeight="1">
      <c r="A66" s="173" t="s">
        <v>327</v>
      </c>
      <c r="B66" s="174" t="s">
        <v>1386</v>
      </c>
      <c r="C66" s="2563"/>
      <c r="D66" s="174" t="s">
        <v>26</v>
      </c>
      <c r="E66" s="1337" t="s">
        <v>671</v>
      </c>
      <c r="F66" s="1807"/>
      <c r="G66" s="1807"/>
      <c r="H66" s="1809"/>
      <c r="I66" s="129"/>
      <c r="J66" s="3616"/>
      <c r="K66" s="1331" t="s">
        <v>1387</v>
      </c>
      <c r="L66" s="1331">
        <f ca="1">M49*0.5%</f>
        <v>591.19500000000005</v>
      </c>
      <c r="M66" s="302">
        <f ca="1">IF(L66&gt;0.5,0.5,ROUND(L66,0))</f>
        <v>0.5</v>
      </c>
      <c r="N66" s="2540" t="s">
        <v>1388</v>
      </c>
      <c r="Z66" s="1751"/>
      <c r="AI66" s="1752"/>
    </row>
    <row r="67" spans="1:35" ht="14.25" customHeight="1">
      <c r="A67" s="173" t="s">
        <v>328</v>
      </c>
      <c r="B67" s="174" t="s">
        <v>1389</v>
      </c>
      <c r="C67" s="2564">
        <f ca="1">C63-C66</f>
        <v>112609</v>
      </c>
      <c r="D67" s="170" t="s">
        <v>26</v>
      </c>
      <c r="E67" s="172"/>
      <c r="F67" s="1807"/>
      <c r="G67" s="1807"/>
      <c r="H67" s="1809"/>
      <c r="I67" s="129"/>
      <c r="J67" s="3616"/>
      <c r="K67" s="1331" t="s">
        <v>1390</v>
      </c>
      <c r="L67" s="1331">
        <f ca="1">IF(M49&gt;=10000,(8.25+(M49-10000)*0.01%),IF(AND(M49&gt;=8000,M49&lt;10000),(7.85+(M49-8000)*0.02%),IF(AND(M49&gt;=5000,M49&lt;8000),(6.65+(M49-5000)*0.04%),IF(AND(M49&gt;=2000,M49&lt;5000),(4.25+(PM49-2000)*0.08%),IF(AND(M49&gt;=1000,M49&lt;2000),(2.75+(M49-1000)*0.15%),IF(AND(M49&gt;=100,M49&lt;1000),(0.5+(M49-100)*0.25%),IF(AND(M49&gt;0,M49&lt;100),M49*0.5%)))))))</f>
        <v>19.073900000000002</v>
      </c>
      <c r="M67" s="302">
        <f ca="1">ROUND(L67*0.9,1)</f>
        <v>17.2</v>
      </c>
      <c r="N67" s="2539"/>
      <c r="Z67" s="1751"/>
      <c r="AI67" s="1752"/>
    </row>
    <row r="68" spans="1:35" ht="14.25" customHeight="1" thickBot="1">
      <c r="A68" s="176" t="s">
        <v>329</v>
      </c>
      <c r="B68" s="177" t="s">
        <v>1391</v>
      </c>
      <c r="C68" s="2565">
        <f ca="1">IF(C67&lt;=0,0,ROUND(C67*D68,0))</f>
        <v>6193</v>
      </c>
      <c r="D68" s="2566">
        <f>'数据-取费表'!B41</f>
        <v>5.5000000000000007E-2</v>
      </c>
      <c r="E68" s="178"/>
      <c r="F68" s="1807"/>
      <c r="G68" s="1807"/>
      <c r="H68" s="1809"/>
      <c r="I68" s="129"/>
      <c r="J68" s="3616"/>
      <c r="K68" s="1331" t="s">
        <v>1392</v>
      </c>
      <c r="L68" s="1331">
        <f ca="1">IF(M49&gt;10000,M49*0.5%,IF(AND(M49&gt;5000,M49&lt;=10000),M49*1%,IF(AND(M49&gt;1000,M49&lt;=5000),M49*2%,IF(AND(M49&gt;200,M49&lt;=1000),M49*3%,M49*5%))))</f>
        <v>591.19500000000005</v>
      </c>
      <c r="M68" s="302">
        <f ca="1">ROUND(L68,1)</f>
        <v>591.20000000000005</v>
      </c>
      <c r="N68" s="2539"/>
      <c r="Z68" s="1751"/>
      <c r="AI68" s="1752"/>
    </row>
    <row r="69" spans="1:35" s="1771" customFormat="1" ht="16.5" customHeight="1">
      <c r="A69" s="1810"/>
      <c r="B69" s="1811"/>
      <c r="C69" s="1812"/>
      <c r="D69" s="1813"/>
      <c r="E69" s="1814"/>
      <c r="F69" s="1577"/>
      <c r="G69" s="1577"/>
      <c r="H69" s="1576"/>
      <c r="I69" s="1746"/>
      <c r="J69" s="3616"/>
      <c r="K69" s="1331" t="s">
        <v>1393</v>
      </c>
      <c r="L69" s="1331"/>
      <c r="M69" s="302">
        <f ca="1">ROUND(SUM(M63:M68),0)</f>
        <v>1910</v>
      </c>
      <c r="N69" s="2541">
        <f ca="1">M69/M49</f>
        <v>1.6153722545014758E-2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60" t="s">
        <v>1394</v>
      </c>
      <c r="B70" s="3661"/>
      <c r="C70" s="3661"/>
      <c r="D70" s="3661"/>
      <c r="E70" s="3661"/>
      <c r="F70" s="3661"/>
      <c r="G70" s="3661"/>
      <c r="H70" s="366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2" t="s">
        <v>1375</v>
      </c>
      <c r="B71" s="3653"/>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112609</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563</v>
      </c>
      <c r="D73" s="170" t="s">
        <v>26</v>
      </c>
      <c r="E73" s="2327"/>
      <c r="F73" s="2326"/>
      <c r="G73" s="2326"/>
      <c r="H73" s="182"/>
      <c r="I73" s="1819"/>
      <c r="J73" s="1817"/>
      <c r="K73" s="1817"/>
      <c r="L73" s="3503" t="s">
        <v>5015</v>
      </c>
      <c r="M73" s="3503" t="s">
        <v>5019</v>
      </c>
      <c r="N73" s="3503" t="s">
        <v>5020</v>
      </c>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3503" t="s">
        <v>5016</v>
      </c>
      <c r="L74" s="1817">
        <v>19188</v>
      </c>
      <c r="M74" s="1817">
        <f>'数据-汇总表'!F19</f>
        <v>42310.899999999994</v>
      </c>
      <c r="N74" s="1817">
        <f>ROUND(L74*M74/10000,4)</f>
        <v>81186.154899999994</v>
      </c>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3503" t="s">
        <v>5017</v>
      </c>
      <c r="L75" s="1817">
        <f>ROUND(L74*0.25*0.2,0)</f>
        <v>959</v>
      </c>
      <c r="M75" s="1817">
        <f>'数据-汇总表'!G20</f>
        <v>21458.77999999997</v>
      </c>
      <c r="N75" s="1817">
        <f t="shared" ref="N75:N76" si="2">ROUND(L75*M75/10000,4)</f>
        <v>2057.8969999999999</v>
      </c>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57" t="s">
        <v>1402</v>
      </c>
      <c r="F76" s="3656"/>
      <c r="G76" s="3656"/>
      <c r="H76" s="3659"/>
      <c r="I76" s="1819"/>
      <c r="J76" s="1817"/>
      <c r="K76" s="3503" t="s">
        <v>5018</v>
      </c>
      <c r="L76" s="1817">
        <f>ROUND(L74*0.25*0.25,0)</f>
        <v>1199</v>
      </c>
      <c r="M76" s="1817">
        <f>'数据-汇总表'!G21</f>
        <v>6138.5999999999922</v>
      </c>
      <c r="N76" s="1817">
        <f t="shared" si="2"/>
        <v>736.0181</v>
      </c>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f>N74+N75+N76</f>
        <v>83980.069999999992</v>
      </c>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563</v>
      </c>
      <c r="D78" s="2573">
        <f>'数据-取费表'!B43</f>
        <v>5.000000000000001E-3</v>
      </c>
      <c r="E78" s="3649" t="s">
        <v>1406</v>
      </c>
      <c r="F78" s="3650"/>
      <c r="G78" s="3650"/>
      <c r="H78" s="365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112046</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199.01598579040854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67031</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60" t="s">
        <v>1410</v>
      </c>
      <c r="B83" s="3661"/>
      <c r="C83" s="3661"/>
      <c r="D83" s="3661"/>
      <c r="E83" s="3661"/>
      <c r="F83" s="3661"/>
      <c r="G83" s="3661"/>
      <c r="H83" s="366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2" t="s">
        <v>1375</v>
      </c>
      <c r="B84" s="3653"/>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112609</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132111.07</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86541.069999999992</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f>N77</f>
        <v>83980.069999999992</v>
      </c>
      <c r="D88" s="2573"/>
      <c r="E88" s="193" t="s">
        <v>1413</v>
      </c>
      <c r="F88" s="2323"/>
      <c r="G88" s="194" t="s">
        <v>1414</v>
      </c>
      <c r="H88" s="1823" t="s">
        <v>5021</v>
      </c>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2561</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18" t="s">
        <v>2129</v>
      </c>
      <c r="H90" s="3619"/>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 ca="1">IF(H91="——",成本法!C33,I91)</f>
        <v>14650</v>
      </c>
      <c r="D91" s="2573"/>
      <c r="E91" s="3649" t="s">
        <v>1419</v>
      </c>
      <c r="F91" s="3650"/>
      <c r="G91" s="3650"/>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 ca="1">ROUND((C87+C90+C91)*D92,0)</f>
        <v>10119</v>
      </c>
      <c r="D92" s="2579">
        <v>0.1</v>
      </c>
      <c r="E92" s="3649" t="s">
        <v>1422</v>
      </c>
      <c r="F92" s="3650"/>
      <c r="G92" s="3650"/>
      <c r="H92" s="3651"/>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563</v>
      </c>
      <c r="D93" s="2573">
        <f>'数据-取费表'!B43</f>
        <v>5.000000000000001E-3</v>
      </c>
      <c r="E93" s="3649" t="s">
        <v>1406</v>
      </c>
      <c r="F93" s="3650"/>
      <c r="G93" s="3650"/>
      <c r="H93" s="365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 ca="1">ROUND((C87+C90+C91)*D94,0)</f>
        <v>20238</v>
      </c>
      <c r="D94" s="2573">
        <v>0.2</v>
      </c>
      <c r="E94" s="3694" t="s">
        <v>1426</v>
      </c>
      <c r="F94" s="3695"/>
      <c r="G94" s="3695"/>
      <c r="H94" s="369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-19502</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0</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99" t="s">
        <v>1428</v>
      </c>
      <c r="B100" s="3600"/>
      <c r="C100" s="3600"/>
      <c r="D100" s="3634"/>
      <c r="E100" s="3600" t="s">
        <v>1429</v>
      </c>
      <c r="F100" s="3600"/>
      <c r="G100" s="3600"/>
      <c r="H100" s="3634"/>
      <c r="I100" s="129"/>
    </row>
    <row r="101" spans="1:35" ht="18.75" customHeight="1">
      <c r="A101" s="3642" t="s">
        <v>1430</v>
      </c>
      <c r="B101" s="3643"/>
      <c r="C101" s="2581" t="str">
        <f>C4</f>
        <v>成本法</v>
      </c>
      <c r="D101" s="2582" t="str">
        <f>D4</f>
        <v>假设开发法</v>
      </c>
      <c r="E101" s="3612" t="s">
        <v>1431</v>
      </c>
      <c r="F101" s="3613"/>
      <c r="G101" s="1826" t="s">
        <v>1432</v>
      </c>
      <c r="H101" s="2591">
        <f ca="1">H118</f>
        <v>118239</v>
      </c>
      <c r="I101" s="129"/>
    </row>
    <row r="102" spans="1:35" ht="18.75" customHeight="1">
      <c r="A102" s="3644" t="s">
        <v>1433</v>
      </c>
      <c r="B102" s="2580" t="s">
        <v>1432</v>
      </c>
      <c r="C102" s="2581">
        <f ca="1">IF(D32="楼面单价",ROUND(C19,0),C19)</f>
        <v>118922</v>
      </c>
      <c r="D102" s="2582">
        <f ca="1">IF(D32="楼面单价",ROUND(D19,0),D19)</f>
        <v>117555</v>
      </c>
      <c r="E102" s="3612"/>
      <c r="F102" s="3613"/>
      <c r="G102" s="1826" t="s">
        <v>1434</v>
      </c>
      <c r="H102" s="2551">
        <f ca="1">I118</f>
        <v>16913</v>
      </c>
      <c r="I102" s="129"/>
    </row>
    <row r="103" spans="1:35" ht="42.75" customHeight="1">
      <c r="A103" s="3644"/>
      <c r="B103" s="2580" t="s">
        <v>1434</v>
      </c>
      <c r="C103" s="2583">
        <f ca="1">C20</f>
        <v>17011</v>
      </c>
      <c r="D103" s="2584">
        <f ca="1">D20</f>
        <v>16816</v>
      </c>
      <c r="E103" s="3605" t="s">
        <v>1435</v>
      </c>
      <c r="F103" s="3606"/>
      <c r="G103" s="1827" t="s">
        <v>1436</v>
      </c>
      <c r="H103" s="2591">
        <f>IF(D36="正常操作",H104+H105+H106,H105+H106)</f>
        <v>0</v>
      </c>
      <c r="I103" s="129"/>
    </row>
    <row r="104" spans="1:35" ht="18.75" customHeight="1">
      <c r="A104" s="3644" t="s">
        <v>1437</v>
      </c>
      <c r="B104" s="2585" t="s">
        <v>1432</v>
      </c>
      <c r="C104" s="2586">
        <f ca="1">H118</f>
        <v>118239</v>
      </c>
      <c r="D104" s="2587"/>
      <c r="E104" s="1673" t="s">
        <v>1438</v>
      </c>
      <c r="F104" s="1665"/>
      <c r="G104" s="1827" t="s">
        <v>1436</v>
      </c>
      <c r="H104" s="2592">
        <f>IF(D36="同一抵押权人同一抵押物续贷",C36&amp;"（续贷，未扣减，详见特别提示）",C36)</f>
        <v>0</v>
      </c>
      <c r="I104" s="129"/>
    </row>
    <row r="105" spans="1:35" ht="18.75" customHeight="1" thickBot="1">
      <c r="A105" s="3654"/>
      <c r="B105" s="2588" t="s">
        <v>1434</v>
      </c>
      <c r="C105" s="2589">
        <f ca="1">I118</f>
        <v>16913</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45" t="str">
        <f>IF(项目基本情况!E8="已注销","——","3.房地产抵押价值")</f>
        <v>3.房地产抵押价值</v>
      </c>
      <c r="F107" s="3613"/>
      <c r="G107" s="1826" t="s">
        <v>1432</v>
      </c>
      <c r="H107" s="2591">
        <f ca="1">IF(E107="——","——",H101-H103)</f>
        <v>118239</v>
      </c>
      <c r="I107" s="129"/>
    </row>
    <row r="108" spans="1:35" ht="18.75" customHeight="1">
      <c r="A108" s="129"/>
      <c r="B108" s="129"/>
      <c r="C108" s="129"/>
      <c r="D108" s="129"/>
      <c r="E108" s="3645"/>
      <c r="F108" s="3613"/>
      <c r="G108" s="1826" t="s">
        <v>1434</v>
      </c>
      <c r="H108" s="2551">
        <f ca="1">IF(H107=H101,H102,ROUND(H107*10000/'数据-汇总表'!E3,0))</f>
        <v>16913</v>
      </c>
      <c r="I108" s="129"/>
    </row>
    <row r="109" spans="1:35" ht="18.75" customHeight="1">
      <c r="A109" s="129"/>
      <c r="B109" s="129"/>
      <c r="C109" s="129"/>
      <c r="D109" s="129"/>
      <c r="E109" s="3645" t="str">
        <f>IF(项目基本情况!E8="已注销及未注销","4.抵押担保权已注销时的房地产抵押价值",IF(项目基本情况!E8="已注销","3.抵押担保权已注销时的房地产抵押价值","——"))</f>
        <v>——</v>
      </c>
      <c r="F109" s="3613"/>
      <c r="G109" s="1826" t="s">
        <v>1432</v>
      </c>
      <c r="H109" s="2594" t="str">
        <f>IF(E109="——","——",H101-H105-H106)</f>
        <v>——</v>
      </c>
      <c r="I109" s="129"/>
    </row>
    <row r="110" spans="1:35" ht="18.75" customHeight="1">
      <c r="A110" s="129"/>
      <c r="B110" s="129"/>
      <c r="C110" s="129"/>
      <c r="D110" s="129"/>
      <c r="E110" s="3645"/>
      <c r="F110" s="3613"/>
      <c r="G110" s="1826" t="s">
        <v>1434</v>
      </c>
      <c r="H110" s="2551"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4.抵押净值</v>
      </c>
      <c r="F111" s="3632"/>
      <c r="G111" s="1826" t="s">
        <v>1432</v>
      </c>
      <c r="H111" s="2591">
        <f ca="1">IF(E111="——","——",N59)</f>
        <v>111987</v>
      </c>
      <c r="I111" s="129"/>
      <c r="K111" s="3510" t="s">
        <v>5047</v>
      </c>
      <c r="L111" s="3510" t="s">
        <v>5048</v>
      </c>
    </row>
    <row r="112" spans="1:35" ht="18.75" customHeight="1" thickBot="1">
      <c r="A112" s="129"/>
      <c r="B112" s="129"/>
      <c r="C112" s="129"/>
      <c r="D112" s="129"/>
      <c r="E112" s="3647"/>
      <c r="F112" s="3648"/>
      <c r="G112" s="1829" t="s">
        <v>1434</v>
      </c>
      <c r="H112" s="2595">
        <f ca="1">IF(E111="——","——",N61)</f>
        <v>16019</v>
      </c>
      <c r="I112" s="129"/>
      <c r="K112" s="725">
        <f ca="1">ROUND(E118*土地分摊表!K187/10000,0)</f>
        <v>24145</v>
      </c>
      <c r="L112" s="725">
        <f ca="1">H118-K112</f>
        <v>94094</v>
      </c>
    </row>
    <row r="113" spans="1:27" ht="18.75" customHeight="1">
      <c r="A113" s="129"/>
      <c r="B113" s="129"/>
      <c r="C113" s="129"/>
      <c r="D113" s="129"/>
      <c r="E113" s="3655" t="s">
        <v>1440</v>
      </c>
      <c r="F113" s="3655"/>
      <c r="G113" s="3655"/>
      <c r="H113" s="3655"/>
      <c r="I113" s="129"/>
    </row>
    <row r="114" spans="1:27" ht="3.75" customHeight="1">
      <c r="A114" s="1746"/>
      <c r="B114" s="1746"/>
      <c r="C114" s="1746"/>
      <c r="D114" s="1746"/>
      <c r="E114" s="1808"/>
      <c r="F114" s="1808"/>
      <c r="G114" s="1808"/>
      <c r="H114" s="1808"/>
      <c r="I114" s="1746"/>
    </row>
    <row r="115" spans="1:27" ht="18.75" customHeight="1">
      <c r="A115" s="3663" t="s">
        <v>1442</v>
      </c>
      <c r="B115" s="3664"/>
      <c r="C115" s="3664"/>
      <c r="D115" s="3664"/>
      <c r="E115" s="3664"/>
      <c r="F115" s="3664"/>
      <c r="G115" s="3664"/>
      <c r="H115" s="3664"/>
      <c r="I115" s="3665"/>
    </row>
    <row r="116" spans="1:27" ht="27" customHeight="1">
      <c r="A116" s="3620" t="s">
        <v>1443</v>
      </c>
      <c r="B116" s="3624" t="s">
        <v>1444</v>
      </c>
      <c r="C116" s="3624" t="s">
        <v>1445</v>
      </c>
      <c r="D116" s="3630" t="s">
        <v>1446</v>
      </c>
      <c r="E116" s="3631"/>
      <c r="F116" s="3662" t="s">
        <v>1447</v>
      </c>
      <c r="G116" s="3662"/>
      <c r="H116" s="3620" t="s">
        <v>1448</v>
      </c>
      <c r="I116" s="3620"/>
    </row>
    <row r="117" spans="1:27" ht="18.75" customHeight="1">
      <c r="A117" s="3620"/>
      <c r="B117" s="3625"/>
      <c r="C117" s="3625"/>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69908.279999999955</v>
      </c>
      <c r="C118" s="2325">
        <f>M19</f>
        <v>22768.44</v>
      </c>
      <c r="D118" s="2325">
        <f ca="1">ROUND(IF(D32="总价",C34,E118*B118/10000),0)</f>
        <v>100148</v>
      </c>
      <c r="E118" s="2325">
        <f ca="1">ROUND(IF(C33="自定义",IF(D32="楼面单价",C34,D118*10000/B118),I118-G118),0)</f>
        <v>14325</v>
      </c>
      <c r="F118" s="2325">
        <f ca="1">ROUND(IF(D32="总价",C35,G118*B118/10000),0)</f>
        <v>18091</v>
      </c>
      <c r="G118" s="2325">
        <f ca="1">ROUND(IF(D32="楼面单价",C35,F118*10000/B118),0)</f>
        <v>2588</v>
      </c>
      <c r="H118" s="2325">
        <f ca="1">ROUND(IF(D32="总价",C32,I118*B118/10000),0)</f>
        <v>118239</v>
      </c>
      <c r="I118" s="2325">
        <f ca="1">ROUND(IF(D32="楼面单价",C32,H118*10000/B118),0)</f>
        <v>16913</v>
      </c>
    </row>
    <row r="119" spans="1:27" ht="18.75" customHeight="1">
      <c r="A119" s="3620" t="s">
        <v>1452</v>
      </c>
      <c r="B119" s="3620"/>
      <c r="C119" s="3620"/>
      <c r="D119" s="3626" t="str">
        <f ca="1">NUMBERSTRING(INT(D118*10000),2)&amp;"元整"</f>
        <v>壹拾亿零壹佰肆拾捌万元整</v>
      </c>
      <c r="E119" s="3627"/>
      <c r="F119" s="3626" t="str">
        <f ca="1">NUMBERSTRING(INT(F118*10000),2)&amp;"元整"</f>
        <v>壹亿捌仟零玖拾壹万元整</v>
      </c>
      <c r="G119" s="3627"/>
      <c r="H119" s="3626" t="str">
        <f ca="1">NUMBERSTRING(INT(H118*10000),2)&amp;"元整"</f>
        <v>壹拾壹亿捌仟贰佰叁拾玖万元整</v>
      </c>
      <c r="I119" s="3627"/>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6" t="s">
        <v>1452</v>
      </c>
      <c r="B121" s="3628"/>
      <c r="C121" s="3627"/>
      <c r="D121" s="3626" t="str">
        <f>IF(D120=0,"零元整",NUMBERSTRING(INT(D120*10000),2)&amp;"元整")</f>
        <v>零元整</v>
      </c>
      <c r="E121" s="3628"/>
      <c r="F121" s="3628"/>
      <c r="G121" s="3628"/>
      <c r="H121" s="3628"/>
      <c r="I121" s="3627"/>
      <c r="AA121" s="725"/>
    </row>
    <row r="122" spans="1:27" ht="18.75" customHeight="1">
      <c r="A122" s="3632" t="str">
        <f>IF(项目基本情况!B9="房地产市场价值","",MID(E107,3,LEN(E107)-2))</f>
        <v>房地产抵押价值</v>
      </c>
      <c r="B122" s="3632"/>
      <c r="C122" s="3632"/>
      <c r="D122" s="3621">
        <f ca="1">H107</f>
        <v>118239</v>
      </c>
      <c r="E122" s="3622"/>
      <c r="F122" s="3622"/>
      <c r="G122" s="3622"/>
      <c r="H122" s="3622"/>
      <c r="I122" s="3623"/>
      <c r="AA122" s="725"/>
    </row>
    <row r="123" spans="1:27" ht="18.75" customHeight="1">
      <c r="A123" s="3620" t="s">
        <v>1452</v>
      </c>
      <c r="B123" s="3620"/>
      <c r="C123" s="3620"/>
      <c r="D123" s="3626" t="str">
        <f ca="1">NUMBERSTRING(INT(D122*10000),2)&amp;"元整"</f>
        <v>壹拾壹亿捌仟贰佰叁拾玖万元整</v>
      </c>
      <c r="E123" s="3628"/>
      <c r="F123" s="3628"/>
      <c r="G123" s="3628"/>
      <c r="H123" s="3628"/>
      <c r="I123" s="3627"/>
      <c r="AA123" s="725"/>
    </row>
    <row r="124" spans="1:27" ht="18.75" customHeight="1">
      <c r="A124" s="3632" t="str">
        <f>IF(项目基本情况!B9="房地产市场价值","",MID(E109,3,LEN(E109)-2))</f>
        <v/>
      </c>
      <c r="B124" s="3632"/>
      <c r="C124" s="3632"/>
      <c r="D124" s="3621" t="str">
        <f>H109</f>
        <v>——</v>
      </c>
      <c r="E124" s="3622"/>
      <c r="F124" s="3622"/>
      <c r="G124" s="3622"/>
      <c r="H124" s="3622"/>
      <c r="I124" s="3623"/>
      <c r="AA124" s="725"/>
    </row>
    <row r="125" spans="1:27" ht="18.75" customHeight="1">
      <c r="A125" s="3620" t="s">
        <v>1452</v>
      </c>
      <c r="B125" s="3620"/>
      <c r="C125" s="3620"/>
      <c r="D125" s="3626" t="e">
        <f>NUMBERSTRING(INT(D124*10000),2)&amp;"元整"</f>
        <v>#VALUE!</v>
      </c>
      <c r="E125" s="3628"/>
      <c r="F125" s="3628"/>
      <c r="G125" s="3628"/>
      <c r="H125" s="3628"/>
      <c r="I125" s="3627"/>
      <c r="AA125" s="725"/>
    </row>
    <row r="126" spans="1:27" ht="18.75" customHeight="1">
      <c r="A126" s="3632" t="str">
        <f>IF(项目基本情况!B9="房地产市场价值","",MID(E111,3,LEN(E111)-2))</f>
        <v>抵押净值</v>
      </c>
      <c r="B126" s="3632"/>
      <c r="C126" s="3632"/>
      <c r="D126" s="3621">
        <f ca="1">H111</f>
        <v>111987</v>
      </c>
      <c r="E126" s="3622"/>
      <c r="F126" s="3622"/>
      <c r="G126" s="3622"/>
      <c r="H126" s="3622"/>
      <c r="I126" s="3623"/>
      <c r="AA126" s="725"/>
    </row>
    <row r="127" spans="1:27" ht="18.75" customHeight="1">
      <c r="A127" s="3620" t="s">
        <v>1452</v>
      </c>
      <c r="B127" s="3620"/>
      <c r="C127" s="3620"/>
      <c r="D127" s="3626" t="str">
        <f ca="1">NUMBERSTRING(INT(D126*10000),2)&amp;"元整"</f>
        <v>壹拾壹亿壹仟玖佰捌拾柒万元整</v>
      </c>
      <c r="E127" s="3628"/>
      <c r="F127" s="3628"/>
      <c r="G127" s="3628"/>
      <c r="H127" s="3628"/>
      <c r="I127" s="3627"/>
      <c r="AA127" s="725"/>
    </row>
    <row r="128" spans="1:27" ht="21.75" customHeight="1">
      <c r="A128" s="3629" t="s">
        <v>1453</v>
      </c>
      <c r="B128" s="3629"/>
      <c r="C128" s="3629"/>
      <c r="D128" s="3629"/>
      <c r="E128" s="3629"/>
      <c r="F128" s="3629"/>
      <c r="G128" s="3629"/>
      <c r="H128" s="3629"/>
      <c r="I128" s="362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7" sqref="L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118922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17011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85451</v>
      </c>
      <c r="D5" s="211" t="s">
        <v>1469</v>
      </c>
      <c r="E5" s="212" t="s">
        <v>1470</v>
      </c>
      <c r="F5" s="212" t="s">
        <v>1471</v>
      </c>
      <c r="G5" s="213"/>
    </row>
    <row r="6" spans="1:9" s="214" customFormat="1" ht="13.5" customHeight="1">
      <c r="A6" s="778" t="s">
        <v>1472</v>
      </c>
      <c r="B6" s="215" t="s">
        <v>1473</v>
      </c>
      <c r="C6" s="216">
        <f>'土地比较法-住宅、综合'!B2</f>
        <v>82922</v>
      </c>
      <c r="D6" s="217"/>
      <c r="E6" s="218"/>
      <c r="F6" s="218"/>
      <c r="G6" s="219"/>
    </row>
    <row r="7" spans="1:9" s="214" customFormat="1" ht="13.5" customHeight="1">
      <c r="A7" s="778" t="s">
        <v>1474</v>
      </c>
      <c r="B7" s="215" t="s">
        <v>1475</v>
      </c>
      <c r="C7" s="220">
        <f>ROUND(C6*F7,0)</f>
        <v>2529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5026</v>
      </c>
    </row>
    <row r="9" spans="1:9" s="214" customFormat="1" ht="13.5" customHeight="1">
      <c r="A9" s="779" t="s">
        <v>355</v>
      </c>
      <c r="B9" s="224" t="s">
        <v>1478</v>
      </c>
      <c r="C9" s="225">
        <f ca="1">ROUND(D9*E9/10000,0)</f>
        <v>0</v>
      </c>
      <c r="D9" s="845">
        <f ca="1">IF(B1="",'数据-汇总表'!E5,IF(INDIRECT("'数据-取费表'!c"&amp;$G$1)="住宅",INDIRECT("'数据-取费表'!k"&amp;$G$1),0))</f>
        <v>42310.899999999994</v>
      </c>
      <c r="E9" s="225">
        <f>'数据-取费表'!B27</f>
        <v>0</v>
      </c>
      <c r="F9" s="221"/>
      <c r="G9" s="1856" t="s">
        <v>5027</v>
      </c>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27597.379999999961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69908.279999999955</v>
      </c>
      <c r="E19" s="211">
        <f>'数据-取费表'!B31</f>
        <v>100</v>
      </c>
      <c r="F19" s="231"/>
      <c r="G19" s="1855" t="s">
        <v>5022</v>
      </c>
    </row>
    <row r="20" spans="1:7" s="214" customFormat="1" ht="13.5" customHeight="1">
      <c r="A20" s="255" t="s">
        <v>1493</v>
      </c>
      <c r="B20" s="210" t="s">
        <v>1494</v>
      </c>
      <c r="C20" s="232">
        <f>ROUND((C5+C19)*F20,0)</f>
        <v>1709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2636</v>
      </c>
      <c r="D22" s="235">
        <f ca="1">C26</f>
        <v>2.9999999999999997E-4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2610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3547</v>
      </c>
      <c r="D27" s="235">
        <f ca="1">C29</f>
        <v>8.0000000000000004E-4</v>
      </c>
      <c r="E27" s="236" t="s">
        <v>1514</v>
      </c>
      <c r="F27" s="246">
        <f ca="1">IF(B1="",'数据-取费表'!Q16,INDIRECT("'数据-取费表'!q"&amp;$G$1))</f>
        <v>0.11</v>
      </c>
      <c r="G27" s="247" t="s">
        <v>1515</v>
      </c>
    </row>
    <row r="28" spans="1:7" s="214" customFormat="1" ht="13.5" customHeight="1">
      <c r="A28" s="780" t="s">
        <v>346</v>
      </c>
      <c r="B28" s="248" t="s">
        <v>1516</v>
      </c>
      <c r="C28" s="249">
        <f ca="1">ROUND((C5+C19+C20)*F27*'数据-取费表'!B21/'数据-取费表'!B20,0)</f>
        <v>3547</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100748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14650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13190</v>
      </c>
      <c r="D34" s="217"/>
      <c r="E34" s="220"/>
      <c r="F34" s="257">
        <f ca="1">IF('数据-取费表'!B24=0,1,IF(B1="",'数据-取费表'!N16,INDIRECT("'数据-取费表'!n"&amp;$G$1)))</f>
        <v>0.37</v>
      </c>
      <c r="G34" s="219" t="s">
        <v>1526</v>
      </c>
    </row>
    <row r="35" spans="1:7" ht="13.5" customHeight="1">
      <c r="A35" s="780" t="s">
        <v>351</v>
      </c>
      <c r="B35" s="215" t="s">
        <v>1527</v>
      </c>
      <c r="C35" s="220">
        <f ca="1">ROUND(C34*F35,0)</f>
        <v>396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349</v>
      </c>
      <c r="D36" s="220"/>
      <c r="E36" s="220"/>
      <c r="F36" s="259">
        <f>'数据-取费表'!B34</f>
        <v>0.05</v>
      </c>
      <c r="G36" s="260" t="s">
        <v>1530</v>
      </c>
    </row>
    <row r="37" spans="1:7" s="258" customFormat="1" ht="13.5" customHeight="1">
      <c r="A37" s="780" t="s">
        <v>353</v>
      </c>
      <c r="B37" s="215" t="s">
        <v>1531</v>
      </c>
      <c r="C37" s="249">
        <f ca="1">ROUND(E37*D37*F34/10000,0)</f>
        <v>517</v>
      </c>
      <c r="D37" s="217">
        <f ca="1">D19</f>
        <v>69908.279999999955</v>
      </c>
      <c r="E37" s="249">
        <f>'数据-取费表'!B35</f>
        <v>200</v>
      </c>
      <c r="F37" s="259"/>
      <c r="G37" s="261" t="s">
        <v>1532</v>
      </c>
    </row>
    <row r="38" spans="1:7" ht="13.5" customHeight="1">
      <c r="A38" s="780" t="s">
        <v>354</v>
      </c>
      <c r="B38" s="215" t="s">
        <v>1533</v>
      </c>
      <c r="C38" s="220">
        <f ca="1">ROUND(C34*F38,0)</f>
        <v>198</v>
      </c>
      <c r="D38" s="220"/>
      <c r="E38" s="220"/>
      <c r="F38" s="259">
        <f>'数据-取费表'!B36</f>
        <v>1.4999999999999999E-2</v>
      </c>
      <c r="G38" s="219" t="s">
        <v>1528</v>
      </c>
    </row>
    <row r="39" spans="1:7" s="214" customFormat="1" ht="13.5" customHeight="1">
      <c r="A39" s="255" t="s">
        <v>1534</v>
      </c>
      <c r="B39" s="210" t="s">
        <v>1535</v>
      </c>
      <c r="C39" s="232">
        <f ca="1">ROUND(C33*F20,0)</f>
        <v>293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226</v>
      </c>
      <c r="D41" s="235">
        <f ca="1">C44</f>
        <v>2.9999999999999997E-4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222</v>
      </c>
      <c r="D42" s="238"/>
      <c r="E42" s="238"/>
      <c r="F42" s="239"/>
      <c r="G42" s="3699" t="s">
        <v>1544</v>
      </c>
    </row>
    <row r="43" spans="1:7" ht="13.5" customHeight="1">
      <c r="A43" s="780" t="s">
        <v>347</v>
      </c>
      <c r="B43" s="215" t="s">
        <v>1545</v>
      </c>
      <c r="C43" s="238">
        <f ca="1">ROUND(IF('数据-取费表'!B22&lt;=1,C39*F22*'数据-取费表'!B21/2,C39*(POWER((1+F22),'数据-取费表'!B21/2)-1)),0)</f>
        <v>4</v>
      </c>
      <c r="D43" s="238"/>
      <c r="E43" s="238"/>
      <c r="F43" s="239"/>
      <c r="G43" s="3700"/>
    </row>
    <row r="44" spans="1:7" ht="13.5" customHeight="1">
      <c r="A44" s="780" t="s">
        <v>348</v>
      </c>
      <c r="B44" s="215" t="s">
        <v>1546</v>
      </c>
      <c r="C44" s="238">
        <f ca="1">ROUND(IF('数据-取费表'!B22&lt;=1,C40*F22*'数据-取费表'!B21/2,C40*(POWER((1+F22),'数据-取费表'!B21/2)-1)),4)</f>
        <v>2.9999999999999997E-4</v>
      </c>
      <c r="D44" s="238"/>
      <c r="E44" s="238"/>
      <c r="F44" s="239"/>
      <c r="G44" s="3701"/>
    </row>
    <row r="45" spans="1:7" s="214" customFormat="1" ht="13.5" customHeight="1">
      <c r="A45" s="255" t="s">
        <v>1547</v>
      </c>
      <c r="B45" s="244" t="s">
        <v>1513</v>
      </c>
      <c r="C45" s="245">
        <f ca="1">C46</f>
        <v>1644</v>
      </c>
      <c r="D45" s="235">
        <f ca="1">C47</f>
        <v>2.2000000000000001E-3</v>
      </c>
      <c r="E45" s="236" t="s">
        <v>1539</v>
      </c>
      <c r="F45" s="246">
        <f ca="1">F27</f>
        <v>0.11</v>
      </c>
      <c r="G45" s="247" t="s">
        <v>1548</v>
      </c>
    </row>
    <row r="46" spans="1:7" s="214" customFormat="1" ht="13.5" customHeight="1">
      <c r="A46" s="780" t="s">
        <v>346</v>
      </c>
      <c r="B46" s="248" t="s">
        <v>1549</v>
      </c>
      <c r="C46" s="249">
        <f ca="1">ROUND((C33+C39)*F27,0)</f>
        <v>1644</v>
      </c>
      <c r="D46" s="263"/>
      <c r="E46" s="236"/>
      <c r="F46" s="246"/>
      <c r="G46" s="247"/>
    </row>
    <row r="47" spans="1:7" s="214" customFormat="1" ht="13.5" customHeight="1">
      <c r="A47" s="780" t="s">
        <v>347</v>
      </c>
      <c r="B47" s="248" t="s">
        <v>1550</v>
      </c>
      <c r="C47" s="238">
        <f ca="1">ROUND(C40*F27,4)</f>
        <v>2.2000000000000001E-3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18174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18174</v>
      </c>
      <c r="D51" s="232"/>
      <c r="E51" s="232"/>
      <c r="F51" s="264"/>
      <c r="G51" s="234" t="s">
        <v>1560</v>
      </c>
    </row>
    <row r="52" spans="1:7" s="208" customFormat="1" ht="16.5" thickBot="1">
      <c r="A52" s="265" t="s">
        <v>1561</v>
      </c>
      <c r="B52" s="266"/>
      <c r="C52" s="267">
        <f ca="1">C31+C51</f>
        <v>118922</v>
      </c>
      <c r="D52" s="266"/>
      <c r="E52" s="266"/>
      <c r="F52" s="266"/>
      <c r="G52" s="268"/>
    </row>
    <row r="55" spans="1:7" ht="15">
      <c r="B55" s="270" t="s">
        <v>1562</v>
      </c>
      <c r="C55" s="271"/>
    </row>
    <row r="56" spans="1:7">
      <c r="B56" s="273" t="s">
        <v>802</v>
      </c>
      <c r="C56" s="275">
        <f ca="1">1-C57</f>
        <v>0.84699999999999998</v>
      </c>
    </row>
    <row r="57" spans="1:7">
      <c r="B57" s="273" t="s">
        <v>803</v>
      </c>
      <c r="C57" s="274">
        <f ca="1">ROUND(C51/C52,3)</f>
        <v>0.153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0">
        <f ca="1">ROUND(IF(D2="——",C52/10000,C52/10000-E2),4)</f>
        <v>51552.266000000003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7374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42310.899999999994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27597.379999999961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6990828</v>
      </c>
      <c r="D19" s="849">
        <f ca="1">D9+D10</f>
        <v>69908.279999999955</v>
      </c>
      <c r="E19" s="211">
        <f>'数据-取费表'!B31</f>
        <v>100</v>
      </c>
      <c r="F19" s="231"/>
      <c r="G19" s="1855"/>
    </row>
    <row r="20" spans="1:7" s="214" customFormat="1" ht="13.5" customHeight="1">
      <c r="A20" s="255" t="s">
        <v>1574</v>
      </c>
      <c r="B20" s="210" t="s">
        <v>1575</v>
      </c>
      <c r="C20" s="232">
        <f ca="1">ROUND((C5+C19)*F20,0)</f>
        <v>139817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598081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592279</v>
      </c>
      <c r="D24" s="238"/>
      <c r="E24" s="238"/>
      <c r="F24" s="239"/>
      <c r="G24" s="240" t="s">
        <v>1586</v>
      </c>
    </row>
    <row r="25" spans="1:7" s="214" customFormat="1" ht="24">
      <c r="A25" s="780" t="s">
        <v>1476</v>
      </c>
      <c r="B25" s="215" t="s">
        <v>1587</v>
      </c>
      <c r="C25" s="1128">
        <f ca="1">ROUND(IF('数据-取费表'!B22&lt;=1,C20*F22*'数据-取费表'!B22/2,C20*(POWER((1+F22),'数据-取费表'!B22/2)-1)),0)</f>
        <v>5802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784371</v>
      </c>
      <c r="D27" s="235">
        <f ca="1">C29</f>
        <v>2.2000000000000001E-3</v>
      </c>
      <c r="E27" s="236" t="s">
        <v>1514</v>
      </c>
      <c r="F27" s="246">
        <f ca="1">IF(B1="",'数据-取费表'!Q16,INDIRECT("'数据-取费表'!q"&amp;$G$1))</f>
        <v>0.11</v>
      </c>
      <c r="G27" s="247" t="s">
        <v>1515</v>
      </c>
    </row>
    <row r="28" spans="1:7" s="214" customFormat="1" ht="13.5" customHeight="1">
      <c r="A28" s="780" t="s">
        <v>346</v>
      </c>
      <c r="B28" s="248" t="s">
        <v>1516</v>
      </c>
      <c r="C28" s="249">
        <f ca="1">ROUND((C5+C19+C20)*F27,0)</f>
        <v>784371</v>
      </c>
      <c r="D28" s="235"/>
      <c r="E28" s="236"/>
      <c r="F28" s="246"/>
      <c r="G28" s="247"/>
    </row>
    <row r="29" spans="1:7" s="214" customFormat="1" ht="13.5" customHeight="1">
      <c r="A29" s="780" t="s">
        <v>347</v>
      </c>
      <c r="B29" s="248" t="s">
        <v>1517</v>
      </c>
      <c r="C29" s="238">
        <f ca="1">ROUND(C21*F27,4)</f>
        <v>2.2000000000000001E-3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9207330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398575731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356898160</v>
      </c>
      <c r="D34" s="217"/>
      <c r="E34" s="220"/>
      <c r="F34" s="257"/>
      <c r="G34" s="219"/>
    </row>
    <row r="35" spans="1:7" ht="13.5" customHeight="1">
      <c r="A35" s="780" t="s">
        <v>351</v>
      </c>
      <c r="B35" s="215" t="s">
        <v>1527</v>
      </c>
      <c r="C35" s="220">
        <f ca="1">ROUND(C34*F35,0)</f>
        <v>10706945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11635498</v>
      </c>
      <c r="D36" s="220"/>
      <c r="E36" s="220"/>
      <c r="F36" s="259">
        <f>'数据-取费表'!B34</f>
        <v>0.05</v>
      </c>
      <c r="G36" s="260" t="s">
        <v>1530</v>
      </c>
    </row>
    <row r="37" spans="1:7" s="258" customFormat="1" ht="13.5" customHeight="1">
      <c r="A37" s="780" t="s">
        <v>353</v>
      </c>
      <c r="B37" s="215" t="s">
        <v>1531</v>
      </c>
      <c r="C37" s="249">
        <f ca="1">ROUND(E37*D37,0)</f>
        <v>13981656</v>
      </c>
      <c r="D37" s="217">
        <f ca="1">D19</f>
        <v>69908.279999999955</v>
      </c>
      <c r="E37" s="249">
        <f>'数据-取费表'!B35</f>
        <v>200</v>
      </c>
      <c r="F37" s="259"/>
      <c r="G37" s="261"/>
    </row>
    <row r="38" spans="1:7" ht="13.5" customHeight="1">
      <c r="A38" s="780" t="s">
        <v>354</v>
      </c>
      <c r="B38" s="215" t="s">
        <v>1533</v>
      </c>
      <c r="C38" s="220">
        <f ca="1">ROUND(C34*F38,0)</f>
        <v>5353472</v>
      </c>
      <c r="D38" s="220"/>
      <c r="E38" s="220"/>
      <c r="F38" s="259">
        <f>'数据-取费表'!B36</f>
        <v>1.4999999999999999E-2</v>
      </c>
      <c r="G38" s="219" t="s">
        <v>1528</v>
      </c>
    </row>
    <row r="39" spans="1:7" s="214" customFormat="1" ht="13.5" customHeight="1">
      <c r="A39" s="255" t="s">
        <v>1534</v>
      </c>
      <c r="B39" s="210" t="s">
        <v>1535</v>
      </c>
      <c r="C39" s="232">
        <f ca="1">ROUND(C33*F20,0)</f>
        <v>7971515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16871711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16540893</v>
      </c>
      <c r="D42" s="238"/>
      <c r="E42" s="238"/>
      <c r="F42" s="239"/>
      <c r="G42" s="3699" t="s">
        <v>1591</v>
      </c>
    </row>
    <row r="43" spans="1:7" ht="13.5" customHeight="1">
      <c r="A43" s="780" t="s">
        <v>347</v>
      </c>
      <c r="B43" s="215" t="s">
        <v>1545</v>
      </c>
      <c r="C43" s="238">
        <f ca="1">ROUND(IF('数据-取费表'!B22&lt;=1,C39*F22*'数据-取费表'!B20/2,C39*(POWER((1+F22),'数据-取费表'!B20/2)-1)),0)</f>
        <v>330818</v>
      </c>
      <c r="D43" s="238"/>
      <c r="E43" s="238"/>
      <c r="F43" s="239"/>
      <c r="G43" s="3700"/>
    </row>
    <row r="44" spans="1:7" ht="13.5" customHeight="1">
      <c r="A44" s="780" t="s">
        <v>348</v>
      </c>
      <c r="B44" s="215" t="s">
        <v>1546</v>
      </c>
      <c r="C44" s="238">
        <f ca="1">ROUND(IF('数据-取费表'!B22&lt;=1,C40*F22*'数据-取费表'!B20/2,C40*(POWER((1+F22),'数据-取费表'!B20/2)-1)),4)</f>
        <v>8.0000000000000004E-4</v>
      </c>
      <c r="D44" s="238"/>
      <c r="E44" s="238"/>
      <c r="F44" s="239"/>
      <c r="G44" s="3701"/>
    </row>
    <row r="45" spans="1:7" s="214" customFormat="1" ht="13.5" customHeight="1">
      <c r="A45" s="255" t="s">
        <v>1547</v>
      </c>
      <c r="B45" s="244" t="s">
        <v>1513</v>
      </c>
      <c r="C45" s="245">
        <f ca="1">C46</f>
        <v>44720197</v>
      </c>
      <c r="D45" s="235">
        <f ca="1">C47</f>
        <v>2.2000000000000001E-3</v>
      </c>
      <c r="E45" s="236" t="s">
        <v>1539</v>
      </c>
      <c r="F45" s="246">
        <f ca="1">F27</f>
        <v>0.11</v>
      </c>
      <c r="G45" s="247" t="s">
        <v>1548</v>
      </c>
    </row>
    <row r="46" spans="1:7" s="214" customFormat="1" ht="13.5" customHeight="1">
      <c r="A46" s="780" t="s">
        <v>346</v>
      </c>
      <c r="B46" s="248" t="s">
        <v>1549</v>
      </c>
      <c r="C46" s="249">
        <f ca="1">ROUND((C33+C39)*F27,0)</f>
        <v>44720197</v>
      </c>
      <c r="D46" s="263"/>
      <c r="E46" s="236"/>
      <c r="F46" s="246"/>
      <c r="G46" s="247"/>
    </row>
    <row r="47" spans="1:7" s="214" customFormat="1" ht="13.5" customHeight="1">
      <c r="A47" s="780" t="s">
        <v>347</v>
      </c>
      <c r="B47" s="248" t="s">
        <v>1550</v>
      </c>
      <c r="C47" s="238">
        <f ca="1">ROUND(C40*F27,4)</f>
        <v>2.2000000000000001E-3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506315330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506315330</v>
      </c>
      <c r="D51" s="232"/>
      <c r="E51" s="232"/>
      <c r="F51" s="264"/>
      <c r="G51" s="234" t="s">
        <v>1560</v>
      </c>
    </row>
    <row r="52" spans="1:7" s="208" customFormat="1" ht="16.5" thickBot="1">
      <c r="A52" s="265" t="s">
        <v>1561</v>
      </c>
      <c r="B52" s="266"/>
      <c r="C52" s="267">
        <f ca="1">C31+C51</f>
        <v>515522660</v>
      </c>
      <c r="D52" s="266"/>
      <c r="E52" s="266"/>
      <c r="F52" s="266"/>
      <c r="G52" s="268"/>
    </row>
    <row r="55" spans="1:7" ht="15">
      <c r="B55" s="270" t="s">
        <v>1562</v>
      </c>
      <c r="C55" s="271"/>
    </row>
    <row r="56" spans="1:7">
      <c r="B56" s="273" t="s">
        <v>802</v>
      </c>
      <c r="C56" s="275">
        <f ca="1">1-C57</f>
        <v>1.8000000000000016E-2</v>
      </c>
    </row>
    <row r="57" spans="1:7">
      <c r="B57" s="273" t="s">
        <v>803</v>
      </c>
      <c r="C57" s="274">
        <f ca="1">ROUND(C51/C52,3)</f>
        <v>0.98199999999999998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27" zoomScale="85" zoomScaleNormal="60" zoomScaleSheetLayoutView="85" workbookViewId="0">
      <selection activeCell="M45" sqref="M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82922</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11862</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20" t="s">
        <v>1770</v>
      </c>
      <c r="D4" s="3721"/>
      <c r="E4" s="3722" t="s">
        <v>1771</v>
      </c>
      <c r="F4" s="3723"/>
      <c r="G4" s="3720" t="s">
        <v>1772</v>
      </c>
      <c r="H4" s="3721"/>
      <c r="I4" s="3720" t="s">
        <v>1773</v>
      </c>
      <c r="J4" s="3721"/>
      <c r="K4" s="559" t="s">
        <v>1774</v>
      </c>
      <c r="L4" s="2711"/>
      <c r="M4" s="2712"/>
      <c r="N4" s="2712"/>
      <c r="O4" s="2712"/>
      <c r="P4" s="3724" t="s">
        <v>1775</v>
      </c>
      <c r="Q4" s="3725"/>
      <c r="R4" s="3707" t="s">
        <v>1771</v>
      </c>
      <c r="S4" s="3708"/>
      <c r="T4" s="3707" t="s">
        <v>1772</v>
      </c>
      <c r="U4" s="3708"/>
      <c r="V4" s="3732" t="s">
        <v>1773</v>
      </c>
      <c r="W4" s="3732"/>
      <c r="X4" s="1354"/>
      <c r="Y4" s="3707" t="s">
        <v>1775</v>
      </c>
      <c r="Z4" s="3708"/>
      <c r="AA4" s="3702" t="s">
        <v>1771</v>
      </c>
      <c r="AB4" s="3703" t="s">
        <v>1772</v>
      </c>
      <c r="AC4" s="3702" t="s">
        <v>1773</v>
      </c>
    </row>
    <row r="5" spans="1:30" ht="15">
      <c r="A5" s="358"/>
      <c r="B5" s="359"/>
      <c r="C5" s="3713" t="s">
        <v>1673</v>
      </c>
      <c r="D5" s="3714"/>
      <c r="E5" s="3711" t="str">
        <f>土地案例!A3</f>
        <v>北京市顺义区顺义新城第1街区SY00-0001-0320地块R2二类居住用地</v>
      </c>
      <c r="F5" s="3712"/>
      <c r="G5" s="3713" t="str">
        <f>土地案例!A6</f>
        <v>北京市顺义区顺义新城第13街区SY00-0013-6050、6053地块二类居住用地</v>
      </c>
      <c r="H5" s="3714"/>
      <c r="I5" s="3713" t="str">
        <f>土地案例!A10</f>
        <v>北京市顺义区顺义新城第13街区SY00-0013-6060、6066、6067地块二类居住用地、6058地块商业用地、6063地块综合性商业金融服务业用地、6065地块托幼用地</v>
      </c>
      <c r="J5" s="3714"/>
      <c r="K5" s="559"/>
      <c r="L5" s="2711"/>
      <c r="M5" s="2712"/>
      <c r="N5" s="2712"/>
      <c r="O5" s="2712"/>
      <c r="P5" s="3726"/>
      <c r="Q5" s="3727"/>
      <c r="R5" s="3709"/>
      <c r="S5" s="3710"/>
      <c r="T5" s="3709"/>
      <c r="U5" s="3710"/>
      <c r="V5" s="3732"/>
      <c r="W5" s="3732"/>
      <c r="X5" s="1354"/>
      <c r="Y5" s="3709"/>
      <c r="Z5" s="3710"/>
      <c r="AA5" s="3703"/>
      <c r="AB5" s="3703"/>
      <c r="AC5" s="3703"/>
    </row>
    <row r="6" spans="1:30" ht="15.75" thickBot="1">
      <c r="A6" s="360"/>
      <c r="B6" s="361"/>
      <c r="C6" s="3715" t="s">
        <v>1677</v>
      </c>
      <c r="D6" s="3716"/>
      <c r="E6" s="3717" t="s">
        <v>1677</v>
      </c>
      <c r="F6" s="3718"/>
      <c r="G6" s="3715" t="s">
        <v>1677</v>
      </c>
      <c r="H6" s="3716"/>
      <c r="I6" s="3715" t="s">
        <v>1677</v>
      </c>
      <c r="J6" s="3716"/>
      <c r="K6" s="559" t="s">
        <v>1678</v>
      </c>
      <c r="L6" s="2711"/>
      <c r="M6" s="2712"/>
      <c r="N6" s="2712"/>
      <c r="O6" s="2712"/>
      <c r="P6" s="3728"/>
      <c r="Q6" s="3729"/>
      <c r="R6" s="3709"/>
      <c r="S6" s="3710"/>
      <c r="T6" s="3730"/>
      <c r="U6" s="3731"/>
      <c r="V6" s="3732"/>
      <c r="W6" s="3732"/>
      <c r="X6" s="1354"/>
      <c r="Y6" s="3730"/>
      <c r="Z6" s="3731"/>
      <c r="AA6" s="3704"/>
      <c r="AB6" s="3704"/>
      <c r="AC6" s="3704"/>
    </row>
    <row r="7" spans="1:30" s="108" customFormat="1" ht="15.75" thickBot="1">
      <c r="A7" s="362" t="s">
        <v>1679</v>
      </c>
      <c r="B7" s="363"/>
      <c r="C7" s="364">
        <f>'数据-取费表'!B2</f>
        <v>45063</v>
      </c>
      <c r="D7" s="365">
        <v>100</v>
      </c>
      <c r="E7" s="366" t="str">
        <f>土地案例!K3</f>
        <v>2022-09-22</v>
      </c>
      <c r="F7" s="367">
        <f>SUMIF(69:69,YEAR(E7)&amp;"-"&amp;INT((MONTH(E7)+2)/3),70:70)</f>
        <v>98.5</v>
      </c>
      <c r="G7" s="1970" t="str">
        <f>土地案例!K6</f>
        <v>2022-02-16</v>
      </c>
      <c r="H7" s="365">
        <f>SUMIF(69:69,YEAR(G7)&amp;"-"&amp;INT((MONTH(G7)+2)/3),70:70)</f>
        <v>97.5</v>
      </c>
      <c r="I7" s="1970" t="str">
        <f>土地案例!K10</f>
        <v>2021-01-26</v>
      </c>
      <c r="J7" s="365">
        <f>SUMIF(69:69,YEAR(I7)&amp;"-"&amp;INT((MONTH(I7)+2)/3),70:70)</f>
        <v>95.5</v>
      </c>
      <c r="K7" s="560"/>
      <c r="L7" s="2713"/>
      <c r="M7" s="2714"/>
      <c r="N7" s="2714"/>
      <c r="O7" s="2714"/>
      <c r="P7" s="3705" t="s">
        <v>1680</v>
      </c>
      <c r="Q7" s="3733"/>
      <c r="R7" s="701" t="s">
        <v>14</v>
      </c>
      <c r="S7" s="702">
        <f t="shared" ref="S7:S15" si="0">F7</f>
        <v>98.5</v>
      </c>
      <c r="T7" s="701" t="s">
        <v>14</v>
      </c>
      <c r="U7" s="702">
        <f t="shared" ref="U7:U15" si="1">H7</f>
        <v>97.5</v>
      </c>
      <c r="V7" s="701" t="s">
        <v>14</v>
      </c>
      <c r="W7" s="702">
        <f t="shared" ref="W7:W15" si="2">J7</f>
        <v>95.5</v>
      </c>
      <c r="X7" s="703"/>
      <c r="Y7" s="3705" t="s">
        <v>1680</v>
      </c>
      <c r="Z7" s="3706"/>
      <c r="AA7" s="704">
        <f>D7/F7</f>
        <v>1.015228426395939</v>
      </c>
      <c r="AB7" s="704">
        <f>D7/H7</f>
        <v>1.0256410256410255</v>
      </c>
      <c r="AC7" s="704">
        <f>D7/J7</f>
        <v>1.0471204188481675</v>
      </c>
    </row>
    <row r="8" spans="1:30" s="108" customFormat="1" ht="15.75" thickBot="1">
      <c r="A8" s="362" t="s">
        <v>1681</v>
      </c>
      <c r="B8" s="363"/>
      <c r="C8" s="368" t="s">
        <v>1682</v>
      </c>
      <c r="D8" s="365">
        <v>100</v>
      </c>
      <c r="E8" s="3462" t="s">
        <v>3540</v>
      </c>
      <c r="F8" s="367">
        <f>SUMIF(72:72,E8,73:73)-SUMIF(72:72,C8,73:73)+100</f>
        <v>100</v>
      </c>
      <c r="G8" s="3462" t="s">
        <v>3540</v>
      </c>
      <c r="H8" s="365">
        <f>SUMIF(72:72,G8,73:73)-SUMIF(72:72,C8,73:73)+100</f>
        <v>100</v>
      </c>
      <c r="I8" s="3462" t="s">
        <v>3540</v>
      </c>
      <c r="J8" s="365">
        <f>SUMIF(72:72,I8,73:73)-SUMIF(72:72,C8,73:73)+100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45" si="3">D8/F8</f>
        <v>1</v>
      </c>
      <c r="AB8" s="704">
        <f t="shared" ref="AB8:AB45" si="4">D8/H8</f>
        <v>1</v>
      </c>
      <c r="AC8" s="704">
        <f t="shared" ref="AC8:AC45" si="5">D8/J8</f>
        <v>1</v>
      </c>
    </row>
    <row r="9" spans="1:30" s="108" customFormat="1" ht="15">
      <c r="A9" s="369" t="s">
        <v>1684</v>
      </c>
      <c r="B9" s="63" t="s">
        <v>1685</v>
      </c>
      <c r="C9" s="3463" t="s">
        <v>3541</v>
      </c>
      <c r="D9" s="126">
        <v>100</v>
      </c>
      <c r="E9" s="3463" t="s">
        <v>3542</v>
      </c>
      <c r="F9" s="126">
        <f>SUMIF(74:74,E9,75:75)-SUMIF(74:74,C9,75:75)+100</f>
        <v>100</v>
      </c>
      <c r="G9" s="3463" t="s">
        <v>3542</v>
      </c>
      <c r="H9" s="126">
        <f>SUMIF(74:74,G9,75:75)-SUMIF(74:74,C9,75:75)+100</f>
        <v>100</v>
      </c>
      <c r="I9" s="3463" t="s">
        <v>5023</v>
      </c>
      <c r="J9" s="126">
        <f>SUMIF(74:74,I9,75:75)-SUMIF(74:74,C9,75:75)+100</f>
        <v>95</v>
      </c>
      <c r="K9" s="560"/>
      <c r="L9" s="2713"/>
      <c r="M9" s="2714"/>
      <c r="N9" s="2714"/>
      <c r="O9" s="2768"/>
      <c r="P9" s="3719" t="s">
        <v>1686</v>
      </c>
      <c r="Q9" s="1342" t="str">
        <f t="shared" ref="Q9:Q15" si="6">B9</f>
        <v>用途</v>
      </c>
      <c r="R9" s="701" t="s">
        <v>14</v>
      </c>
      <c r="S9" s="702">
        <f t="shared" si="0"/>
        <v>100</v>
      </c>
      <c r="T9" s="701" t="s">
        <v>14</v>
      </c>
      <c r="U9" s="702">
        <f t="shared" si="1"/>
        <v>100</v>
      </c>
      <c r="V9" s="701" t="s">
        <v>14</v>
      </c>
      <c r="W9" s="702">
        <f t="shared" si="2"/>
        <v>95</v>
      </c>
      <c r="X9" s="703"/>
      <c r="Y9" s="3675" t="s">
        <v>1687</v>
      </c>
      <c r="Z9" s="52" t="str">
        <f t="shared" ref="Z9:Z15" si="7">Q9</f>
        <v>用途</v>
      </c>
      <c r="AA9" s="704">
        <f t="shared" si="3"/>
        <v>1</v>
      </c>
      <c r="AB9" s="704">
        <f t="shared" si="4"/>
        <v>1</v>
      </c>
      <c r="AC9" s="704">
        <f t="shared" si="5"/>
        <v>1.0526315789473684</v>
      </c>
    </row>
    <row r="10" spans="1:30" s="378" customFormat="1" ht="27">
      <c r="A10" s="374"/>
      <c r="B10" s="375" t="s">
        <v>1688</v>
      </c>
      <c r="C10" s="383">
        <f>项目基本情况!C15</f>
        <v>68.81</v>
      </c>
      <c r="D10" s="127">
        <v>100</v>
      </c>
      <c r="E10" s="416" t="s">
        <v>3543</v>
      </c>
      <c r="F10" s="127">
        <f>ROUND(100/'数据-取费表'!G16,0)</f>
        <v>100</v>
      </c>
      <c r="G10" s="414" t="s">
        <v>3543</v>
      </c>
      <c r="H10" s="127">
        <f>ROUND(100/'数据-取费表'!G16,0)</f>
        <v>100</v>
      </c>
      <c r="I10" s="414" t="s">
        <v>3543</v>
      </c>
      <c r="J10" s="127">
        <f>ROUND(100/'数据-取费表'!G16,0)</f>
        <v>100</v>
      </c>
      <c r="K10" s="620"/>
      <c r="L10" s="2715"/>
      <c r="M10" s="2716"/>
      <c r="N10" s="2716"/>
      <c r="O10" s="2769"/>
      <c r="P10" s="3719"/>
      <c r="Q10" s="1342" t="str">
        <f t="shared" si="6"/>
        <v>土地使用年限（年）</v>
      </c>
      <c r="R10" s="701" t="s">
        <v>14</v>
      </c>
      <c r="S10" s="702">
        <f t="shared" si="0"/>
        <v>100</v>
      </c>
      <c r="T10" s="701" t="s">
        <v>14</v>
      </c>
      <c r="U10" s="702">
        <f t="shared" si="1"/>
        <v>100</v>
      </c>
      <c r="V10" s="701" t="s">
        <v>14</v>
      </c>
      <c r="W10" s="702">
        <f t="shared" si="2"/>
        <v>100</v>
      </c>
      <c r="X10" s="703"/>
      <c r="Y10" s="3675"/>
      <c r="Z10" s="52" t="str">
        <f t="shared" si="7"/>
        <v>土地使用年限（年）</v>
      </c>
      <c r="AA10" s="704">
        <f t="shared" si="3"/>
        <v>1</v>
      </c>
      <c r="AB10" s="704">
        <f t="shared" si="4"/>
        <v>1</v>
      </c>
      <c r="AC10" s="704">
        <f t="shared" si="5"/>
        <v>1</v>
      </c>
    </row>
    <row r="11" spans="1:30" ht="15">
      <c r="A11" s="379"/>
      <c r="B11" s="375" t="s">
        <v>1689</v>
      </c>
      <c r="C11" s="380">
        <v>2</v>
      </c>
      <c r="D11" s="127">
        <v>100</v>
      </c>
      <c r="E11" s="380">
        <v>1.6</v>
      </c>
      <c r="F11" s="127">
        <f>LOOKUP(E11,79:79,80:80)-LOOKUP(C11,79:79,80:80)+100</f>
        <v>102</v>
      </c>
      <c r="G11" s="381">
        <v>1.6</v>
      </c>
      <c r="H11" s="127">
        <f>LOOKUP(G11,79:79,80:80)-LOOKUP(C11,79:79,80:80)+100</f>
        <v>102</v>
      </c>
      <c r="I11" s="380">
        <v>1.75</v>
      </c>
      <c r="J11" s="127">
        <f>LOOKUP(I11,79:79,80:80)-LOOKUP(C11,79:79,80:80)+100</f>
        <v>102</v>
      </c>
      <c r="K11" s="621">
        <v>2</v>
      </c>
      <c r="L11" s="2717"/>
      <c r="M11" s="2712"/>
      <c r="N11" s="2712"/>
      <c r="O11" s="2770"/>
      <c r="P11" s="3719"/>
      <c r="Q11" s="1342" t="str">
        <f t="shared" si="6"/>
        <v>容积率</v>
      </c>
      <c r="R11" s="701" t="s">
        <v>14</v>
      </c>
      <c r="S11" s="702">
        <f t="shared" si="0"/>
        <v>102</v>
      </c>
      <c r="T11" s="701" t="s">
        <v>14</v>
      </c>
      <c r="U11" s="702">
        <f t="shared" si="1"/>
        <v>102</v>
      </c>
      <c r="V11" s="701" t="s">
        <v>14</v>
      </c>
      <c r="W11" s="702">
        <f t="shared" si="2"/>
        <v>102</v>
      </c>
      <c r="X11" s="703"/>
      <c r="Y11" s="3675"/>
      <c r="Z11" s="52" t="str">
        <f t="shared" si="7"/>
        <v>容积率</v>
      </c>
      <c r="AA11" s="704">
        <f t="shared" si="3"/>
        <v>0.98039215686274506</v>
      </c>
      <c r="AB11" s="704">
        <f t="shared" si="4"/>
        <v>0.98039215686274506</v>
      </c>
      <c r="AC11" s="704">
        <f t="shared" si="5"/>
        <v>0.98039215686274506</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9"/>
      <c r="Q12" s="1342" t="str">
        <f t="shared" si="6"/>
        <v>配建</v>
      </c>
      <c r="R12" s="701" t="s">
        <v>14</v>
      </c>
      <c r="S12" s="702">
        <f t="shared" si="0"/>
        <v>100</v>
      </c>
      <c r="T12" s="701" t="s">
        <v>14</v>
      </c>
      <c r="U12" s="702">
        <f t="shared" si="1"/>
        <v>100</v>
      </c>
      <c r="V12" s="701" t="s">
        <v>14</v>
      </c>
      <c r="W12" s="702">
        <f t="shared" si="2"/>
        <v>100</v>
      </c>
      <c r="X12" s="703"/>
      <c r="Y12" s="367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9"/>
      <c r="Q13" s="1342">
        <f t="shared" si="6"/>
        <v>111</v>
      </c>
      <c r="R13" s="701" t="s">
        <v>14</v>
      </c>
      <c r="S13" s="702">
        <f t="shared" si="0"/>
        <v>100</v>
      </c>
      <c r="T13" s="701" t="s">
        <v>14</v>
      </c>
      <c r="U13" s="702">
        <f t="shared" si="1"/>
        <v>100</v>
      </c>
      <c r="V13" s="701" t="s">
        <v>14</v>
      </c>
      <c r="W13" s="702">
        <f t="shared" si="2"/>
        <v>100</v>
      </c>
      <c r="X13" s="703"/>
      <c r="Y13" s="367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9"/>
      <c r="Q14" s="1342">
        <f t="shared" si="6"/>
        <v>111</v>
      </c>
      <c r="R14" s="701" t="s">
        <v>14</v>
      </c>
      <c r="S14" s="702">
        <f t="shared" si="0"/>
        <v>100</v>
      </c>
      <c r="T14" s="701" t="s">
        <v>14</v>
      </c>
      <c r="U14" s="702">
        <f t="shared" si="1"/>
        <v>100</v>
      </c>
      <c r="V14" s="701" t="s">
        <v>14</v>
      </c>
      <c r="W14" s="702">
        <f t="shared" si="2"/>
        <v>100</v>
      </c>
      <c r="X14" s="703"/>
      <c r="Y14" s="3675"/>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4" t="s">
        <v>1691</v>
      </c>
      <c r="Q15" s="1351" t="str">
        <f t="shared" si="6"/>
        <v>居住社区成熟度</v>
      </c>
      <c r="R15" s="705" t="s">
        <v>14</v>
      </c>
      <c r="S15" s="706">
        <f t="shared" si="0"/>
        <v>100</v>
      </c>
      <c r="T15" s="705" t="s">
        <v>14</v>
      </c>
      <c r="U15" s="706">
        <f t="shared" si="1"/>
        <v>100</v>
      </c>
      <c r="V15" s="705" t="s">
        <v>14</v>
      </c>
      <c r="W15" s="706">
        <f t="shared" si="2"/>
        <v>100</v>
      </c>
      <c r="X15" s="1354"/>
      <c r="Y15" s="3734" t="s">
        <v>1691</v>
      </c>
      <c r="Z15" s="1355" t="str">
        <f t="shared" si="7"/>
        <v>居住社区成熟度</v>
      </c>
      <c r="AA15" s="1352">
        <f t="shared" si="3"/>
        <v>1</v>
      </c>
      <c r="AB15" s="1352">
        <f t="shared" si="4"/>
        <v>1</v>
      </c>
      <c r="AC15" s="1352">
        <f t="shared" si="5"/>
        <v>1</v>
      </c>
    </row>
    <row r="16" spans="1:30" ht="15">
      <c r="A16" s="379"/>
      <c r="B16" s="397"/>
      <c r="C16" s="398" t="s">
        <v>3544</v>
      </c>
      <c r="D16" s="399"/>
      <c r="E16" s="3464" t="s">
        <v>3545</v>
      </c>
      <c r="F16" s="399"/>
      <c r="G16" s="3464" t="s">
        <v>3545</v>
      </c>
      <c r="H16" s="401"/>
      <c r="I16" s="3465" t="s">
        <v>3545</v>
      </c>
      <c r="J16" s="399"/>
      <c r="K16" s="620"/>
      <c r="L16" s="2718"/>
      <c r="M16" s="2712"/>
      <c r="N16" s="2712"/>
      <c r="O16" s="2770"/>
      <c r="P16" s="3735"/>
      <c r="Q16" s="1351"/>
      <c r="R16" s="705"/>
      <c r="S16" s="706"/>
      <c r="T16" s="705"/>
      <c r="U16" s="706"/>
      <c r="V16" s="705"/>
      <c r="W16" s="706"/>
      <c r="X16" s="1354"/>
      <c r="Y16" s="3735"/>
      <c r="Z16" s="1355"/>
      <c r="AA16" s="1352">
        <v>1</v>
      </c>
      <c r="AB16" s="1352">
        <v>1</v>
      </c>
      <c r="AC16" s="1352">
        <v>1</v>
      </c>
    </row>
    <row r="17" spans="1:29" ht="71.25" hidden="1">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5"/>
      <c r="Q17" s="1351" t="str">
        <f>B17</f>
        <v>商业繁华度</v>
      </c>
      <c r="R17" s="705" t="s">
        <v>14</v>
      </c>
      <c r="S17" s="706">
        <f>F17</f>
        <v>100</v>
      </c>
      <c r="T17" s="705" t="s">
        <v>14</v>
      </c>
      <c r="U17" s="706">
        <f>H17</f>
        <v>100</v>
      </c>
      <c r="V17" s="705" t="s">
        <v>14</v>
      </c>
      <c r="W17" s="706">
        <f>J17</f>
        <v>100</v>
      </c>
      <c r="X17" s="1354"/>
      <c r="Y17" s="3735"/>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20"/>
      <c r="L18" s="2718"/>
      <c r="M18" s="2712"/>
      <c r="N18" s="2712"/>
      <c r="O18" s="2770"/>
      <c r="P18" s="3735"/>
      <c r="Q18" s="1351"/>
      <c r="R18" s="705"/>
      <c r="S18" s="706"/>
      <c r="T18" s="705"/>
      <c r="U18" s="706"/>
      <c r="V18" s="705"/>
      <c r="W18" s="706"/>
      <c r="X18" s="1354"/>
      <c r="Y18" s="3735"/>
      <c r="Z18" s="1355"/>
      <c r="AA18" s="1352">
        <v>1</v>
      </c>
      <c r="AB18" s="1352">
        <v>1</v>
      </c>
      <c r="AC18" s="1352">
        <v>1</v>
      </c>
    </row>
    <row r="19" spans="1:29" ht="71.25" hidden="1">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5"/>
      <c r="Q19" s="1351" t="str">
        <f>B19</f>
        <v>办公集聚程度</v>
      </c>
      <c r="R19" s="705" t="s">
        <v>14</v>
      </c>
      <c r="S19" s="706">
        <f>F19</f>
        <v>100</v>
      </c>
      <c r="T19" s="705" t="s">
        <v>14</v>
      </c>
      <c r="U19" s="706">
        <f>H19</f>
        <v>100</v>
      </c>
      <c r="V19" s="705" t="s">
        <v>14</v>
      </c>
      <c r="W19" s="706">
        <f>J19</f>
        <v>100</v>
      </c>
      <c r="X19" s="1354"/>
      <c r="Y19" s="3735"/>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20"/>
      <c r="L20" s="2718"/>
      <c r="M20" s="2712"/>
      <c r="N20" s="2712"/>
      <c r="O20" s="2770"/>
      <c r="P20" s="3735"/>
      <c r="Q20" s="1351"/>
      <c r="R20" s="705"/>
      <c r="S20" s="706"/>
      <c r="T20" s="705"/>
      <c r="U20" s="706"/>
      <c r="V20" s="705"/>
      <c r="W20" s="706"/>
      <c r="X20" s="1354"/>
      <c r="Y20" s="3735"/>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5"/>
      <c r="Q21" s="1351" t="str">
        <f>B21</f>
        <v>交通便捷度</v>
      </c>
      <c r="R21" s="705" t="s">
        <v>14</v>
      </c>
      <c r="S21" s="706">
        <f>F21</f>
        <v>100</v>
      </c>
      <c r="T21" s="705" t="s">
        <v>14</v>
      </c>
      <c r="U21" s="706">
        <f>H21</f>
        <v>100</v>
      </c>
      <c r="V21" s="705" t="s">
        <v>14</v>
      </c>
      <c r="W21" s="706">
        <f>J21</f>
        <v>100</v>
      </c>
      <c r="X21" s="1354"/>
      <c r="Y21" s="3735"/>
      <c r="Z21" s="1355" t="str">
        <f>Q21</f>
        <v>交通便捷度</v>
      </c>
      <c r="AA21" s="1352">
        <f t="shared" si="3"/>
        <v>1</v>
      </c>
      <c r="AB21" s="1352">
        <f t="shared" si="4"/>
        <v>1</v>
      </c>
      <c r="AC21" s="1352">
        <f t="shared" si="5"/>
        <v>1</v>
      </c>
    </row>
    <row r="22" spans="1:29" ht="15">
      <c r="A22" s="379"/>
      <c r="B22" s="1131"/>
      <c r="C22" s="3466" t="s">
        <v>3546</v>
      </c>
      <c r="D22" s="401"/>
      <c r="E22" s="3464" t="s">
        <v>3546</v>
      </c>
      <c r="F22" s="399"/>
      <c r="G22" s="3464" t="s">
        <v>3546</v>
      </c>
      <c r="H22" s="399"/>
      <c r="I22" s="3465" t="s">
        <v>3546</v>
      </c>
      <c r="J22" s="399"/>
      <c r="K22" s="620"/>
      <c r="L22" s="2718"/>
      <c r="M22" s="2712"/>
      <c r="N22" s="2712"/>
      <c r="O22" s="2770"/>
      <c r="P22" s="3735"/>
      <c r="Q22" s="1351"/>
      <c r="R22" s="705"/>
      <c r="S22" s="706"/>
      <c r="T22" s="705"/>
      <c r="U22" s="706"/>
      <c r="V22" s="705"/>
      <c r="W22" s="706"/>
      <c r="X22" s="1354"/>
      <c r="Y22" s="3735"/>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5"/>
      <c r="Q23" s="1351" t="str">
        <f t="shared" ref="Q23:Q37" si="8">B23</f>
        <v>区域土地利用方向</v>
      </c>
      <c r="R23" s="705" t="s">
        <v>14</v>
      </c>
      <c r="S23" s="706">
        <f>F23</f>
        <v>100</v>
      </c>
      <c r="T23" s="705" t="s">
        <v>14</v>
      </c>
      <c r="U23" s="706">
        <f>H23</f>
        <v>100</v>
      </c>
      <c r="V23" s="705" t="s">
        <v>14</v>
      </c>
      <c r="W23" s="706">
        <f>J23</f>
        <v>100</v>
      </c>
      <c r="X23" s="1354"/>
      <c r="Y23" s="3735"/>
      <c r="Z23" s="1355" t="str">
        <f>Q23</f>
        <v>区域土地利用方向</v>
      </c>
      <c r="AA23" s="1352">
        <f t="shared" si="3"/>
        <v>1</v>
      </c>
      <c r="AB23" s="1352">
        <f t="shared" si="4"/>
        <v>1</v>
      </c>
      <c r="AC23" s="1352">
        <f t="shared" si="5"/>
        <v>1</v>
      </c>
    </row>
    <row r="24" spans="1:29" ht="15">
      <c r="A24" s="358"/>
      <c r="B24" s="407"/>
      <c r="C24" s="3467" t="s">
        <v>3545</v>
      </c>
      <c r="D24" s="399"/>
      <c r="E24" s="3464" t="s">
        <v>3545</v>
      </c>
      <c r="F24" s="399"/>
      <c r="G24" s="3465" t="s">
        <v>3545</v>
      </c>
      <c r="H24" s="399"/>
      <c r="I24" s="3465" t="s">
        <v>3545</v>
      </c>
      <c r="J24" s="399"/>
      <c r="K24" s="740"/>
      <c r="L24" s="2718"/>
      <c r="M24" s="2712"/>
      <c r="N24" s="2712"/>
      <c r="O24" s="2770"/>
      <c r="P24" s="3735"/>
      <c r="Q24" s="1351"/>
      <c r="R24" s="705"/>
      <c r="S24" s="706"/>
      <c r="T24" s="705"/>
      <c r="U24" s="706"/>
      <c r="V24" s="705"/>
      <c r="W24" s="706"/>
      <c r="X24" s="1354"/>
      <c r="Y24" s="3735"/>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5"/>
      <c r="Q25" s="1351" t="str">
        <f t="shared" si="8"/>
        <v>自然及人文环境状况</v>
      </c>
      <c r="R25" s="705" t="s">
        <v>14</v>
      </c>
      <c r="S25" s="706">
        <f>F25</f>
        <v>100</v>
      </c>
      <c r="T25" s="705" t="s">
        <v>14</v>
      </c>
      <c r="U25" s="706">
        <f>H25</f>
        <v>100</v>
      </c>
      <c r="V25" s="705" t="s">
        <v>14</v>
      </c>
      <c r="W25" s="706">
        <f>J25</f>
        <v>100</v>
      </c>
      <c r="X25" s="1354"/>
      <c r="Y25" s="3735"/>
      <c r="Z25" s="1355" t="str">
        <f>Q25</f>
        <v>自然及人文环境状况</v>
      </c>
      <c r="AA25" s="1352">
        <f t="shared" si="3"/>
        <v>1</v>
      </c>
      <c r="AB25" s="1352">
        <f t="shared" si="4"/>
        <v>1</v>
      </c>
      <c r="AC25" s="1352">
        <f t="shared" si="5"/>
        <v>1</v>
      </c>
    </row>
    <row r="26" spans="1:29" ht="15">
      <c r="A26" s="358"/>
      <c r="B26" s="407"/>
      <c r="C26" s="3466" t="s">
        <v>3545</v>
      </c>
      <c r="D26" s="399"/>
      <c r="E26" s="3468" t="s">
        <v>3545</v>
      </c>
      <c r="F26" s="399"/>
      <c r="G26" s="3468" t="s">
        <v>3545</v>
      </c>
      <c r="H26" s="399"/>
      <c r="I26" s="3466" t="s">
        <v>3545</v>
      </c>
      <c r="J26" s="399"/>
      <c r="K26" s="620"/>
      <c r="L26" s="2718"/>
      <c r="M26" s="2712"/>
      <c r="N26" s="2712"/>
      <c r="O26" s="2770"/>
      <c r="P26" s="3735"/>
      <c r="Q26" s="1351"/>
      <c r="R26" s="705"/>
      <c r="S26" s="706"/>
      <c r="T26" s="705"/>
      <c r="U26" s="706"/>
      <c r="V26" s="705"/>
      <c r="W26" s="706"/>
      <c r="X26" s="1354"/>
      <c r="Y26" s="3735"/>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5"/>
      <c r="Q27" s="1342" t="str">
        <f t="shared" si="8"/>
        <v>公共配套设施</v>
      </c>
      <c r="R27" s="701" t="s">
        <v>14</v>
      </c>
      <c r="S27" s="702">
        <f>F27</f>
        <v>100</v>
      </c>
      <c r="T27" s="701" t="s">
        <v>14</v>
      </c>
      <c r="U27" s="702">
        <f>H27</f>
        <v>100</v>
      </c>
      <c r="V27" s="701" t="s">
        <v>14</v>
      </c>
      <c r="W27" s="702">
        <f>J27</f>
        <v>100</v>
      </c>
      <c r="X27" s="703"/>
      <c r="Y27" s="3735"/>
      <c r="Z27" s="52" t="str">
        <f>Q27</f>
        <v>公共配套设施</v>
      </c>
      <c r="AA27" s="1352">
        <f>D27/F27</f>
        <v>1</v>
      </c>
      <c r="AB27" s="1352">
        <f>D27/H27</f>
        <v>1</v>
      </c>
      <c r="AC27" s="1352">
        <f>D27/J27</f>
        <v>1</v>
      </c>
    </row>
    <row r="28" spans="1:29" s="108" customFormat="1" ht="15">
      <c r="A28" s="597"/>
      <c r="B28" s="407"/>
      <c r="C28" s="3469" t="s">
        <v>3545</v>
      </c>
      <c r="D28" s="399"/>
      <c r="E28" s="3468" t="s">
        <v>3545</v>
      </c>
      <c r="F28" s="399"/>
      <c r="G28" s="3468" t="s">
        <v>3545</v>
      </c>
      <c r="H28" s="399"/>
      <c r="I28" s="3466" t="s">
        <v>3545</v>
      </c>
      <c r="J28" s="399"/>
      <c r="K28" s="620"/>
      <c r="L28" s="2713"/>
      <c r="M28" s="2714"/>
      <c r="N28" s="2714"/>
      <c r="O28" s="2768"/>
      <c r="P28" s="3735"/>
      <c r="Q28" s="1342"/>
      <c r="R28" s="701"/>
      <c r="S28" s="702"/>
      <c r="T28" s="701"/>
      <c r="U28" s="702"/>
      <c r="V28" s="701"/>
      <c r="W28" s="702"/>
      <c r="X28" s="703"/>
      <c r="Y28" s="3735"/>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5"/>
      <c r="Q29" s="1342" t="str">
        <f t="shared" ref="Q29" si="9">B29</f>
        <v>基础设施水平</v>
      </c>
      <c r="R29" s="701" t="s">
        <v>14</v>
      </c>
      <c r="S29" s="702">
        <f>F29</f>
        <v>100</v>
      </c>
      <c r="T29" s="701" t="s">
        <v>14</v>
      </c>
      <c r="U29" s="702">
        <f>H29</f>
        <v>100</v>
      </c>
      <c r="V29" s="701" t="s">
        <v>14</v>
      </c>
      <c r="W29" s="702">
        <f>J29</f>
        <v>100</v>
      </c>
      <c r="X29" s="703"/>
      <c r="Y29" s="3735"/>
      <c r="Z29" s="52" t="str">
        <f>Q29</f>
        <v>基础设施水平</v>
      </c>
      <c r="AA29" s="1352">
        <f>D29/F29</f>
        <v>1</v>
      </c>
      <c r="AB29" s="1352">
        <f>D29/H29</f>
        <v>1</v>
      </c>
      <c r="AC29" s="1352">
        <f>D29/J29</f>
        <v>1</v>
      </c>
    </row>
    <row r="30" spans="1:29" s="108" customFormat="1" ht="15">
      <c r="A30" s="597"/>
      <c r="B30" s="407"/>
      <c r="C30" s="3469" t="s">
        <v>3547</v>
      </c>
      <c r="D30" s="399"/>
      <c r="E30" s="3470" t="s">
        <v>3548</v>
      </c>
      <c r="F30" s="399"/>
      <c r="G30" s="3470" t="s">
        <v>3547</v>
      </c>
      <c r="H30" s="399"/>
      <c r="I30" s="3470" t="s">
        <v>3547</v>
      </c>
      <c r="J30" s="399"/>
      <c r="K30" s="620"/>
      <c r="L30" s="2713"/>
      <c r="M30" s="2714"/>
      <c r="N30" s="2714"/>
      <c r="O30" s="2768"/>
      <c r="P30" s="3735"/>
      <c r="Q30" s="1342"/>
      <c r="R30" s="701"/>
      <c r="S30" s="702"/>
      <c r="T30" s="701"/>
      <c r="U30" s="702"/>
      <c r="V30" s="701"/>
      <c r="W30" s="702"/>
      <c r="X30" s="703"/>
      <c r="Y30" s="373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5"/>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5"/>
      <c r="Q32" s="1351" t="str">
        <f t="shared" si="8"/>
        <v>毗邻道路的类型与等级</v>
      </c>
      <c r="R32" s="705" t="s">
        <v>14</v>
      </c>
      <c r="S32" s="706">
        <f t="shared" si="10"/>
        <v>100</v>
      </c>
      <c r="T32" s="705" t="s">
        <v>14</v>
      </c>
      <c r="U32" s="706">
        <f t="shared" si="11"/>
        <v>100</v>
      </c>
      <c r="V32" s="705" t="s">
        <v>14</v>
      </c>
      <c r="W32" s="706">
        <f t="shared" si="12"/>
        <v>100</v>
      </c>
      <c r="X32" s="1354"/>
      <c r="Y32" s="3735"/>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35"/>
      <c r="Q33" s="1351"/>
      <c r="R33" s="705"/>
      <c r="S33" s="706"/>
      <c r="T33" s="705"/>
      <c r="U33" s="706"/>
      <c r="V33" s="705"/>
      <c r="W33" s="706"/>
      <c r="X33" s="1354"/>
      <c r="Y33" s="373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5"/>
      <c r="Q34" s="1351" t="str">
        <f t="shared" si="8"/>
        <v>土地级别</v>
      </c>
      <c r="R34" s="705" t="s">
        <v>14</v>
      </c>
      <c r="S34" s="706">
        <f t="shared" si="10"/>
        <v>100</v>
      </c>
      <c r="T34" s="705" t="s">
        <v>14</v>
      </c>
      <c r="U34" s="706">
        <f t="shared" si="11"/>
        <v>100</v>
      </c>
      <c r="V34" s="705" t="s">
        <v>14</v>
      </c>
      <c r="W34" s="706">
        <f t="shared" si="12"/>
        <v>100</v>
      </c>
      <c r="X34" s="1354"/>
      <c r="Y34" s="373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5"/>
      <c r="Q35" s="1351">
        <f t="shared" si="8"/>
        <v>111</v>
      </c>
      <c r="R35" s="705" t="s">
        <v>14</v>
      </c>
      <c r="S35" s="706">
        <f t="shared" si="10"/>
        <v>100</v>
      </c>
      <c r="T35" s="705" t="s">
        <v>14</v>
      </c>
      <c r="U35" s="706">
        <f t="shared" si="11"/>
        <v>100</v>
      </c>
      <c r="V35" s="705" t="s">
        <v>14</v>
      </c>
      <c r="W35" s="706">
        <f t="shared" si="12"/>
        <v>100</v>
      </c>
      <c r="X35" s="1354"/>
      <c r="Y35" s="373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6" t="s">
        <v>1696</v>
      </c>
      <c r="Q36" s="1351">
        <f t="shared" si="8"/>
        <v>111</v>
      </c>
      <c r="R36" s="705" t="s">
        <v>14</v>
      </c>
      <c r="S36" s="706">
        <f t="shared" si="10"/>
        <v>100</v>
      </c>
      <c r="T36" s="705" t="s">
        <v>14</v>
      </c>
      <c r="U36" s="706">
        <f t="shared" si="11"/>
        <v>100</v>
      </c>
      <c r="V36" s="705" t="s">
        <v>14</v>
      </c>
      <c r="W36" s="706">
        <f t="shared" si="12"/>
        <v>100</v>
      </c>
      <c r="X36" s="1354"/>
      <c r="Y36" s="373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7"/>
      <c r="Q37" s="1351">
        <f t="shared" si="8"/>
        <v>111</v>
      </c>
      <c r="R37" s="708" t="s">
        <v>14</v>
      </c>
      <c r="S37" s="709">
        <f t="shared" si="10"/>
        <v>100</v>
      </c>
      <c r="T37" s="708" t="s">
        <v>14</v>
      </c>
      <c r="U37" s="709">
        <f t="shared" si="11"/>
        <v>100</v>
      </c>
      <c r="V37" s="708" t="s">
        <v>14</v>
      </c>
      <c r="W37" s="709">
        <f t="shared" si="12"/>
        <v>100</v>
      </c>
      <c r="X37" s="710"/>
      <c r="Y37" s="3737"/>
      <c r="Z37" s="711">
        <f t="shared" si="13"/>
        <v>111</v>
      </c>
      <c r="AA37" s="1352">
        <f t="shared" si="3"/>
        <v>1</v>
      </c>
      <c r="AB37" s="1352">
        <f t="shared" si="4"/>
        <v>1</v>
      </c>
      <c r="AC37" s="1352">
        <f t="shared" si="5"/>
        <v>1</v>
      </c>
    </row>
    <row r="38" spans="1:29" ht="15">
      <c r="A38" s="423" t="s">
        <v>1694</v>
      </c>
      <c r="B38" s="407" t="s">
        <v>1874</v>
      </c>
      <c r="C38" s="627">
        <v>35639.599999999999</v>
      </c>
      <c r="D38" s="418">
        <v>100</v>
      </c>
      <c r="E38" s="627">
        <f>土地案例!D3</f>
        <v>69193.56</v>
      </c>
      <c r="F38" s="418">
        <f>LOOKUP(E38,116:116,117:117)-LOOKUP(C38,116:116,117:117)+100</f>
        <v>103</v>
      </c>
      <c r="G38" s="627">
        <f>土地案例!D6</f>
        <v>51409.62</v>
      </c>
      <c r="H38" s="418">
        <f>LOOKUP(G38,116:116,117:117)-LOOKUP(C38,116:116,117:117)+100</f>
        <v>103</v>
      </c>
      <c r="I38" s="479">
        <f>土地案例!D10</f>
        <v>125102.17</v>
      </c>
      <c r="J38" s="418">
        <f>LOOKUP(I38,116:116,117:117)-LOOKUP(C38,116:116,117:117)+100</f>
        <v>106</v>
      </c>
      <c r="K38" s="562"/>
      <c r="L38" s="2718"/>
      <c r="M38" s="2712"/>
      <c r="N38" s="2712"/>
      <c r="O38" s="2770"/>
      <c r="P38" s="3737"/>
      <c r="Q38" s="1351" t="str">
        <f>B38</f>
        <v>宗地面积</v>
      </c>
      <c r="R38" s="705" t="s">
        <v>14</v>
      </c>
      <c r="S38" s="706">
        <f t="shared" si="10"/>
        <v>103</v>
      </c>
      <c r="T38" s="705" t="s">
        <v>14</v>
      </c>
      <c r="U38" s="706">
        <f t="shared" si="11"/>
        <v>103</v>
      </c>
      <c r="V38" s="705" t="s">
        <v>14</v>
      </c>
      <c r="W38" s="706">
        <f t="shared" si="12"/>
        <v>106</v>
      </c>
      <c r="X38" s="1354"/>
      <c r="Y38" s="3737"/>
      <c r="Z38" s="1355" t="str">
        <f t="shared" si="13"/>
        <v>宗地面积</v>
      </c>
      <c r="AA38" s="1352">
        <f t="shared" si="3"/>
        <v>0.970873786407767</v>
      </c>
      <c r="AB38" s="1352">
        <f t="shared" si="4"/>
        <v>0.970873786407767</v>
      </c>
      <c r="AC38" s="1352">
        <f t="shared" si="5"/>
        <v>0.94339622641509435</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37"/>
      <c r="Q39" s="1351" t="str">
        <f t="shared" ref="Q39:Q45" si="14">B39</f>
        <v>宗地形状</v>
      </c>
      <c r="R39" s="705" t="s">
        <v>14</v>
      </c>
      <c r="S39" s="706">
        <f t="shared" si="10"/>
        <v>100</v>
      </c>
      <c r="T39" s="705" t="s">
        <v>14</v>
      </c>
      <c r="U39" s="706">
        <f t="shared" si="11"/>
        <v>100</v>
      </c>
      <c r="V39" s="705" t="s">
        <v>14</v>
      </c>
      <c r="W39" s="706">
        <f t="shared" si="12"/>
        <v>100</v>
      </c>
      <c r="X39" s="1354"/>
      <c r="Y39" s="373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37"/>
      <c r="Q40" s="1351" t="str">
        <f t="shared" si="14"/>
        <v>临街宽度及深度</v>
      </c>
      <c r="R40" s="705" t="s">
        <v>14</v>
      </c>
      <c r="S40" s="706">
        <f t="shared" si="10"/>
        <v>100</v>
      </c>
      <c r="T40" s="705" t="s">
        <v>14</v>
      </c>
      <c r="U40" s="706">
        <f t="shared" si="11"/>
        <v>100</v>
      </c>
      <c r="V40" s="705" t="s">
        <v>14</v>
      </c>
      <c r="W40" s="706">
        <f t="shared" si="12"/>
        <v>100</v>
      </c>
      <c r="X40" s="1354"/>
      <c r="Y40" s="3737"/>
      <c r="Z40" s="1355" t="str">
        <f t="shared" si="13"/>
        <v>临街宽度及深度</v>
      </c>
      <c r="AA40" s="1352">
        <f t="shared" si="3"/>
        <v>1</v>
      </c>
      <c r="AB40" s="1352">
        <f t="shared" si="4"/>
        <v>1</v>
      </c>
      <c r="AC40" s="1352">
        <f t="shared" si="5"/>
        <v>1</v>
      </c>
    </row>
    <row r="41" spans="1:29" s="108" customFormat="1" ht="15">
      <c r="A41" s="424"/>
      <c r="B41" s="375" t="s">
        <v>1877</v>
      </c>
      <c r="C41" s="3502" t="s">
        <v>5005</v>
      </c>
      <c r="D41" s="127">
        <v>100</v>
      </c>
      <c r="E41" s="3502" t="s">
        <v>5006</v>
      </c>
      <c r="F41" s="386">
        <f>SUMIF(122:122,E41,123:123)-SUMIF(122:122,C41,123:123)+100</f>
        <v>104</v>
      </c>
      <c r="G41" s="3502" t="s">
        <v>5006</v>
      </c>
      <c r="H41" s="386">
        <f>SUMIF(122:122,G41,123:123)-SUMIF(122:122,C41,123:123)+100</f>
        <v>104</v>
      </c>
      <c r="I41" s="3502" t="s">
        <v>5006</v>
      </c>
      <c r="J41" s="386">
        <f>SUMIF(122:122,I41,123:123)-SUMIF(122:122,C41,123:123)+100</f>
        <v>104</v>
      </c>
      <c r="K41" s="561">
        <v>2</v>
      </c>
      <c r="L41" s="2713"/>
      <c r="M41" s="2714"/>
      <c r="N41" s="2714"/>
      <c r="O41" s="2768"/>
      <c r="P41" s="3737"/>
      <c r="Q41" s="1351" t="str">
        <f t="shared" si="14"/>
        <v>宗地开发程度</v>
      </c>
      <c r="R41" s="701" t="s">
        <v>14</v>
      </c>
      <c r="S41" s="702">
        <f t="shared" si="10"/>
        <v>104</v>
      </c>
      <c r="T41" s="701" t="s">
        <v>14</v>
      </c>
      <c r="U41" s="702">
        <f t="shared" si="11"/>
        <v>104</v>
      </c>
      <c r="V41" s="701" t="s">
        <v>14</v>
      </c>
      <c r="W41" s="702">
        <f t="shared" si="12"/>
        <v>104</v>
      </c>
      <c r="X41" s="703"/>
      <c r="Y41" s="3737"/>
      <c r="Z41" s="52" t="str">
        <f t="shared" si="13"/>
        <v>宗地开发程度</v>
      </c>
      <c r="AA41" s="704">
        <f t="shared" si="3"/>
        <v>0.96153846153846156</v>
      </c>
      <c r="AB41" s="704">
        <f t="shared" si="4"/>
        <v>0.96153846153846156</v>
      </c>
      <c r="AC41" s="704">
        <f t="shared" si="5"/>
        <v>0.96153846153846156</v>
      </c>
    </row>
    <row r="42" spans="1:29" ht="15">
      <c r="A42" s="423"/>
      <c r="B42" s="375" t="s">
        <v>1878</v>
      </c>
      <c r="C42" s="3471"/>
      <c r="D42" s="386">
        <v>100</v>
      </c>
      <c r="E42" s="3471"/>
      <c r="F42" s="386">
        <f>SUMIF(124:124,E42,125:125)-SUMIF(124:124,C42,125:125)+100</f>
        <v>100</v>
      </c>
      <c r="G42" s="3471"/>
      <c r="H42" s="386">
        <f>SUMIF(124:124,G42,125:125)-SUMIF(124:124,C42,125:125)+100</f>
        <v>100</v>
      </c>
      <c r="I42" s="3471"/>
      <c r="J42" s="386">
        <f>SUMIF(124:124,I42,125:125)-SUMIF(124:124,C42,125:125)+100</f>
        <v>100</v>
      </c>
      <c r="K42" s="561">
        <v>2</v>
      </c>
      <c r="L42" s="2718"/>
      <c r="M42" s="2712"/>
      <c r="N42" s="2712"/>
      <c r="O42" s="2770"/>
      <c r="P42" s="3737" t="s">
        <v>1696</v>
      </c>
      <c r="Q42" s="1351" t="str">
        <f t="shared" si="14"/>
        <v>工程地质条件</v>
      </c>
      <c r="R42" s="705" t="s">
        <v>14</v>
      </c>
      <c r="S42" s="706">
        <f t="shared" si="10"/>
        <v>100</v>
      </c>
      <c r="T42" s="705" t="s">
        <v>14</v>
      </c>
      <c r="U42" s="706">
        <f t="shared" si="11"/>
        <v>100</v>
      </c>
      <c r="V42" s="705" t="s">
        <v>14</v>
      </c>
      <c r="W42" s="706">
        <f t="shared" si="12"/>
        <v>100</v>
      </c>
      <c r="X42" s="1354"/>
      <c r="Y42" s="373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7"/>
      <c r="Q43" s="1351">
        <f t="shared" si="14"/>
        <v>111</v>
      </c>
      <c r="R43" s="705" t="s">
        <v>14</v>
      </c>
      <c r="S43" s="706">
        <f t="shared" si="10"/>
        <v>100</v>
      </c>
      <c r="T43" s="705" t="s">
        <v>14</v>
      </c>
      <c r="U43" s="706">
        <f t="shared" si="11"/>
        <v>100</v>
      </c>
      <c r="V43" s="705" t="s">
        <v>14</v>
      </c>
      <c r="W43" s="706">
        <f t="shared" si="12"/>
        <v>100</v>
      </c>
      <c r="X43" s="1354"/>
      <c r="Y43" s="373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7"/>
      <c r="Q44" s="1351">
        <f t="shared" si="14"/>
        <v>111</v>
      </c>
      <c r="R44" s="705" t="s">
        <v>14</v>
      </c>
      <c r="S44" s="706">
        <f t="shared" si="10"/>
        <v>100</v>
      </c>
      <c r="T44" s="705" t="s">
        <v>14</v>
      </c>
      <c r="U44" s="706">
        <f t="shared" si="11"/>
        <v>100</v>
      </c>
      <c r="V44" s="705" t="s">
        <v>14</v>
      </c>
      <c r="W44" s="706">
        <f t="shared" si="12"/>
        <v>100</v>
      </c>
      <c r="X44" s="1354"/>
      <c r="Y44" s="3737"/>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7"/>
      <c r="Q45" s="1351">
        <f t="shared" si="14"/>
        <v>111</v>
      </c>
      <c r="R45" s="708" t="s">
        <v>14</v>
      </c>
      <c r="S45" s="709">
        <f t="shared" si="10"/>
        <v>100</v>
      </c>
      <c r="T45" s="708" t="s">
        <v>14</v>
      </c>
      <c r="U45" s="709">
        <f t="shared" si="11"/>
        <v>100</v>
      </c>
      <c r="V45" s="708" t="s">
        <v>14</v>
      </c>
      <c r="W45" s="709">
        <f t="shared" si="12"/>
        <v>100</v>
      </c>
      <c r="X45" s="710"/>
      <c r="Y45" s="3737"/>
      <c r="Z45" s="711">
        <f t="shared" si="13"/>
        <v>111</v>
      </c>
      <c r="AA45" s="1352">
        <f t="shared" si="3"/>
        <v>1</v>
      </c>
      <c r="AB45" s="1352">
        <f t="shared" si="4"/>
        <v>1</v>
      </c>
      <c r="AC45" s="1352">
        <f t="shared" si="5"/>
        <v>1</v>
      </c>
    </row>
    <row r="46" spans="1:29" ht="15">
      <c r="A46" s="430" t="s">
        <v>1844</v>
      </c>
      <c r="B46" s="1978" t="s">
        <v>1879</v>
      </c>
      <c r="C46" s="630" t="s">
        <v>0</v>
      </c>
      <c r="D46" s="432"/>
      <c r="E46" s="433">
        <v>21949</v>
      </c>
      <c r="F46" s="434"/>
      <c r="G46" s="435">
        <v>19858</v>
      </c>
      <c r="H46" s="436"/>
      <c r="I46" s="433">
        <v>18521</v>
      </c>
      <c r="J46" s="436"/>
      <c r="K46" s="714"/>
      <c r="L46" s="2720"/>
      <c r="M46" s="2721"/>
      <c r="N46" s="2712"/>
      <c r="O46" s="2721"/>
      <c r="P46" s="3719" t="str">
        <f>A46</f>
        <v>成交单价</v>
      </c>
      <c r="Q46" s="3719"/>
      <c r="R46" s="3732">
        <f>E46</f>
        <v>21949</v>
      </c>
      <c r="S46" s="3732"/>
      <c r="T46" s="3732">
        <f>G46</f>
        <v>19858</v>
      </c>
      <c r="U46" s="3732"/>
      <c r="V46" s="3732">
        <f>I46</f>
        <v>18521</v>
      </c>
      <c r="W46" s="3732"/>
      <c r="X46" s="690"/>
      <c r="Y46" s="712"/>
      <c r="Z46" s="690"/>
      <c r="AA46" s="690"/>
      <c r="AB46" s="690"/>
      <c r="AC46" s="690"/>
    </row>
    <row r="47" spans="1:29" ht="15.75" thickBot="1">
      <c r="A47" s="437" t="s">
        <v>1793</v>
      </c>
      <c r="B47" s="631"/>
      <c r="C47" s="440">
        <f>R48</f>
        <v>19063</v>
      </c>
      <c r="D47" s="2313" t="s">
        <v>2138</v>
      </c>
      <c r="E47" s="440">
        <f>R47</f>
        <v>20394</v>
      </c>
      <c r="F47" s="2314"/>
      <c r="G47" s="439">
        <f>T47</f>
        <v>18641</v>
      </c>
      <c r="H47" s="2314"/>
      <c r="I47" s="440">
        <f>V47</f>
        <v>18155</v>
      </c>
      <c r="J47" s="2314"/>
      <c r="K47" s="2316">
        <f>F47+H47+J47</f>
        <v>0</v>
      </c>
      <c r="L47" s="2720"/>
      <c r="M47" s="2721"/>
      <c r="N47" s="2721"/>
      <c r="O47" s="2721"/>
      <c r="P47" s="3719" t="str">
        <f>A47</f>
        <v>比较价值（元/平方米）</v>
      </c>
      <c r="Q47" s="3719"/>
      <c r="R47" s="3738">
        <f>ROUND(PRODUCT(R46,AA7:AA45),0)</f>
        <v>20394</v>
      </c>
      <c r="S47" s="3738"/>
      <c r="T47" s="3738">
        <f>ROUND(PRODUCT(T46,AB7:AB45),0)</f>
        <v>18641</v>
      </c>
      <c r="U47" s="3738"/>
      <c r="V47" s="3738">
        <f>ROUND(PRODUCT(V46,AC7:AC45),0)</f>
        <v>18155</v>
      </c>
      <c r="W47" s="3738"/>
      <c r="X47" s="690"/>
      <c r="Y47" s="690"/>
      <c r="Z47" s="690"/>
      <c r="AA47" s="690"/>
      <c r="AB47" s="690"/>
      <c r="AC47" s="690"/>
    </row>
    <row r="48" spans="1:29" ht="15.75" thickBot="1">
      <c r="A48" s="441" t="s">
        <v>1880</v>
      </c>
      <c r="B48" s="442"/>
      <c r="C48" s="443">
        <f>R48</f>
        <v>19063</v>
      </c>
      <c r="D48" s="443"/>
      <c r="E48" s="443"/>
      <c r="F48" s="443"/>
      <c r="G48" s="443"/>
      <c r="H48" s="443"/>
      <c r="I48" s="443"/>
      <c r="J48" s="443"/>
      <c r="K48" s="715"/>
      <c r="L48" s="2720"/>
      <c r="M48" s="2721"/>
      <c r="N48" s="2721"/>
      <c r="O48" s="2721"/>
      <c r="P48" s="3739" t="str">
        <f>A48</f>
        <v>估价对象XX用房的比较价值（楼面单价，元/平方米）</v>
      </c>
      <c r="Q48" s="3740"/>
      <c r="R48" s="3741">
        <f>ROUND(IF(D47="简单平均",AVERAGE(R47:W47),R47*F47+T47*H47+V47*J47),0)</f>
        <v>19063</v>
      </c>
      <c r="S48" s="3741"/>
      <c r="T48" s="3741"/>
      <c r="U48" s="3741"/>
      <c r="V48" s="3741"/>
      <c r="W48" s="3741"/>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7.624791605374126E-2</v>
      </c>
      <c r="F51" s="449" t="str">
        <f>IF(OR(E51&gt;=0.3,E51&lt;=-0.3),"超过30%","")</f>
        <v/>
      </c>
      <c r="G51" s="448">
        <f>IF(G46&lt;G47,G47/G46-1,G46/G47-1)</f>
        <v>6.5286197092430553E-2</v>
      </c>
      <c r="H51" s="449" t="str">
        <f>IF(OR(G51&gt;=0.3,G51&lt;=-0.3),"超过30%","")</f>
        <v/>
      </c>
      <c r="I51" s="448">
        <f>IF(I46&lt;I47,I47/I46-1,I46/I47-1)</f>
        <v>2.0159735610024709E-2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9.4040019312268575E-2</v>
      </c>
      <c r="F52" s="449" t="str">
        <f>IF(OR(E52&gt;=0.2,E52&lt;=-0.2),"超过20%","")</f>
        <v/>
      </c>
      <c r="G52" s="448">
        <f>IF(G47&lt;I47,I47/G47-1,G47/I47-1)</f>
        <v>2.6769484990360803E-2</v>
      </c>
      <c r="H52" s="449" t="str">
        <f>IF(OR(G52&gt;=0.2,G52&lt;=-0.2),"超过20%","")</f>
        <v/>
      </c>
      <c r="I52" s="448">
        <f>IF(I47&lt;E47,E47/I47-1,I47/E47-1)</f>
        <v>0.12332690718810246</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0.10529761305267393</v>
      </c>
      <c r="F53" s="449" t="str">
        <f>IF(OR(E53&gt;=0.3,E53&lt;=-0.3),"超过30%","")</f>
        <v/>
      </c>
      <c r="G53" s="448">
        <f>IF(G46&lt;I46,I46/G46-1,G46/I46-1)</f>
        <v>7.2188326764213606E-2</v>
      </c>
      <c r="H53" s="449" t="str">
        <f>IF(OR(G53&gt;=0.3,G53&lt;=-0.3),"超过30%","")</f>
        <v/>
      </c>
      <c r="I53" s="448">
        <f>IF(I46&lt;E46,E46/I46-1,I46/E46-1)</f>
        <v>0.18508719831542564</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20" t="s">
        <v>1887</v>
      </c>
      <c r="H55" s="3742"/>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19063</v>
      </c>
      <c r="C56" s="638">
        <v>1</v>
      </c>
      <c r="D56" s="944">
        <v>1</v>
      </c>
      <c r="E56" s="638">
        <f>'数据-汇总表'!E8+'数据-汇总表'!E9</f>
        <v>42310.899999999994</v>
      </c>
      <c r="F56" s="886">
        <f t="shared" ref="F56:F64" si="15">ROUND(B56*E56/10000,0)</f>
        <v>80657</v>
      </c>
      <c r="G56" s="3743"/>
      <c r="H56" s="371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1191</v>
      </c>
      <c r="C61" s="171">
        <f t="shared" si="16"/>
        <v>0.25</v>
      </c>
      <c r="D61" s="945">
        <v>0.25</v>
      </c>
      <c r="E61" s="217">
        <f>'数据-汇总表'!E12</f>
        <v>6138.5999999999922</v>
      </c>
      <c r="F61" s="886">
        <f t="shared" si="15"/>
        <v>731</v>
      </c>
      <c r="G61" s="892" t="s">
        <v>3528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715</v>
      </c>
      <c r="C62" s="171">
        <f t="shared" si="16"/>
        <v>0.15</v>
      </c>
      <c r="D62" s="945">
        <v>0.25</v>
      </c>
      <c r="E62" s="217">
        <f>'数据-汇总表'!E13</f>
        <v>21458.77999999997</v>
      </c>
      <c r="F62" s="886">
        <f t="shared" si="15"/>
        <v>1534</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69908.279999999955</v>
      </c>
      <c r="F65" s="645">
        <f>IF(B46="楼面地价",SUM(F56:F64),ROUND(C48*E65/10000,0))</f>
        <v>82922</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507" t="s">
        <v>5024</v>
      </c>
      <c r="D74" s="3507" t="s">
        <v>5025</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95</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50000</v>
      </c>
      <c r="E116" s="544">
        <v>100000</v>
      </c>
      <c r="F116" s="544">
        <v>150000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103</v>
      </c>
      <c r="E117" s="540">
        <v>106</v>
      </c>
      <c r="F117" s="540">
        <v>109</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72" t="s">
        <v>3547</v>
      </c>
      <c r="D122" s="3472" t="s">
        <v>3550</v>
      </c>
      <c r="E122" s="3472" t="s">
        <v>3551</v>
      </c>
      <c r="F122" s="3472" t="s">
        <v>3549</v>
      </c>
      <c r="G122" s="3472" t="s">
        <v>3552</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A10" sqref="A10"/>
    </sheetView>
  </sheetViews>
  <sheetFormatPr defaultRowHeight="13.5"/>
  <cols>
    <col min="1" max="1" width="23.375" customWidth="1"/>
    <col min="9" max="10" width="0" hidden="1" customWidth="1"/>
    <col min="16" max="16" width="0" hidden="1" customWidth="1"/>
    <col min="17" max="18" width="12.375" customWidth="1"/>
  </cols>
  <sheetData>
    <row r="1" spans="1:19" s="3446" customFormat="1" ht="12">
      <c r="A1" s="3446" t="s">
        <v>3377</v>
      </c>
      <c r="B1" s="3446" t="s">
        <v>3378</v>
      </c>
      <c r="C1" s="3446" t="s">
        <v>3379</v>
      </c>
      <c r="D1" s="3446" t="s">
        <v>3380</v>
      </c>
      <c r="E1" s="3446" t="s">
        <v>3381</v>
      </c>
      <c r="F1" s="3446" t="s">
        <v>3382</v>
      </c>
      <c r="G1" s="3446" t="s">
        <v>3383</v>
      </c>
      <c r="H1" s="3446" t="s">
        <v>3384</v>
      </c>
      <c r="I1" s="3446" t="s">
        <v>3385</v>
      </c>
      <c r="J1" s="3446" t="s">
        <v>3386</v>
      </c>
      <c r="K1" s="3446" t="s">
        <v>3387</v>
      </c>
      <c r="L1" s="3446" t="s">
        <v>3388</v>
      </c>
      <c r="M1" s="3446" t="s">
        <v>3389</v>
      </c>
      <c r="N1" s="3446" t="s">
        <v>3390</v>
      </c>
      <c r="O1" s="3446" t="s">
        <v>3391</v>
      </c>
      <c r="P1" s="3446" t="s">
        <v>3393</v>
      </c>
      <c r="Q1" s="3447" t="s">
        <v>3451</v>
      </c>
      <c r="R1" s="3450" t="s">
        <v>3460</v>
      </c>
      <c r="S1" s="3446" t="s">
        <v>3392</v>
      </c>
    </row>
    <row r="2" spans="1:19" s="3446" customFormat="1" ht="12">
      <c r="A2" s="3446" t="s">
        <v>3394</v>
      </c>
      <c r="B2" s="3446" t="s">
        <v>3395</v>
      </c>
      <c r="C2" s="3446" t="s">
        <v>3396</v>
      </c>
      <c r="D2" s="3446">
        <v>89084.800000000003</v>
      </c>
      <c r="E2" s="3446">
        <v>141877.1</v>
      </c>
      <c r="F2" s="3446" t="s">
        <v>3397</v>
      </c>
      <c r="G2" s="3446" t="s">
        <v>3398</v>
      </c>
      <c r="H2" s="3446" t="s">
        <v>3399</v>
      </c>
      <c r="I2" s="3446" t="s">
        <v>3400</v>
      </c>
      <c r="J2" s="3446" t="s">
        <v>3401</v>
      </c>
      <c r="K2" s="3446" t="s">
        <v>3401</v>
      </c>
      <c r="L2" s="3446">
        <v>160000</v>
      </c>
      <c r="M2" s="3446">
        <v>160000</v>
      </c>
      <c r="N2" s="3446">
        <v>11277.37</v>
      </c>
      <c r="O2" s="3446">
        <v>0</v>
      </c>
      <c r="P2" s="3446" t="s">
        <v>3403</v>
      </c>
      <c r="Q2" s="3447" t="s">
        <v>3452</v>
      </c>
      <c r="R2" s="3450"/>
      <c r="S2" s="3446" t="s">
        <v>3402</v>
      </c>
    </row>
    <row r="3" spans="1:19" s="3449" customFormat="1" ht="12">
      <c r="A3" s="3449" t="s">
        <v>3404</v>
      </c>
      <c r="B3" s="3449" t="s">
        <v>3395</v>
      </c>
      <c r="C3" s="3449" t="s">
        <v>3405</v>
      </c>
      <c r="D3" s="3449">
        <v>69193.56</v>
      </c>
      <c r="E3" s="3449">
        <v>110709.69</v>
      </c>
      <c r="F3" s="3449">
        <v>1.6</v>
      </c>
      <c r="G3" s="3449" t="s">
        <v>3398</v>
      </c>
      <c r="H3" s="3449" t="s">
        <v>3406</v>
      </c>
      <c r="I3" s="3449" t="s">
        <v>3400</v>
      </c>
      <c r="J3" s="3449" t="s">
        <v>3401</v>
      </c>
      <c r="K3" s="3449" t="s">
        <v>3401</v>
      </c>
      <c r="L3" s="3449">
        <v>243000</v>
      </c>
      <c r="M3" s="3449">
        <v>243000</v>
      </c>
      <c r="N3" s="3449">
        <v>21949.3</v>
      </c>
      <c r="O3" s="3449">
        <v>0</v>
      </c>
      <c r="P3" s="3449" t="s">
        <v>3403</v>
      </c>
      <c r="Q3" s="3449" t="s">
        <v>3456</v>
      </c>
      <c r="R3" s="3450" t="s">
        <v>3461</v>
      </c>
      <c r="S3" s="3449" t="s">
        <v>3407</v>
      </c>
    </row>
    <row r="4" spans="1:19" s="3446" customFormat="1" ht="12">
      <c r="A4" s="3446" t="s">
        <v>3408</v>
      </c>
      <c r="B4" s="3446" t="s">
        <v>3395</v>
      </c>
      <c r="C4" s="3446" t="s">
        <v>3396</v>
      </c>
      <c r="D4" s="3446">
        <v>157751.99</v>
      </c>
      <c r="E4" s="3446">
        <v>187262.38</v>
      </c>
      <c r="F4" s="3446" t="s">
        <v>3409</v>
      </c>
      <c r="G4" s="3446" t="s">
        <v>3398</v>
      </c>
      <c r="H4" s="3446" t="s">
        <v>3399</v>
      </c>
      <c r="I4" s="3446" t="s">
        <v>3410</v>
      </c>
      <c r="J4" s="3446" t="s">
        <v>3411</v>
      </c>
      <c r="K4" s="3446" t="s">
        <v>3412</v>
      </c>
      <c r="L4" s="3446">
        <v>539000</v>
      </c>
      <c r="M4" s="3446">
        <v>547000</v>
      </c>
      <c r="N4" s="3446">
        <v>29210.35</v>
      </c>
      <c r="O4" s="3446">
        <v>1.48</v>
      </c>
      <c r="P4" s="3446" t="s">
        <v>3403</v>
      </c>
      <c r="Q4" s="3447" t="s">
        <v>3457</v>
      </c>
      <c r="R4" s="3450"/>
      <c r="S4" s="3446" t="s">
        <v>3413</v>
      </c>
    </row>
    <row r="5" spans="1:19" s="3446" customFormat="1" ht="12">
      <c r="A5" s="3446" t="s">
        <v>3414</v>
      </c>
      <c r="B5" s="3446" t="s">
        <v>3395</v>
      </c>
      <c r="C5" s="3446" t="s">
        <v>3396</v>
      </c>
      <c r="D5" s="3446">
        <v>39732.370000000003</v>
      </c>
      <c r="E5" s="3446">
        <v>62838.75</v>
      </c>
      <c r="F5" s="3446" t="s">
        <v>3415</v>
      </c>
      <c r="G5" s="3446" t="s">
        <v>3398</v>
      </c>
      <c r="H5" s="3446" t="s">
        <v>3399</v>
      </c>
      <c r="I5" s="3446" t="s">
        <v>3410</v>
      </c>
      <c r="J5" s="3446" t="s">
        <v>3411</v>
      </c>
      <c r="K5" s="3446" t="s">
        <v>3412</v>
      </c>
      <c r="L5" s="3446">
        <v>170000</v>
      </c>
      <c r="M5" s="3446">
        <v>195500</v>
      </c>
      <c r="N5" s="3446">
        <v>31111.38</v>
      </c>
      <c r="O5" s="3446">
        <v>15</v>
      </c>
      <c r="P5" s="3446" t="s">
        <v>3417</v>
      </c>
      <c r="Q5" s="3447" t="s">
        <v>3458</v>
      </c>
      <c r="R5" s="3450"/>
      <c r="S5" s="3446" t="s">
        <v>3416</v>
      </c>
    </row>
    <row r="6" spans="1:19" s="3449" customFormat="1" ht="12">
      <c r="A6" s="3449" t="s">
        <v>3418</v>
      </c>
      <c r="B6" s="3449" t="s">
        <v>3395</v>
      </c>
      <c r="C6" s="3449" t="s">
        <v>3405</v>
      </c>
      <c r="D6" s="3449">
        <v>51409.62</v>
      </c>
      <c r="E6" s="3449">
        <v>83593.919999999998</v>
      </c>
      <c r="F6" s="3449">
        <v>1.6</v>
      </c>
      <c r="G6" s="3449" t="s">
        <v>3398</v>
      </c>
      <c r="H6" s="3449" t="s">
        <v>3406</v>
      </c>
      <c r="I6" s="3449" t="s">
        <v>3419</v>
      </c>
      <c r="J6" s="3449" t="s">
        <v>3420</v>
      </c>
      <c r="K6" s="3449" t="s">
        <v>3420</v>
      </c>
      <c r="L6" s="3449">
        <v>166000</v>
      </c>
      <c r="M6" s="3449">
        <v>166000</v>
      </c>
      <c r="N6" s="3449">
        <v>19857.900000000001</v>
      </c>
      <c r="O6" s="3449">
        <v>0</v>
      </c>
      <c r="P6" s="3449" t="s">
        <v>3403</v>
      </c>
      <c r="Q6" s="3449" t="s">
        <v>3454</v>
      </c>
      <c r="R6" s="3450" t="s">
        <v>3461</v>
      </c>
      <c r="S6" s="3449" t="s">
        <v>3421</v>
      </c>
    </row>
    <row r="7" spans="1:19" s="3448" customFormat="1" ht="12">
      <c r="A7" s="3448" t="s">
        <v>3422</v>
      </c>
      <c r="B7" s="3448" t="s">
        <v>3395</v>
      </c>
      <c r="C7" s="3448" t="s">
        <v>3396</v>
      </c>
      <c r="D7" s="3448">
        <v>40739.620000000003</v>
      </c>
      <c r="E7" s="3448">
        <v>75359.210000000006</v>
      </c>
      <c r="F7" s="3448" t="s">
        <v>3423</v>
      </c>
      <c r="G7" s="3448" t="s">
        <v>3398</v>
      </c>
      <c r="H7" s="3448" t="s">
        <v>3424</v>
      </c>
      <c r="I7" s="3448" t="s">
        <v>3419</v>
      </c>
      <c r="J7" s="3448" t="s">
        <v>3420</v>
      </c>
      <c r="K7" s="3448" t="s">
        <v>3420</v>
      </c>
      <c r="L7" s="3448">
        <v>140000</v>
      </c>
      <c r="M7" s="3448">
        <v>140700</v>
      </c>
      <c r="N7" s="3448">
        <v>18670.580000000002</v>
      </c>
      <c r="O7" s="3448">
        <v>0.5</v>
      </c>
      <c r="P7" s="3448" t="s">
        <v>3403</v>
      </c>
      <c r="Q7" s="3448" t="s">
        <v>3455</v>
      </c>
      <c r="R7" s="3450" t="s">
        <v>3463</v>
      </c>
      <c r="S7" s="3448" t="s">
        <v>3425</v>
      </c>
    </row>
    <row r="8" spans="1:19" s="3446" customFormat="1" ht="12">
      <c r="A8" s="3446" t="s">
        <v>3426</v>
      </c>
      <c r="B8" s="3446" t="s">
        <v>3395</v>
      </c>
      <c r="C8" s="3446" t="s">
        <v>3405</v>
      </c>
      <c r="D8" s="3446">
        <v>105143.73</v>
      </c>
      <c r="E8" s="3446">
        <v>262859.32</v>
      </c>
      <c r="F8" s="3446" t="s">
        <v>3427</v>
      </c>
      <c r="G8" s="3446" t="s">
        <v>3398</v>
      </c>
      <c r="H8" s="3446" t="s">
        <v>3406</v>
      </c>
      <c r="I8" s="3446">
        <v>0</v>
      </c>
      <c r="J8" s="3446" t="s">
        <v>3428</v>
      </c>
      <c r="K8" s="3446" t="s">
        <v>3428</v>
      </c>
      <c r="L8" s="3446">
        <v>502000</v>
      </c>
      <c r="M8" s="3446">
        <v>677700</v>
      </c>
      <c r="N8" s="3446">
        <v>25781.85</v>
      </c>
      <c r="O8" s="3446">
        <v>35</v>
      </c>
      <c r="P8" s="3446" t="s">
        <v>3403</v>
      </c>
      <c r="Q8" s="3447" t="s">
        <v>3453</v>
      </c>
      <c r="R8" s="3450"/>
      <c r="S8" s="3446" t="s">
        <v>3429</v>
      </c>
    </row>
    <row r="9" spans="1:19" s="3446" customFormat="1" ht="12">
      <c r="A9" s="3446" t="s">
        <v>3430</v>
      </c>
      <c r="B9" s="3446" t="s">
        <v>3395</v>
      </c>
      <c r="C9" s="3446" t="s">
        <v>3405</v>
      </c>
      <c r="D9" s="3446">
        <v>57208.800000000003</v>
      </c>
      <c r="E9" s="3446">
        <v>91534.080000000002</v>
      </c>
      <c r="F9" s="3446" t="s">
        <v>3431</v>
      </c>
      <c r="G9" s="3446" t="s">
        <v>3398</v>
      </c>
      <c r="H9" s="3446" t="s">
        <v>3432</v>
      </c>
      <c r="I9" s="3446">
        <v>0</v>
      </c>
      <c r="J9" s="3446" t="s">
        <v>3433</v>
      </c>
      <c r="K9" s="3446" t="s">
        <v>3433</v>
      </c>
      <c r="L9" s="3446">
        <v>177000</v>
      </c>
      <c r="M9" s="3446">
        <v>205000</v>
      </c>
      <c r="N9" s="3446">
        <v>22396.03</v>
      </c>
      <c r="O9" s="3446">
        <v>15.82</v>
      </c>
      <c r="P9" s="3446" t="s">
        <v>3403</v>
      </c>
      <c r="Q9" s="3447" t="s">
        <v>3453</v>
      </c>
      <c r="R9" s="3450"/>
      <c r="S9" s="3446" t="s">
        <v>3434</v>
      </c>
    </row>
    <row r="10" spans="1:19" s="3449" customFormat="1" ht="12">
      <c r="A10" s="3449" t="s">
        <v>3435</v>
      </c>
      <c r="B10" s="3449" t="s">
        <v>3395</v>
      </c>
      <c r="C10" s="3449" t="s">
        <v>3396</v>
      </c>
      <c r="D10" s="3449">
        <v>125102.17</v>
      </c>
      <c r="E10" s="3449">
        <v>219262.23</v>
      </c>
      <c r="F10" s="3449" t="s">
        <v>3436</v>
      </c>
      <c r="G10" s="3449" t="s">
        <v>3398</v>
      </c>
      <c r="H10" s="3449" t="s">
        <v>3437</v>
      </c>
      <c r="I10" s="3449">
        <v>0</v>
      </c>
      <c r="J10" s="3449" t="s">
        <v>3433</v>
      </c>
      <c r="K10" s="3449" t="s">
        <v>3433</v>
      </c>
      <c r="L10" s="3449">
        <v>404000</v>
      </c>
      <c r="M10" s="3449">
        <v>406100</v>
      </c>
      <c r="N10" s="3449">
        <v>18521.2</v>
      </c>
      <c r="O10" s="3449">
        <v>0.52</v>
      </c>
      <c r="P10" s="3449" t="s">
        <v>3403</v>
      </c>
      <c r="Q10" s="3449" t="s">
        <v>3453</v>
      </c>
      <c r="R10" s="3450" t="s">
        <v>3462</v>
      </c>
      <c r="S10" s="3449" t="s">
        <v>3438</v>
      </c>
    </row>
    <row r="11" spans="1:19" s="3446" customFormat="1" ht="12">
      <c r="A11" s="3446" t="s">
        <v>3439</v>
      </c>
      <c r="B11" s="3446" t="s">
        <v>3395</v>
      </c>
      <c r="C11" s="3446" t="s">
        <v>3396</v>
      </c>
      <c r="D11" s="3446">
        <v>122243.7</v>
      </c>
      <c r="E11" s="3446">
        <v>206085.13</v>
      </c>
      <c r="F11" s="3446" t="s">
        <v>3440</v>
      </c>
      <c r="G11" s="3446" t="s">
        <v>3398</v>
      </c>
      <c r="H11" s="3446" t="s">
        <v>3441</v>
      </c>
      <c r="I11" s="3446">
        <v>0</v>
      </c>
      <c r="J11" s="3446" t="s">
        <v>3442</v>
      </c>
      <c r="K11" s="3446" t="s">
        <v>3442</v>
      </c>
      <c r="L11" s="3446">
        <v>311800</v>
      </c>
      <c r="M11" s="3446">
        <v>311800</v>
      </c>
      <c r="N11" s="3446">
        <v>15129.67</v>
      </c>
      <c r="O11" s="3446">
        <v>0</v>
      </c>
      <c r="P11" s="3446" t="s">
        <v>3417</v>
      </c>
      <c r="Q11" s="3447" t="s">
        <v>3459</v>
      </c>
      <c r="R11" s="3450"/>
      <c r="S11" s="3446" t="s">
        <v>3443</v>
      </c>
    </row>
    <row r="12" spans="1:19" s="3446" customFormat="1" ht="12">
      <c r="A12" s="3446" t="s">
        <v>3444</v>
      </c>
      <c r="B12" s="3446" t="s">
        <v>3395</v>
      </c>
      <c r="C12" s="3446" t="s">
        <v>3396</v>
      </c>
      <c r="D12" s="3446">
        <v>83940.05</v>
      </c>
      <c r="E12" s="3446">
        <v>146004.07999999999</v>
      </c>
      <c r="F12" s="3446" t="s">
        <v>3445</v>
      </c>
      <c r="G12" s="3446" t="s">
        <v>3398</v>
      </c>
      <c r="H12" s="3446" t="s">
        <v>3446</v>
      </c>
      <c r="I12" s="3446">
        <v>0</v>
      </c>
      <c r="J12" s="3446" t="s">
        <v>3442</v>
      </c>
      <c r="K12" s="3446" t="s">
        <v>3442</v>
      </c>
      <c r="L12" s="3446">
        <v>243400</v>
      </c>
      <c r="M12" s="3446">
        <v>243400</v>
      </c>
      <c r="N12" s="3446">
        <v>16670.77</v>
      </c>
      <c r="O12" s="3446">
        <v>0</v>
      </c>
      <c r="P12" s="3446" t="s">
        <v>3417</v>
      </c>
      <c r="Q12" s="3447" t="s">
        <v>3459</v>
      </c>
      <c r="R12" s="3450"/>
      <c r="S12" s="3446" t="s">
        <v>3447</v>
      </c>
    </row>
    <row r="13" spans="1:19" s="3446" customFormat="1" ht="12">
      <c r="A13" s="3446" t="s">
        <v>3448</v>
      </c>
      <c r="B13" s="3446" t="s">
        <v>3395</v>
      </c>
      <c r="C13" s="3446" t="s">
        <v>3396</v>
      </c>
      <c r="D13" s="3446">
        <v>99454.31</v>
      </c>
      <c r="E13" s="3446">
        <v>153846.89000000001</v>
      </c>
      <c r="F13" s="3446" t="s">
        <v>3449</v>
      </c>
      <c r="G13" s="3446" t="s">
        <v>3398</v>
      </c>
      <c r="H13" s="3446" t="s">
        <v>3399</v>
      </c>
      <c r="I13" s="3446">
        <v>0</v>
      </c>
      <c r="J13" s="3446" t="s">
        <v>3442</v>
      </c>
      <c r="K13" s="3446" t="s">
        <v>3442</v>
      </c>
      <c r="L13" s="3446">
        <v>302400</v>
      </c>
      <c r="M13" s="3446">
        <v>326000</v>
      </c>
      <c r="N13" s="3446">
        <v>21189.9</v>
      </c>
      <c r="O13" s="3446">
        <v>7.8</v>
      </c>
      <c r="P13" s="3446" t="s">
        <v>3417</v>
      </c>
      <c r="Q13" s="3447" t="s">
        <v>3459</v>
      </c>
      <c r="R13" s="3450"/>
      <c r="S13" s="3446" t="s">
        <v>3450</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34" sqref="P3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9</v>
      </c>
    </row>
    <row r="2" spans="1:33" ht="18" customHeight="1">
      <c r="A2" s="201" t="s">
        <v>1462</v>
      </c>
      <c r="B2" s="204">
        <f ca="1">C32</f>
        <v>117555</v>
      </c>
      <c r="C2" s="276" t="s">
        <v>1595</v>
      </c>
      <c r="D2" s="276"/>
      <c r="E2" s="2802"/>
      <c r="F2" s="2802"/>
      <c r="G2" s="2802"/>
      <c r="H2" s="2802"/>
      <c r="I2" s="2802"/>
      <c r="J2" s="2802"/>
      <c r="K2" s="2802"/>
    </row>
    <row r="3" spans="1:33" ht="18" customHeight="1" thickBot="1">
      <c r="A3" s="203" t="s">
        <v>1464</v>
      </c>
      <c r="B3" s="204">
        <f ca="1">ROUND(B2*10000/IF(C1="",'数据-汇总表'!E3,INDIRECT("'数据-取费表'!K"&amp;$K$1)),0)</f>
        <v>16816</v>
      </c>
      <c r="C3" s="276" t="s">
        <v>1596</v>
      </c>
      <c r="D3" s="276"/>
      <c r="E3" s="2802"/>
      <c r="F3" s="2802"/>
      <c r="G3" s="2802"/>
      <c r="H3" s="2802"/>
      <c r="I3" s="2802"/>
      <c r="J3" s="2802"/>
      <c r="K3" s="2802"/>
    </row>
    <row r="4" spans="1:33" s="785" customFormat="1" ht="16.5" customHeight="1">
      <c r="A4" s="782" t="s">
        <v>1597</v>
      </c>
      <c r="B4" s="783"/>
      <c r="C4" s="824">
        <f>SUM(C8:K8)</f>
        <v>177564</v>
      </c>
      <c r="D4" s="783"/>
      <c r="E4" s="783"/>
      <c r="F4" s="783"/>
      <c r="G4" s="783"/>
      <c r="H4" s="783"/>
      <c r="I4" s="783"/>
      <c r="J4" s="783"/>
      <c r="K4" s="784"/>
    </row>
    <row r="5" spans="1:33" s="789" customFormat="1" ht="15">
      <c r="A5" s="786" t="s">
        <v>1598</v>
      </c>
      <c r="B5" s="787" t="s">
        <v>1599</v>
      </c>
      <c r="C5" s="1859" t="s">
        <v>3528</v>
      </c>
      <c r="D5" s="1859" t="s">
        <v>3537</v>
      </c>
      <c r="E5" s="1859" t="s">
        <v>3538</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36768</v>
      </c>
      <c r="D6" s="791">
        <f>'比较法-车位'!B3</f>
        <v>6295</v>
      </c>
      <c r="E6" s="791">
        <f>'比较法-仓储'!B3</f>
        <v>13824</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42310.899999999994</v>
      </c>
      <c r="D7" s="277">
        <f>SUMIF('数据-汇总表'!$C19:$C33,假设开发法!D5,'数据-汇总表'!$E19:$E33)</f>
        <v>21458.77999999997</v>
      </c>
      <c r="E7" s="277">
        <f>SUMIF('数据-汇总表'!$C19:$C33,假设开发法!E5,'数据-汇总表'!$E19:$E33)</f>
        <v>6138.5999999999922</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155569</v>
      </c>
      <c r="D8" s="825">
        <f>'比较法-车位'!B2</f>
        <v>13509</v>
      </c>
      <c r="E8" s="825">
        <f>'比较法-仓储'!B2</f>
        <v>8486</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22499</v>
      </c>
      <c r="D11" s="802"/>
      <c r="E11" s="329"/>
      <c r="F11" s="812">
        <f ca="1">1-IF('数据-取费表'!B24=0,1,IF(C1="",'数据-取费表'!N16,INDIRECT("'数据-取费表'!n"&amp;$K$1)))</f>
        <v>0.63</v>
      </c>
      <c r="G11" s="5"/>
      <c r="H11" s="797"/>
      <c r="I11" s="797"/>
      <c r="J11" s="797"/>
      <c r="K11" s="798"/>
    </row>
    <row r="12" spans="1:33" s="803" customFormat="1" ht="13.5" customHeight="1">
      <c r="A12" s="800" t="s">
        <v>636</v>
      </c>
      <c r="B12" s="801" t="s">
        <v>1613</v>
      </c>
      <c r="C12" s="21">
        <f ca="1">ROUND(C11*F12,0)</f>
        <v>675</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815</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881</v>
      </c>
      <c r="D14" s="846">
        <f ca="1">IF(C1="",'数据-汇总表'!E3,INDIRECT("'数据-取费表'!K"&amp;$K$1)+INDIRECT("'数据-取费表'!S"&amp;$K$1))</f>
        <v>69908.279999999955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337</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25207</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699</v>
      </c>
      <c r="D17" s="846">
        <f ca="1">D14</f>
        <v>69908.279999999955</v>
      </c>
      <c r="E17" s="21">
        <f>'数据-取费表'!B32</f>
        <v>100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42310.899999999994</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27597.379999999961</v>
      </c>
      <c r="E20" s="21">
        <f>'数据-取费表'!B28</f>
        <v>0</v>
      </c>
      <c r="F20" s="804"/>
      <c r="G20" s="12"/>
      <c r="H20" s="809"/>
      <c r="I20" s="809"/>
      <c r="J20" s="809"/>
      <c r="K20" s="810"/>
    </row>
    <row r="21" spans="1:33" s="803" customFormat="1" ht="13.5" customHeight="1">
      <c r="A21" s="790" t="s">
        <v>357</v>
      </c>
      <c r="B21" s="813" t="s">
        <v>1628</v>
      </c>
      <c r="C21" s="814">
        <f ca="1">C16+C17+C18</f>
        <v>25906</v>
      </c>
      <c r="D21" s="815"/>
      <c r="E21" s="281"/>
      <c r="F21" s="281"/>
      <c r="G21" s="131" t="s">
        <v>1629</v>
      </c>
      <c r="H21" s="807"/>
      <c r="I21" s="807"/>
      <c r="J21" s="807"/>
      <c r="K21" s="808"/>
    </row>
    <row r="22" spans="1:33" s="803" customFormat="1" ht="13.5" customHeight="1">
      <c r="A22" s="790" t="s">
        <v>1601</v>
      </c>
      <c r="B22" s="813" t="s">
        <v>1630</v>
      </c>
      <c r="C22" s="814">
        <f ca="1">ROUND(C21*F22,0)</f>
        <v>518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2237</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744</v>
      </c>
      <c r="D25" s="280">
        <f ca="1">C26</f>
        <v>5.4100000000000002E-2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5.4100000000000002E-2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744</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3153</v>
      </c>
      <c r="D28" s="280">
        <f ca="1">C29</f>
        <v>7.1300000000000002E-2</v>
      </c>
      <c r="E28" s="282" t="s">
        <v>12</v>
      </c>
      <c r="F28" s="288">
        <f ca="1">IF(C1="",'数据-取费表'!Q16,INDIRECT("'数据-取费表'!q"&amp;$K$1))</f>
        <v>0.11</v>
      </c>
      <c r="G28" s="817"/>
      <c r="H28" s="818"/>
      <c r="I28" s="818"/>
      <c r="J28" s="818"/>
      <c r="K28" s="819"/>
    </row>
    <row r="29" spans="1:33" s="291" customFormat="1" ht="13.5" customHeight="1">
      <c r="A29" s="800" t="s">
        <v>358</v>
      </c>
      <c r="B29" s="822" t="s">
        <v>1643</v>
      </c>
      <c r="C29" s="284">
        <f ca="1">ROUND((1+C24)*F28*'数据-取费表'!B24/'数据-取费表'!B20,4)</f>
        <v>7.1300000000000002E-2</v>
      </c>
      <c r="D29" s="284"/>
      <c r="E29" s="285"/>
      <c r="F29" s="290"/>
      <c r="G29" s="131" t="s">
        <v>1644</v>
      </c>
      <c r="H29" s="807"/>
      <c r="I29" s="807"/>
      <c r="J29" s="807"/>
      <c r="K29" s="808"/>
    </row>
    <row r="30" spans="1:33" s="291" customFormat="1" ht="13.5" customHeight="1">
      <c r="A30" s="800" t="s">
        <v>359</v>
      </c>
      <c r="B30" s="822" t="s">
        <v>1645</v>
      </c>
      <c r="C30" s="292">
        <f ca="1">ROUND((C21+C22+C23)*F28,0)</f>
        <v>3153</v>
      </c>
      <c r="D30" s="284"/>
      <c r="E30" s="285"/>
      <c r="F30" s="290"/>
      <c r="G30" s="131"/>
      <c r="H30" s="807"/>
      <c r="I30" s="807"/>
      <c r="J30" s="807"/>
      <c r="K30" s="808"/>
    </row>
    <row r="31" spans="1:33" s="803" customFormat="1" ht="13.5" customHeight="1" thickBot="1">
      <c r="A31" s="1865" t="s">
        <v>1646</v>
      </c>
      <c r="B31" s="833" t="s">
        <v>1647</v>
      </c>
      <c r="C31" s="834">
        <f>ROUND(C4*F31/(1+'数据-取费表'!C42),0)</f>
        <v>9301</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117555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44" t="s">
        <v>694</v>
      </c>
      <c r="C6" s="1074">
        <f ca="1">ROUND(F6*F8*F7*(1-F9),0)</f>
        <v>0</v>
      </c>
      <c r="D6" s="155" t="s">
        <v>2106</v>
      </c>
      <c r="E6" s="302" t="s">
        <v>696</v>
      </c>
      <c r="F6" s="303">
        <f ca="1">INDIRECT("'数据-取费表'!u"&amp;$G$1)</f>
        <v>0</v>
      </c>
      <c r="G6" s="1383"/>
      <c r="H6" s="1069" t="s">
        <v>398</v>
      </c>
      <c r="I6" s="3744" t="s">
        <v>694</v>
      </c>
      <c r="J6" s="301">
        <f ca="1">ROUND(M6*M8*M7*(1-M9),0)</f>
        <v>0</v>
      </c>
      <c r="K6" s="1375" t="s">
        <v>2107</v>
      </c>
      <c r="L6" s="302" t="s">
        <v>696</v>
      </c>
      <c r="M6" s="303">
        <f ca="1">INDIRECT("'数据-取费表'!z"&amp;$G$1)</f>
        <v>0</v>
      </c>
    </row>
    <row r="7" spans="1:37" ht="18" customHeight="1">
      <c r="A7" s="1073"/>
      <c r="B7" s="3745"/>
      <c r="C7" s="1075"/>
      <c r="D7" s="307"/>
      <c r="E7" s="1076" t="s">
        <v>697</v>
      </c>
      <c r="F7" s="303">
        <f ca="1">IF(INDIRECT("'数据-取费表'!ah"&amp;$G$1)="",INDIRECT("'数据-取费表'!k"&amp;$G$1),INDIRECT("'数据-取费表'!ah"&amp;$G$1))</f>
        <v>0</v>
      </c>
      <c r="G7" s="1383"/>
      <c r="H7" s="304"/>
      <c r="I7" s="3745"/>
      <c r="J7" s="306"/>
      <c r="K7" s="307"/>
      <c r="L7" s="302" t="s">
        <v>697</v>
      </c>
      <c r="M7" s="303">
        <f ca="1">F7</f>
        <v>0</v>
      </c>
    </row>
    <row r="8" spans="1:37" ht="18" customHeight="1">
      <c r="A8" s="304"/>
      <c r="B8" s="3745"/>
      <c r="C8" s="306"/>
      <c r="D8" s="307"/>
      <c r="E8" s="302" t="s">
        <v>698</v>
      </c>
      <c r="F8" s="303">
        <f ca="1">INDIRECT("'数据-取费表'!ai"&amp;$G$1)</f>
        <v>0</v>
      </c>
      <c r="G8" s="1383"/>
      <c r="H8" s="304"/>
      <c r="I8" s="3745"/>
      <c r="J8" s="306"/>
      <c r="K8" s="307"/>
      <c r="L8" s="302" t="s">
        <v>698</v>
      </c>
      <c r="M8" s="303">
        <f ca="1">INDIRECT("'数据-取费表'!ai"&amp;$G$1)</f>
        <v>0</v>
      </c>
    </row>
    <row r="9" spans="1:37" ht="18" customHeight="1">
      <c r="A9" s="304"/>
      <c r="B9" s="3746"/>
      <c r="C9" s="306"/>
      <c r="D9" s="307"/>
      <c r="E9" s="302" t="s">
        <v>699</v>
      </c>
      <c r="F9" s="312">
        <f ca="1">INDIRECT("'数据-取费表'!w"&amp;$G$1)</f>
        <v>0</v>
      </c>
      <c r="G9" s="1383"/>
      <c r="H9" s="304"/>
      <c r="I9" s="374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t="e">
        <f ca="1">ROUND((C68-C40)/10000,4)</f>
        <v>#DIV/0!</v>
      </c>
      <c r="D45" s="3428"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47" t="s">
        <v>837</v>
      </c>
      <c r="L53" s="3748"/>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3363</v>
      </c>
      <c r="E2" s="3440"/>
      <c r="F2" s="2842"/>
      <c r="G2" s="2843"/>
      <c r="H2" s="2844"/>
      <c r="I2" s="2845"/>
      <c r="J2" s="3749" t="s">
        <v>2320</v>
      </c>
      <c r="K2" s="3750"/>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51" t="s">
        <v>2330</v>
      </c>
      <c r="K3" s="3752"/>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51" t="s">
        <v>2332</v>
      </c>
      <c r="K4" s="3752"/>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53" t="s">
        <v>2336</v>
      </c>
      <c r="B6" s="3754"/>
      <c r="C6" s="3755"/>
      <c r="D6" s="2866"/>
      <c r="E6" s="2867"/>
      <c r="F6" s="2868"/>
      <c r="G6" s="2869"/>
      <c r="H6" s="2844"/>
      <c r="I6" s="2845"/>
      <c r="J6" s="3756">
        <v>1</v>
      </c>
      <c r="K6" s="3757"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56"/>
      <c r="K7" s="3758"/>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60" t="s">
        <v>2350</v>
      </c>
      <c r="C8" s="3761"/>
      <c r="D8" s="2885" t="s">
        <v>2351</v>
      </c>
      <c r="E8" s="2886" t="s">
        <v>2352</v>
      </c>
      <c r="F8" s="2887" t="s">
        <v>2353</v>
      </c>
      <c r="G8" s="2888"/>
      <c r="H8" s="2844"/>
      <c r="I8" s="2845"/>
      <c r="J8" s="3756"/>
      <c r="K8" s="3758"/>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60" t="s">
        <v>2356</v>
      </c>
      <c r="C9" s="3761"/>
      <c r="D9" s="2885">
        <f>ROUND(D6*E9,0)</f>
        <v>0</v>
      </c>
      <c r="E9" s="2889"/>
      <c r="F9" s="2890" t="s">
        <v>2357</v>
      </c>
      <c r="G9" s="2869"/>
      <c r="H9" s="2844"/>
      <c r="I9" s="2845"/>
      <c r="J9" s="3756"/>
      <c r="K9" s="3758"/>
      <c r="L9" s="2879" t="s">
        <v>2358</v>
      </c>
      <c r="M9" s="2880"/>
      <c r="N9" s="2856"/>
      <c r="O9" s="2881"/>
      <c r="P9" s="2881"/>
      <c r="Q9" s="2882">
        <v>365</v>
      </c>
      <c r="R9" s="2883">
        <f t="shared" si="0"/>
        <v>0</v>
      </c>
      <c r="S9" s="2837"/>
      <c r="T9" s="2837"/>
      <c r="U9" s="2837"/>
      <c r="V9" s="2845"/>
    </row>
    <row r="10" spans="1:22" s="2849" customFormat="1" ht="13.15" customHeight="1">
      <c r="A10" s="2884">
        <v>2</v>
      </c>
      <c r="B10" s="3760" t="s">
        <v>2359</v>
      </c>
      <c r="C10" s="3761"/>
      <c r="D10" s="2885">
        <f>ROUND(D6*E10,0)</f>
        <v>0</v>
      </c>
      <c r="E10" s="2889"/>
      <c r="F10" s="2890" t="s">
        <v>2360</v>
      </c>
      <c r="G10" s="2869"/>
      <c r="H10" s="2844"/>
      <c r="I10" s="2845"/>
      <c r="J10" s="3756"/>
      <c r="K10" s="3758"/>
      <c r="L10" s="2879" t="s">
        <v>2361</v>
      </c>
      <c r="M10" s="2880"/>
      <c r="N10" s="2856"/>
      <c r="O10" s="2881"/>
      <c r="P10" s="2881"/>
      <c r="Q10" s="2882">
        <v>365</v>
      </c>
      <c r="R10" s="2883">
        <f t="shared" si="0"/>
        <v>0</v>
      </c>
      <c r="S10" s="2837"/>
      <c r="T10" s="2837"/>
      <c r="U10" s="2837"/>
      <c r="V10" s="2845"/>
    </row>
    <row r="11" spans="1:22" s="2849" customFormat="1" ht="13.15" customHeight="1">
      <c r="A11" s="2884">
        <v>3</v>
      </c>
      <c r="B11" s="3760" t="s">
        <v>2362</v>
      </c>
      <c r="C11" s="3761"/>
      <c r="D11" s="2885">
        <f>D12+D14+D15+D16</f>
        <v>0</v>
      </c>
      <c r="E11" s="2891" t="e">
        <f>D11/D6</f>
        <v>#DIV/0!</v>
      </c>
      <c r="F11" s="2887"/>
      <c r="G11" s="2888"/>
      <c r="H11" s="2844"/>
      <c r="I11" s="2845"/>
      <c r="J11" s="3756"/>
      <c r="K11" s="3758"/>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62" t="s">
        <v>2365</v>
      </c>
      <c r="C12" s="3763"/>
      <c r="D12" s="2893">
        <f>ROUND(D13*1.2%*(1-30%),0)</f>
        <v>0</v>
      </c>
      <c r="E12" s="2894">
        <v>1.2E-2</v>
      </c>
      <c r="F12" s="2887" t="s">
        <v>2366</v>
      </c>
      <c r="G12" s="2888"/>
      <c r="H12" s="2844"/>
      <c r="I12" s="2845"/>
      <c r="J12" s="3756"/>
      <c r="K12" s="3758"/>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56"/>
      <c r="K13" s="3758"/>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62" t="s">
        <v>2371</v>
      </c>
      <c r="C14" s="3763"/>
      <c r="D14" s="2893">
        <f>ROUND(E14*B5/10000,0)</f>
        <v>0</v>
      </c>
      <c r="E14" s="2882"/>
      <c r="F14" s="2887" t="s">
        <v>2372</v>
      </c>
      <c r="G14" s="2888"/>
      <c r="H14" s="2844"/>
      <c r="I14" s="2845"/>
      <c r="J14" s="3756"/>
      <c r="K14" s="3759"/>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62" t="s">
        <v>2375</v>
      </c>
      <c r="C15" s="3763"/>
      <c r="D15" s="2893">
        <f>ROUND(D6*E15,0)</f>
        <v>0</v>
      </c>
      <c r="E15" s="2894">
        <v>5.5E-2</v>
      </c>
      <c r="F15" s="2887" t="s">
        <v>2376</v>
      </c>
      <c r="G15" s="2869"/>
      <c r="H15" s="2844"/>
      <c r="I15" s="2845"/>
      <c r="J15" s="3756">
        <v>2</v>
      </c>
      <c r="K15" s="3757"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62" t="s">
        <v>2384</v>
      </c>
      <c r="C16" s="3763"/>
      <c r="D16" s="2904">
        <f>D6*E16</f>
        <v>0</v>
      </c>
      <c r="E16" s="2905"/>
      <c r="F16" s="2890" t="s">
        <v>2385</v>
      </c>
      <c r="G16" s="2869"/>
      <c r="H16" s="2844"/>
      <c r="I16" s="2845"/>
      <c r="J16" s="3756"/>
      <c r="K16" s="3758"/>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64" t="s">
        <v>2387</v>
      </c>
      <c r="C17" s="3765"/>
      <c r="D17" s="2907">
        <f>ROUND(D6*E17,0)</f>
        <v>0</v>
      </c>
      <c r="E17" s="2908"/>
      <c r="F17" s="2909" t="s">
        <v>2388</v>
      </c>
      <c r="G17" s="2869"/>
      <c r="H17" s="2844"/>
      <c r="I17" s="2845"/>
      <c r="J17" s="3756"/>
      <c r="K17" s="3758"/>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56"/>
      <c r="K18" s="3758"/>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56"/>
      <c r="K19" s="3759"/>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6">
        <v>3</v>
      </c>
      <c r="K20" s="3757"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56"/>
      <c r="K21" s="3758"/>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56"/>
      <c r="K22" s="3758"/>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56"/>
      <c r="K23" s="3758"/>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56"/>
      <c r="K24" s="3759"/>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66">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6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49" t="s">
        <v>2320</v>
      </c>
      <c r="K32" s="3750"/>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51" t="s">
        <v>2330</v>
      </c>
      <c r="K33" s="3752"/>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51" t="s">
        <v>2332</v>
      </c>
      <c r="K34" s="375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56">
        <v>1</v>
      </c>
      <c r="K36" s="3757"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56"/>
      <c r="K37" s="3758"/>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6"/>
      <c r="K38" s="3758"/>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56"/>
      <c r="K39" s="3758"/>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56"/>
      <c r="K40" s="3759"/>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6">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6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估价对象为北京市房地产，为所有。根据《国有土地使用证》[]，估价对象（分摊）出让国有建设用地使用权面积为22768.44平方米，建筑面积为69908.28平方米。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估价对象为北京市房地产,属开发建设的，该项目尚在开发建设中。根据《国有土地使用证》[]，估价对象（分摊）出让国有建设用地使用权面积为22768.44平方米，规划建筑面积为69908.28平方米。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9" sqref="I2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3">
        <f>SUM(E6:E13)</f>
        <v>0</v>
      </c>
      <c r="F2" s="2703"/>
      <c r="G2" s="1488"/>
      <c r="H2" s="1488"/>
      <c r="I2" s="1488"/>
      <c r="J2" s="1488"/>
      <c r="K2" s="1488"/>
      <c r="L2" s="1488"/>
      <c r="M2" s="1488"/>
      <c r="N2" s="1488"/>
      <c r="O2" s="1488"/>
      <c r="P2" s="1488"/>
      <c r="Q2" s="1488"/>
      <c r="R2" s="1488"/>
      <c r="S2" s="1488"/>
    </row>
    <row r="3" spans="1:22" ht="15.75">
      <c r="A3" s="1869" t="s">
        <v>686</v>
      </c>
      <c r="B3" s="2597" t="e">
        <f ca="1">ROUND(B2*10000/E2,0)</f>
        <v>#DIV/0!</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68" t="s">
        <v>1654</v>
      </c>
      <c r="C5" s="3769"/>
      <c r="D5" s="2704"/>
      <c r="E5" s="1873" t="s">
        <v>1655</v>
      </c>
      <c r="F5" s="1874" t="s">
        <v>1656</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70" zoomScaleNormal="60" zoomScaleSheetLayoutView="70" workbookViewId="0">
      <selection activeCell="M32" sqref="M3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3528</v>
      </c>
      <c r="E1" s="3422" t="s">
        <v>3565</v>
      </c>
      <c r="F1" s="1878" t="s">
        <v>3536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155569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36768</v>
      </c>
      <c r="C3" s="354" t="s">
        <v>1665</v>
      </c>
      <c r="D3" s="353">
        <f>IF(D1="",'数据-汇总表'!E3,SUMIF('数据-汇总表'!$C19:$C33,D1,'数据-汇总表'!$E19:$E33))</f>
        <v>42310.899999999994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20" t="s">
        <v>1667</v>
      </c>
      <c r="D4" s="3721"/>
      <c r="E4" s="3722" t="s">
        <v>1668</v>
      </c>
      <c r="F4" s="3723"/>
      <c r="G4" s="3720" t="s">
        <v>1669</v>
      </c>
      <c r="H4" s="3721"/>
      <c r="I4" s="3720" t="s">
        <v>1670</v>
      </c>
      <c r="J4" s="3721"/>
      <c r="K4" s="1888" t="s">
        <v>1671</v>
      </c>
      <c r="L4" s="2711"/>
      <c r="M4" s="2712"/>
      <c r="N4" s="2712"/>
      <c r="O4" s="2712"/>
      <c r="P4" s="3724" t="s">
        <v>1672</v>
      </c>
      <c r="Q4" s="3725"/>
      <c r="R4" s="3707" t="s">
        <v>1668</v>
      </c>
      <c r="S4" s="3708"/>
      <c r="T4" s="3707" t="s">
        <v>1669</v>
      </c>
      <c r="U4" s="3708"/>
      <c r="V4" s="3732" t="s">
        <v>1670</v>
      </c>
      <c r="W4" s="3732"/>
      <c r="X4" s="1354"/>
      <c r="Y4" s="3707" t="s">
        <v>1672</v>
      </c>
      <c r="Z4" s="3708"/>
      <c r="AA4" s="3702" t="s">
        <v>1668</v>
      </c>
      <c r="AB4" s="3702" t="s">
        <v>1669</v>
      </c>
      <c r="AC4" s="3702" t="s">
        <v>1670</v>
      </c>
    </row>
    <row r="5" spans="1:29" ht="15">
      <c r="A5" s="358"/>
      <c r="B5" s="359"/>
      <c r="C5" s="3713" t="s">
        <v>1673</v>
      </c>
      <c r="D5" s="3714"/>
      <c r="E5" s="3711" t="str">
        <f>住宅案例!A2</f>
        <v>路劲御和府</v>
      </c>
      <c r="F5" s="3712"/>
      <c r="G5" s="3713" t="str">
        <f>住宅案例!A30</f>
        <v>公园都会</v>
      </c>
      <c r="H5" s="3714"/>
      <c r="I5" s="3713" t="str">
        <f>住宅案例!A57</f>
        <v>和锦华宸</v>
      </c>
      <c r="J5" s="3714"/>
      <c r="K5" s="1889"/>
      <c r="L5" s="2711"/>
      <c r="M5" s="2712"/>
      <c r="N5" s="2712"/>
      <c r="O5" s="2712"/>
      <c r="P5" s="3726"/>
      <c r="Q5" s="3727"/>
      <c r="R5" s="3709"/>
      <c r="S5" s="3710"/>
      <c r="T5" s="3709"/>
      <c r="U5" s="3710"/>
      <c r="V5" s="3732"/>
      <c r="W5" s="3732"/>
      <c r="X5" s="1354"/>
      <c r="Y5" s="3709"/>
      <c r="Z5" s="3710"/>
      <c r="AA5" s="3703"/>
      <c r="AB5" s="3703"/>
      <c r="AC5" s="3703"/>
    </row>
    <row r="6" spans="1:29" ht="15.75" thickBot="1">
      <c r="A6" s="360"/>
      <c r="B6" s="361"/>
      <c r="C6" s="3715" t="s">
        <v>1677</v>
      </c>
      <c r="D6" s="3716"/>
      <c r="E6" s="3717" t="s">
        <v>1677</v>
      </c>
      <c r="F6" s="3718"/>
      <c r="G6" s="3715" t="s">
        <v>1677</v>
      </c>
      <c r="H6" s="3716"/>
      <c r="I6" s="3715" t="s">
        <v>1677</v>
      </c>
      <c r="J6" s="3716"/>
      <c r="K6" s="1889" t="s">
        <v>1678</v>
      </c>
      <c r="L6" s="2711"/>
      <c r="M6" s="2712"/>
      <c r="N6" s="2712"/>
      <c r="O6" s="2712"/>
      <c r="P6" s="3728"/>
      <c r="Q6" s="3729"/>
      <c r="R6" s="3709"/>
      <c r="S6" s="3710"/>
      <c r="T6" s="3730"/>
      <c r="U6" s="3731"/>
      <c r="V6" s="3732"/>
      <c r="W6" s="3732"/>
      <c r="X6" s="1354"/>
      <c r="Y6" s="3730"/>
      <c r="Z6" s="3731"/>
      <c r="AA6" s="3704"/>
      <c r="AB6" s="3704"/>
      <c r="AC6" s="3704"/>
    </row>
    <row r="7" spans="1:29" s="108" customFormat="1" ht="15.75" thickBot="1">
      <c r="A7" s="362" t="s">
        <v>1679</v>
      </c>
      <c r="B7" s="363"/>
      <c r="C7" s="364">
        <f>'数据-取费表'!B2</f>
        <v>45063</v>
      </c>
      <c r="D7" s="365">
        <v>100</v>
      </c>
      <c r="E7" s="366">
        <v>45047</v>
      </c>
      <c r="F7" s="367">
        <f>SUMIF(58:58,YEAR(E7)&amp;"-"&amp;MONTH(E7),59:59)</f>
        <v>100</v>
      </c>
      <c r="G7" s="366">
        <v>45047</v>
      </c>
      <c r="H7" s="365">
        <f>SUMIF(58:58,YEAR(G7)&amp;"-"&amp;MONTH(G7),59:59)</f>
        <v>100</v>
      </c>
      <c r="I7" s="366">
        <v>45047</v>
      </c>
      <c r="J7" s="365">
        <f>SUMIF(58:58,YEAR(I7)&amp;"-"&amp;MONTH(I7),59:59)</f>
        <v>100</v>
      </c>
      <c r="K7" s="1890"/>
      <c r="L7" s="2713"/>
      <c r="M7" s="2714"/>
      <c r="N7" s="2714"/>
      <c r="O7" s="2714"/>
      <c r="P7" s="3705" t="s">
        <v>1680</v>
      </c>
      <c r="Q7" s="3733"/>
      <c r="R7" s="701" t="s">
        <v>20</v>
      </c>
      <c r="S7" s="702">
        <f t="shared" ref="S7:S15" si="0">F7</f>
        <v>100</v>
      </c>
      <c r="T7" s="701" t="s">
        <v>20</v>
      </c>
      <c r="U7" s="702">
        <f t="shared" ref="U7:U15" si="1">H7</f>
        <v>100</v>
      </c>
      <c r="V7" s="701" t="s">
        <v>20</v>
      </c>
      <c r="W7" s="702">
        <f t="shared" ref="W7:W15" si="2">J7</f>
        <v>100</v>
      </c>
      <c r="X7" s="703"/>
      <c r="Y7" s="3705" t="s">
        <v>1680</v>
      </c>
      <c r="Z7" s="3706"/>
      <c r="AA7" s="704">
        <f>D7/F7</f>
        <v>1</v>
      </c>
      <c r="AB7" s="704">
        <f>D7/H7</f>
        <v>1</v>
      </c>
      <c r="AC7" s="704">
        <f>D7/J7</f>
        <v>1</v>
      </c>
    </row>
    <row r="8" spans="1:29" s="108" customFormat="1" ht="15.75" thickBot="1">
      <c r="A8" s="362" t="s">
        <v>1681</v>
      </c>
      <c r="B8" s="363"/>
      <c r="C8" s="3462" t="s">
        <v>3554</v>
      </c>
      <c r="D8" s="365">
        <v>100</v>
      </c>
      <c r="E8" s="3473" t="s">
        <v>3554</v>
      </c>
      <c r="F8" s="367">
        <f>SUMIF(61:61,E8,62:62)-SUMIF(61:61,C8,62:62)+100</f>
        <v>100</v>
      </c>
      <c r="G8" s="3462" t="s">
        <v>3554</v>
      </c>
      <c r="H8" s="365">
        <f>SUMIF(61:61,G8,62:62)-SUMIF(61:61,C8,62:62)+100</f>
        <v>100</v>
      </c>
      <c r="I8" s="3473" t="s">
        <v>3554</v>
      </c>
      <c r="J8" s="365">
        <f>SUMIF(61:61,I8,62:62)-SUMIF(61:61,C8,62:62)+100</f>
        <v>100</v>
      </c>
      <c r="K8" s="1890"/>
      <c r="L8" s="2713"/>
      <c r="M8" s="2714"/>
      <c r="N8" s="2714"/>
      <c r="O8" s="2714"/>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43" t="s">
        <v>1686</v>
      </c>
      <c r="Q9" s="1342" t="str">
        <f t="shared" ref="Q9:Q15" si="6">B9</f>
        <v>用途</v>
      </c>
      <c r="R9" s="701" t="s">
        <v>14</v>
      </c>
      <c r="S9" s="702">
        <f t="shared" si="0"/>
        <v>100</v>
      </c>
      <c r="T9" s="701" t="s">
        <v>14</v>
      </c>
      <c r="U9" s="702">
        <f t="shared" si="1"/>
        <v>100</v>
      </c>
      <c r="V9" s="701" t="s">
        <v>14</v>
      </c>
      <c r="W9" s="702">
        <f t="shared" si="2"/>
        <v>100</v>
      </c>
      <c r="X9" s="703"/>
      <c r="Y9" s="367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43"/>
      <c r="Q10" s="1342" t="str">
        <f t="shared" si="6"/>
        <v>土地使用年限（年）</v>
      </c>
      <c r="R10" s="701" t="s">
        <v>14</v>
      </c>
      <c r="S10" s="702">
        <f t="shared" si="0"/>
        <v>100</v>
      </c>
      <c r="T10" s="701" t="s">
        <v>14</v>
      </c>
      <c r="U10" s="702">
        <f t="shared" si="1"/>
        <v>100</v>
      </c>
      <c r="V10" s="701" t="s">
        <v>14</v>
      </c>
      <c r="W10" s="702">
        <f t="shared" si="2"/>
        <v>100</v>
      </c>
      <c r="X10" s="703"/>
      <c r="Y10" s="3675"/>
      <c r="Z10" s="52" t="str">
        <f t="shared" si="7"/>
        <v>土地使用年限（年）</v>
      </c>
      <c r="AA10" s="704">
        <f t="shared" si="3"/>
        <v>1</v>
      </c>
      <c r="AB10" s="704">
        <f t="shared" si="4"/>
        <v>1</v>
      </c>
      <c r="AC10" s="704">
        <f t="shared" si="5"/>
        <v>1</v>
      </c>
    </row>
    <row r="11" spans="1:29" ht="15">
      <c r="A11" s="379"/>
      <c r="B11" s="375" t="s">
        <v>1689</v>
      </c>
      <c r="C11" s="380">
        <v>2</v>
      </c>
      <c r="D11" s="127">
        <v>100</v>
      </c>
      <c r="E11" s="381">
        <v>1.6</v>
      </c>
      <c r="F11" s="376">
        <f>LOOKUP(E11,68:68,69:69)-LOOKUP(C11,68:68,69:69)+100</f>
        <v>102</v>
      </c>
      <c r="G11" s="380">
        <v>1.6</v>
      </c>
      <c r="H11" s="127">
        <f>LOOKUP(G11,68:68,69:69)-LOOKUP(C11,68:68,69:69)+100</f>
        <v>102</v>
      </c>
      <c r="I11" s="380">
        <v>1.6</v>
      </c>
      <c r="J11" s="127">
        <f>LOOKUP(I11,68:68,69:69)-LOOKUP(C11,68:68,69:69)+100</f>
        <v>102</v>
      </c>
      <c r="K11" s="377">
        <v>2</v>
      </c>
      <c r="L11" s="2717"/>
      <c r="M11" s="2712"/>
      <c r="N11" s="2712"/>
      <c r="O11" s="2712"/>
      <c r="P11" s="3743"/>
      <c r="Q11" s="1342" t="str">
        <f t="shared" si="6"/>
        <v>容积率</v>
      </c>
      <c r="R11" s="701" t="s">
        <v>18</v>
      </c>
      <c r="S11" s="702">
        <f t="shared" si="0"/>
        <v>102</v>
      </c>
      <c r="T11" s="701" t="s">
        <v>18</v>
      </c>
      <c r="U11" s="702">
        <f t="shared" si="1"/>
        <v>102</v>
      </c>
      <c r="V11" s="701" t="s">
        <v>18</v>
      </c>
      <c r="W11" s="702">
        <f t="shared" si="2"/>
        <v>102</v>
      </c>
      <c r="X11" s="703"/>
      <c r="Y11" s="3675"/>
      <c r="Z11" s="52" t="str">
        <f t="shared" si="7"/>
        <v>容积率</v>
      </c>
      <c r="AA11" s="704">
        <f t="shared" si="3"/>
        <v>0.98039215686274506</v>
      </c>
      <c r="AB11" s="704">
        <f t="shared" si="4"/>
        <v>0.98039215686274506</v>
      </c>
      <c r="AC11" s="704">
        <f t="shared" si="5"/>
        <v>0.98039215686274506</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43"/>
      <c r="Q12" s="1342">
        <f t="shared" si="6"/>
        <v>111</v>
      </c>
      <c r="R12" s="701" t="s">
        <v>18</v>
      </c>
      <c r="S12" s="702">
        <f t="shared" si="0"/>
        <v>100</v>
      </c>
      <c r="T12" s="701" t="s">
        <v>18</v>
      </c>
      <c r="U12" s="702">
        <f t="shared" si="1"/>
        <v>100</v>
      </c>
      <c r="V12" s="701" t="s">
        <v>18</v>
      </c>
      <c r="W12" s="702">
        <f t="shared" si="2"/>
        <v>100</v>
      </c>
      <c r="X12" s="703"/>
      <c r="Y12" s="367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43"/>
      <c r="Q13" s="1342">
        <f t="shared" si="6"/>
        <v>111</v>
      </c>
      <c r="R13" s="701" t="s">
        <v>18</v>
      </c>
      <c r="S13" s="702">
        <f t="shared" si="0"/>
        <v>100</v>
      </c>
      <c r="T13" s="701" t="s">
        <v>18</v>
      </c>
      <c r="U13" s="702">
        <f t="shared" si="1"/>
        <v>100</v>
      </c>
      <c r="V13" s="701" t="s">
        <v>18</v>
      </c>
      <c r="W13" s="702">
        <f t="shared" si="2"/>
        <v>100</v>
      </c>
      <c r="X13" s="703"/>
      <c r="Y13" s="367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43"/>
      <c r="Q14" s="1342">
        <f t="shared" si="6"/>
        <v>111</v>
      </c>
      <c r="R14" s="701" t="s">
        <v>18</v>
      </c>
      <c r="S14" s="702">
        <f t="shared" si="0"/>
        <v>100</v>
      </c>
      <c r="T14" s="701" t="s">
        <v>18</v>
      </c>
      <c r="U14" s="702">
        <f t="shared" si="1"/>
        <v>100</v>
      </c>
      <c r="V14" s="701" t="s">
        <v>18</v>
      </c>
      <c r="W14" s="702">
        <f t="shared" si="2"/>
        <v>100</v>
      </c>
      <c r="X14" s="703"/>
      <c r="Y14" s="3675"/>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6" t="s">
        <v>1691</v>
      </c>
      <c r="Q15" s="1351" t="str">
        <f t="shared" si="6"/>
        <v>居住社区成熟度</v>
      </c>
      <c r="R15" s="705" t="s">
        <v>18</v>
      </c>
      <c r="S15" s="706">
        <f t="shared" si="0"/>
        <v>100</v>
      </c>
      <c r="T15" s="705" t="s">
        <v>18</v>
      </c>
      <c r="U15" s="706">
        <f t="shared" si="1"/>
        <v>100</v>
      </c>
      <c r="V15" s="705" t="s">
        <v>18</v>
      </c>
      <c r="W15" s="706">
        <f t="shared" si="2"/>
        <v>100</v>
      </c>
      <c r="X15" s="1354"/>
      <c r="Y15" s="3734" t="s">
        <v>1691</v>
      </c>
      <c r="Z15" s="1355" t="str">
        <f t="shared" si="7"/>
        <v>居住社区成熟度</v>
      </c>
      <c r="AA15" s="1352">
        <f t="shared" si="3"/>
        <v>1</v>
      </c>
      <c r="AB15" s="1352">
        <f t="shared" si="4"/>
        <v>1</v>
      </c>
      <c r="AC15" s="1352">
        <f t="shared" si="5"/>
        <v>1</v>
      </c>
    </row>
    <row r="16" spans="1:29" ht="15">
      <c r="A16" s="379"/>
      <c r="B16" s="397"/>
      <c r="C16" s="3466" t="s">
        <v>3555</v>
      </c>
      <c r="D16" s="399"/>
      <c r="E16" s="3465" t="s">
        <v>3555</v>
      </c>
      <c r="F16" s="399"/>
      <c r="G16" s="3464" t="s">
        <v>3555</v>
      </c>
      <c r="H16" s="401"/>
      <c r="I16" s="3464" t="s">
        <v>3555</v>
      </c>
      <c r="J16" s="399"/>
      <c r="K16" s="1897"/>
      <c r="L16" s="2718"/>
      <c r="M16" s="2712"/>
      <c r="N16" s="2712"/>
      <c r="O16" s="2712"/>
      <c r="P16" s="3777"/>
      <c r="Q16" s="1351"/>
      <c r="R16" s="705"/>
      <c r="S16" s="706"/>
      <c r="T16" s="705"/>
      <c r="U16" s="706"/>
      <c r="V16" s="705"/>
      <c r="W16" s="706"/>
      <c r="X16" s="1354"/>
      <c r="Y16" s="3735"/>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7"/>
      <c r="Q17" s="1351" t="str">
        <f>B17</f>
        <v>交通便捷度</v>
      </c>
      <c r="R17" s="705" t="s">
        <v>18</v>
      </c>
      <c r="S17" s="706">
        <f>F17</f>
        <v>100</v>
      </c>
      <c r="T17" s="705" t="s">
        <v>18</v>
      </c>
      <c r="U17" s="706">
        <f>H17</f>
        <v>100</v>
      </c>
      <c r="V17" s="705" t="s">
        <v>18</v>
      </c>
      <c r="W17" s="706">
        <f>J17</f>
        <v>100</v>
      </c>
      <c r="X17" s="1354"/>
      <c r="Y17" s="3735"/>
      <c r="Z17" s="1355" t="str">
        <f>Q17</f>
        <v>交通便捷度</v>
      </c>
      <c r="AA17" s="1352">
        <f t="shared" si="3"/>
        <v>1</v>
      </c>
      <c r="AB17" s="1352">
        <f t="shared" si="4"/>
        <v>1</v>
      </c>
      <c r="AC17" s="1352">
        <f t="shared" si="5"/>
        <v>1</v>
      </c>
    </row>
    <row r="18" spans="1:29" ht="15">
      <c r="A18" s="379"/>
      <c r="B18" s="407"/>
      <c r="C18" s="3474" t="s">
        <v>3556</v>
      </c>
      <c r="D18" s="401"/>
      <c r="E18" s="3475" t="s">
        <v>3556</v>
      </c>
      <c r="F18" s="401"/>
      <c r="G18" s="3476" t="s">
        <v>3556</v>
      </c>
      <c r="H18" s="399"/>
      <c r="I18" s="3476" t="s">
        <v>3556</v>
      </c>
      <c r="J18" s="399"/>
      <c r="K18" s="1897"/>
      <c r="L18" s="2718"/>
      <c r="M18" s="2712"/>
      <c r="N18" s="2712"/>
      <c r="O18" s="2712"/>
      <c r="P18" s="3777"/>
      <c r="Q18" s="1351"/>
      <c r="R18" s="705"/>
      <c r="S18" s="706"/>
      <c r="T18" s="705"/>
      <c r="U18" s="706"/>
      <c r="V18" s="705"/>
      <c r="W18" s="706"/>
      <c r="X18" s="1354"/>
      <c r="Y18" s="3735"/>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7"/>
      <c r="Q19" s="1351" t="str">
        <f>B19</f>
        <v>公共配套设施</v>
      </c>
      <c r="R19" s="705" t="s">
        <v>18</v>
      </c>
      <c r="S19" s="706">
        <f>F19</f>
        <v>100</v>
      </c>
      <c r="T19" s="705" t="s">
        <v>18</v>
      </c>
      <c r="U19" s="706">
        <f>H19</f>
        <v>100</v>
      </c>
      <c r="V19" s="705" t="s">
        <v>18</v>
      </c>
      <c r="W19" s="706">
        <f>J19</f>
        <v>100</v>
      </c>
      <c r="X19" s="1354"/>
      <c r="Y19" s="3735"/>
      <c r="Z19" s="1355" t="str">
        <f>Q19</f>
        <v>公共配套设施</v>
      </c>
      <c r="AA19" s="1352">
        <f t="shared" si="3"/>
        <v>1</v>
      </c>
      <c r="AB19" s="1352">
        <f t="shared" si="4"/>
        <v>1</v>
      </c>
      <c r="AC19" s="1352">
        <f t="shared" si="5"/>
        <v>1</v>
      </c>
    </row>
    <row r="20" spans="1:29" ht="15">
      <c r="A20" s="379"/>
      <c r="B20" s="407"/>
      <c r="C20" s="3466" t="s">
        <v>3555</v>
      </c>
      <c r="D20" s="399"/>
      <c r="E20" s="3465" t="s">
        <v>3555</v>
      </c>
      <c r="F20" s="399"/>
      <c r="G20" s="3464" t="s">
        <v>3555</v>
      </c>
      <c r="H20" s="399"/>
      <c r="I20" s="3464" t="s">
        <v>3555</v>
      </c>
      <c r="J20" s="399"/>
      <c r="K20" s="1897"/>
      <c r="L20" s="2718"/>
      <c r="M20" s="2712"/>
      <c r="N20" s="2712"/>
      <c r="O20" s="2712"/>
      <c r="P20" s="3777"/>
      <c r="Q20" s="1351"/>
      <c r="R20" s="705"/>
      <c r="S20" s="706"/>
      <c r="T20" s="705"/>
      <c r="U20" s="706"/>
      <c r="V20" s="705"/>
      <c r="W20" s="706"/>
      <c r="X20" s="1354"/>
      <c r="Y20" s="3735"/>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7"/>
      <c r="Q21" s="1351" t="str">
        <f>B21</f>
        <v>基础设施水平</v>
      </c>
      <c r="R21" s="705" t="s">
        <v>14</v>
      </c>
      <c r="S21" s="706">
        <f>F21</f>
        <v>100</v>
      </c>
      <c r="T21" s="705" t="s">
        <v>14</v>
      </c>
      <c r="U21" s="706">
        <f>H21</f>
        <v>100</v>
      </c>
      <c r="V21" s="705" t="s">
        <v>14</v>
      </c>
      <c r="W21" s="706">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1"/>
      <c r="C22" s="3474" t="s">
        <v>3557</v>
      </c>
      <c r="D22" s="399"/>
      <c r="E22" s="3466" t="s">
        <v>3557</v>
      </c>
      <c r="F22" s="399"/>
      <c r="G22" s="3468" t="s">
        <v>3558</v>
      </c>
      <c r="H22" s="399"/>
      <c r="I22" s="3466" t="s">
        <v>3557</v>
      </c>
      <c r="J22" s="399"/>
      <c r="K22" s="1903"/>
      <c r="L22" s="2718"/>
      <c r="M22" s="2712"/>
      <c r="N22" s="2712"/>
      <c r="O22" s="2712"/>
      <c r="P22" s="3777"/>
      <c r="Q22" s="1351"/>
      <c r="R22" s="705"/>
      <c r="S22" s="706"/>
      <c r="T22" s="705"/>
      <c r="U22" s="706"/>
      <c r="V22" s="705"/>
      <c r="W22" s="706"/>
      <c r="X22" s="1354"/>
      <c r="Y22" s="3735"/>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7"/>
      <c r="Q23" s="1351" t="str">
        <f>B23</f>
        <v>自然及人文环境</v>
      </c>
      <c r="R23" s="705" t="s">
        <v>18</v>
      </c>
      <c r="S23" s="706">
        <f>F23</f>
        <v>100</v>
      </c>
      <c r="T23" s="705" t="s">
        <v>18</v>
      </c>
      <c r="U23" s="706">
        <f>H23</f>
        <v>100</v>
      </c>
      <c r="V23" s="705" t="s">
        <v>18</v>
      </c>
      <c r="W23" s="706">
        <f>J23</f>
        <v>100</v>
      </c>
      <c r="X23" s="1354"/>
      <c r="Y23" s="3735"/>
      <c r="Z23" s="1355" t="str">
        <f>Q23</f>
        <v>自然及人文环境</v>
      </c>
      <c r="AA23" s="1352">
        <f>D23/F23</f>
        <v>1</v>
      </c>
      <c r="AB23" s="1352">
        <f>D23/H23</f>
        <v>1</v>
      </c>
      <c r="AC23" s="1352">
        <f>D23/J23</f>
        <v>1</v>
      </c>
    </row>
    <row r="24" spans="1:29" ht="15">
      <c r="A24" s="379"/>
      <c r="B24" s="407"/>
      <c r="C24" s="3466" t="s">
        <v>3555</v>
      </c>
      <c r="D24" s="399"/>
      <c r="E24" s="3465" t="s">
        <v>3555</v>
      </c>
      <c r="F24" s="399"/>
      <c r="G24" s="3464" t="s">
        <v>3555</v>
      </c>
      <c r="H24" s="399"/>
      <c r="I24" s="3464" t="s">
        <v>3555</v>
      </c>
      <c r="J24" s="399"/>
      <c r="K24" s="1897"/>
      <c r="L24" s="2718"/>
      <c r="M24" s="2712"/>
      <c r="N24" s="2712"/>
      <c r="O24" s="2712"/>
      <c r="P24" s="3777"/>
      <c r="Q24" s="1351"/>
      <c r="R24" s="705"/>
      <c r="S24" s="706"/>
      <c r="T24" s="705"/>
      <c r="U24" s="706"/>
      <c r="V24" s="705"/>
      <c r="W24" s="706"/>
      <c r="X24" s="1354"/>
      <c r="Y24" s="3735"/>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7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77"/>
      <c r="Q26" s="1351" t="str">
        <f t="shared" si="11"/>
        <v>朝向</v>
      </c>
      <c r="R26" s="705" t="s">
        <v>18</v>
      </c>
      <c r="S26" s="706">
        <f t="shared" si="12"/>
        <v>100</v>
      </c>
      <c r="T26" s="705" t="s">
        <v>18</v>
      </c>
      <c r="U26" s="706">
        <f t="shared" si="13"/>
        <v>100</v>
      </c>
      <c r="V26" s="705" t="s">
        <v>18</v>
      </c>
      <c r="W26" s="706">
        <f t="shared" si="14"/>
        <v>100</v>
      </c>
      <c r="X26" s="1354"/>
      <c r="Y26" s="373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77"/>
      <c r="Q27" s="1342">
        <f t="shared" si="11"/>
        <v>111</v>
      </c>
      <c r="R27" s="701" t="s">
        <v>18</v>
      </c>
      <c r="S27" s="702">
        <f t="shared" si="12"/>
        <v>100</v>
      </c>
      <c r="T27" s="701" t="s">
        <v>18</v>
      </c>
      <c r="U27" s="702">
        <f t="shared" si="13"/>
        <v>100</v>
      </c>
      <c r="V27" s="701" t="s">
        <v>18</v>
      </c>
      <c r="W27" s="702">
        <f t="shared" si="14"/>
        <v>100</v>
      </c>
      <c r="X27" s="703"/>
      <c r="Y27" s="373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77"/>
      <c r="Q28" s="1351">
        <f t="shared" si="11"/>
        <v>111</v>
      </c>
      <c r="R28" s="705" t="s">
        <v>18</v>
      </c>
      <c r="S28" s="706">
        <f t="shared" si="12"/>
        <v>100</v>
      </c>
      <c r="T28" s="705" t="s">
        <v>18</v>
      </c>
      <c r="U28" s="706">
        <f t="shared" si="13"/>
        <v>100</v>
      </c>
      <c r="V28" s="705" t="s">
        <v>18</v>
      </c>
      <c r="W28" s="706">
        <f t="shared" si="14"/>
        <v>100</v>
      </c>
      <c r="X28" s="1354"/>
      <c r="Y28" s="373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77"/>
      <c r="Q29" s="1351">
        <f t="shared" si="11"/>
        <v>111</v>
      </c>
      <c r="R29" s="705" t="s">
        <v>18</v>
      </c>
      <c r="S29" s="706">
        <f t="shared" si="12"/>
        <v>100</v>
      </c>
      <c r="T29" s="705" t="s">
        <v>18</v>
      </c>
      <c r="U29" s="706">
        <f t="shared" si="13"/>
        <v>100</v>
      </c>
      <c r="V29" s="705" t="s">
        <v>18</v>
      </c>
      <c r="W29" s="706">
        <f t="shared" si="14"/>
        <v>100</v>
      </c>
      <c r="X29" s="1354"/>
      <c r="Y29" s="373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77"/>
      <c r="Q30" s="1351">
        <f t="shared" si="11"/>
        <v>111</v>
      </c>
      <c r="R30" s="705" t="s">
        <v>18</v>
      </c>
      <c r="S30" s="706">
        <f t="shared" si="12"/>
        <v>100</v>
      </c>
      <c r="T30" s="705" t="s">
        <v>18</v>
      </c>
      <c r="U30" s="706">
        <f t="shared" si="13"/>
        <v>100</v>
      </c>
      <c r="V30" s="705" t="s">
        <v>18</v>
      </c>
      <c r="W30" s="706">
        <f t="shared" si="14"/>
        <v>100</v>
      </c>
      <c r="X30" s="1354"/>
      <c r="Y30" s="373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77"/>
      <c r="Q31" s="1351">
        <f t="shared" si="11"/>
        <v>111</v>
      </c>
      <c r="R31" s="705" t="s">
        <v>18</v>
      </c>
      <c r="S31" s="706">
        <f t="shared" si="12"/>
        <v>100</v>
      </c>
      <c r="T31" s="705" t="s">
        <v>18</v>
      </c>
      <c r="U31" s="706">
        <f t="shared" si="13"/>
        <v>100</v>
      </c>
      <c r="V31" s="705" t="s">
        <v>18</v>
      </c>
      <c r="W31" s="706">
        <f t="shared" si="14"/>
        <v>100</v>
      </c>
      <c r="X31" s="1354"/>
      <c r="Y31" s="3735"/>
      <c r="Z31" s="1355">
        <f t="shared" si="18"/>
        <v>111</v>
      </c>
      <c r="AA31" s="1352">
        <f t="shared" si="15"/>
        <v>1</v>
      </c>
      <c r="AB31" s="1352">
        <f t="shared" si="16"/>
        <v>1</v>
      </c>
      <c r="AC31" s="1352">
        <f t="shared" si="17"/>
        <v>1</v>
      </c>
    </row>
    <row r="32" spans="1:29" ht="15">
      <c r="A32" s="391" t="s">
        <v>1694</v>
      </c>
      <c r="B32" s="63" t="s">
        <v>1695</v>
      </c>
      <c r="C32" s="3477" t="s">
        <v>3559</v>
      </c>
      <c r="D32" s="418">
        <v>100</v>
      </c>
      <c r="E32" s="3478" t="s">
        <v>3559</v>
      </c>
      <c r="F32" s="412">
        <f>SUMIF(100:100,E32,101:101)-SUMIF(100:100,C32,101:101)+100</f>
        <v>100</v>
      </c>
      <c r="G32" s="3477" t="s">
        <v>3559</v>
      </c>
      <c r="H32" s="418">
        <f>SUMIF(100:100,G32,101:101)-SUMIF(100:100,C32,101:101)+100</f>
        <v>100</v>
      </c>
      <c r="I32" s="3478" t="s">
        <v>3559</v>
      </c>
      <c r="J32" s="386">
        <f>SUMIF(100:100,I32,101:101)-SUMIF(100:100,C32,101:101)+100</f>
        <v>100</v>
      </c>
      <c r="K32" s="377"/>
      <c r="L32" s="2718"/>
      <c r="M32" s="2712"/>
      <c r="N32" s="2712"/>
      <c r="O32" s="2712"/>
      <c r="P32" s="3772" t="s">
        <v>1696</v>
      </c>
      <c r="Q32" s="1351" t="str">
        <f t="shared" si="11"/>
        <v>建筑类型</v>
      </c>
      <c r="R32" s="705" t="s">
        <v>18</v>
      </c>
      <c r="S32" s="706">
        <f t="shared" si="12"/>
        <v>100</v>
      </c>
      <c r="T32" s="705" t="s">
        <v>18</v>
      </c>
      <c r="U32" s="706">
        <f t="shared" si="13"/>
        <v>100</v>
      </c>
      <c r="V32" s="705" t="s">
        <v>18</v>
      </c>
      <c r="W32" s="706">
        <f t="shared" si="14"/>
        <v>100</v>
      </c>
      <c r="X32" s="1354"/>
      <c r="Y32" s="3737" t="s">
        <v>1696</v>
      </c>
      <c r="Z32" s="1355" t="str">
        <f t="shared" si="18"/>
        <v>建筑类型</v>
      </c>
      <c r="AA32" s="1352">
        <f t="shared" si="15"/>
        <v>1</v>
      </c>
      <c r="AB32" s="1352">
        <f t="shared" si="16"/>
        <v>1</v>
      </c>
      <c r="AC32" s="1352">
        <f t="shared" si="17"/>
        <v>1</v>
      </c>
    </row>
    <row r="33" spans="1:29" s="422" customFormat="1" ht="15">
      <c r="A33" s="419"/>
      <c r="B33" s="375" t="s">
        <v>1697</v>
      </c>
      <c r="C33" s="420">
        <f>面积清单!D21</f>
        <v>71279.199999999983</v>
      </c>
      <c r="D33" s="127">
        <v>100</v>
      </c>
      <c r="E33" s="381">
        <v>243500</v>
      </c>
      <c r="F33" s="376">
        <f>LOOKUP(E33,103:103,104:104)-LOOKUP(C33,103:103,104:104)+100</f>
        <v>102</v>
      </c>
      <c r="G33" s="380">
        <v>227061</v>
      </c>
      <c r="H33" s="127">
        <f>LOOKUP(G33,103:103,104:104)-LOOKUP(C33,103:103,104:104)+100</f>
        <v>102</v>
      </c>
      <c r="I33" s="381">
        <v>83594</v>
      </c>
      <c r="J33" s="127">
        <f>LOOKUP(I33,103:103,104:104)-LOOKUP(C33,103:103,104:104)+100</f>
        <v>100</v>
      </c>
      <c r="K33" s="1892"/>
      <c r="L33" s="2717"/>
      <c r="M33" s="2719"/>
      <c r="N33" s="2719"/>
      <c r="O33" s="2719"/>
      <c r="P33" s="3773"/>
      <c r="Q33" s="707" t="str">
        <f t="shared" si="11"/>
        <v>项目建筑规模</v>
      </c>
      <c r="R33" s="708" t="s">
        <v>18</v>
      </c>
      <c r="S33" s="709">
        <f t="shared" si="12"/>
        <v>102</v>
      </c>
      <c r="T33" s="708" t="s">
        <v>18</v>
      </c>
      <c r="U33" s="709">
        <f t="shared" si="13"/>
        <v>102</v>
      </c>
      <c r="V33" s="708" t="s">
        <v>18</v>
      </c>
      <c r="W33" s="709">
        <f t="shared" si="14"/>
        <v>100</v>
      </c>
      <c r="X33" s="710"/>
      <c r="Y33" s="3737"/>
      <c r="Z33" s="711" t="str">
        <f t="shared" si="18"/>
        <v>项目建筑规模</v>
      </c>
      <c r="AA33" s="1352">
        <f t="shared" si="15"/>
        <v>0.98039215686274506</v>
      </c>
      <c r="AB33" s="1352">
        <f t="shared" si="16"/>
        <v>0.98039215686274506</v>
      </c>
      <c r="AC33" s="1352">
        <f t="shared" si="17"/>
        <v>1</v>
      </c>
    </row>
    <row r="34" spans="1:29" ht="15">
      <c r="A34" s="423"/>
      <c r="B34" s="375" t="s">
        <v>1698</v>
      </c>
      <c r="C34" s="3479" t="s">
        <v>3560</v>
      </c>
      <c r="D34" s="386">
        <v>100</v>
      </c>
      <c r="E34" s="3480" t="s">
        <v>3560</v>
      </c>
      <c r="F34" s="412">
        <f>SUMIF(105:105,E34,106:106)-SUMIF(105:105,C34,106:106)+100</f>
        <v>100</v>
      </c>
      <c r="G34" s="3479" t="s">
        <v>3560</v>
      </c>
      <c r="H34" s="386">
        <f>SUMIF(105:105,G34,106:106)-SUMIF(105:105,C34,106:106)+100</f>
        <v>100</v>
      </c>
      <c r="I34" s="3480" t="s">
        <v>3560</v>
      </c>
      <c r="J34" s="386">
        <f>SUMIF(105:105,I34,106:106)-SUMIF(105:105,C34,106:106)+100</f>
        <v>100</v>
      </c>
      <c r="K34" s="377"/>
      <c r="L34" s="2718"/>
      <c r="M34" s="2712"/>
      <c r="N34" s="2712"/>
      <c r="O34" s="2712"/>
      <c r="P34" s="3773"/>
      <c r="Q34" s="1351" t="str">
        <f t="shared" si="11"/>
        <v>建筑结构</v>
      </c>
      <c r="R34" s="705" t="s">
        <v>18</v>
      </c>
      <c r="S34" s="706">
        <f t="shared" si="12"/>
        <v>100</v>
      </c>
      <c r="T34" s="705" t="s">
        <v>18</v>
      </c>
      <c r="U34" s="706">
        <f t="shared" si="13"/>
        <v>100</v>
      </c>
      <c r="V34" s="705" t="s">
        <v>18</v>
      </c>
      <c r="W34" s="706">
        <f t="shared" si="14"/>
        <v>100</v>
      </c>
      <c r="X34" s="1354"/>
      <c r="Y34" s="3737"/>
      <c r="Z34" s="1355" t="str">
        <f t="shared" si="18"/>
        <v>建筑结构</v>
      </c>
      <c r="AA34" s="1352">
        <f t="shared" si="15"/>
        <v>1</v>
      </c>
      <c r="AB34" s="1352">
        <f t="shared" si="16"/>
        <v>1</v>
      </c>
      <c r="AC34" s="1352">
        <f t="shared" si="17"/>
        <v>1</v>
      </c>
    </row>
    <row r="35" spans="1:29" ht="15">
      <c r="A35" s="423"/>
      <c r="B35" s="375" t="s">
        <v>1699</v>
      </c>
      <c r="C35" s="3471" t="s">
        <v>3555</v>
      </c>
      <c r="D35" s="386">
        <v>100</v>
      </c>
      <c r="E35" s="3481" t="s">
        <v>3555</v>
      </c>
      <c r="F35" s="412">
        <f>SUMIF(107:107,E35,108:108)-SUMIF(107:107,C35,108:108)+100</f>
        <v>100</v>
      </c>
      <c r="G35" s="3471" t="s">
        <v>3561</v>
      </c>
      <c r="H35" s="386">
        <f>SUMIF(107:107,G35,108:108)-SUMIF(107:107,C35,108:108)+100</f>
        <v>100</v>
      </c>
      <c r="I35" s="3481" t="s">
        <v>3555</v>
      </c>
      <c r="J35" s="386">
        <f>SUMIF(107:107,I35,108:108)-SUMIF(107:107,C35,108:108)+100</f>
        <v>100</v>
      </c>
      <c r="K35" s="377"/>
      <c r="L35" s="2718"/>
      <c r="M35" s="2712"/>
      <c r="N35" s="2712"/>
      <c r="O35" s="2712"/>
      <c r="P35" s="3773"/>
      <c r="Q35" s="1351" t="str">
        <f t="shared" si="11"/>
        <v>建筑品质</v>
      </c>
      <c r="R35" s="705" t="s">
        <v>18</v>
      </c>
      <c r="S35" s="706">
        <f t="shared" si="12"/>
        <v>100</v>
      </c>
      <c r="T35" s="705" t="s">
        <v>18</v>
      </c>
      <c r="U35" s="706">
        <f t="shared" si="13"/>
        <v>100</v>
      </c>
      <c r="V35" s="705" t="s">
        <v>18</v>
      </c>
      <c r="W35" s="706">
        <f t="shared" si="14"/>
        <v>100</v>
      </c>
      <c r="X35" s="1354"/>
      <c r="Y35" s="3737"/>
      <c r="Z35" s="1355" t="str">
        <f t="shared" si="18"/>
        <v>建筑品质</v>
      </c>
      <c r="AA35" s="1352">
        <f t="shared" si="15"/>
        <v>1</v>
      </c>
      <c r="AB35" s="1352">
        <f t="shared" si="16"/>
        <v>1</v>
      </c>
      <c r="AC35" s="1352">
        <f t="shared" si="17"/>
        <v>1</v>
      </c>
    </row>
    <row r="36" spans="1:29" ht="15">
      <c r="A36" s="423"/>
      <c r="B36" s="375" t="s">
        <v>1700</v>
      </c>
      <c r="C36" s="3471" t="s">
        <v>3562</v>
      </c>
      <c r="D36" s="386">
        <v>100</v>
      </c>
      <c r="E36" s="3481" t="s">
        <v>3562</v>
      </c>
      <c r="F36" s="412">
        <f>SUMIF(109:109,E36,110:110)-SUMIF(109:109,C36,110:110)+100</f>
        <v>100</v>
      </c>
      <c r="G36" s="3471" t="s">
        <v>3562</v>
      </c>
      <c r="H36" s="386">
        <f>SUMIF(109:109,G36,110:110)-SUMIF(109:109,C36,110:110)+100</f>
        <v>100</v>
      </c>
      <c r="I36" s="3481" t="s">
        <v>3562</v>
      </c>
      <c r="J36" s="386">
        <f>SUMIF(109:109,I36,110:110)-SUMIF(109:109,C36,110:110)+100</f>
        <v>100</v>
      </c>
      <c r="K36" s="377"/>
      <c r="L36" s="2718"/>
      <c r="M36" s="2712"/>
      <c r="N36" s="2712"/>
      <c r="O36" s="2712"/>
      <c r="P36" s="3773"/>
      <c r="Q36" s="1351" t="str">
        <f t="shared" si="11"/>
        <v>公共部分装修</v>
      </c>
      <c r="R36" s="705" t="s">
        <v>18</v>
      </c>
      <c r="S36" s="706">
        <f t="shared" si="12"/>
        <v>100</v>
      </c>
      <c r="T36" s="705" t="s">
        <v>18</v>
      </c>
      <c r="U36" s="706">
        <f t="shared" si="13"/>
        <v>100</v>
      </c>
      <c r="V36" s="705" t="s">
        <v>18</v>
      </c>
      <c r="W36" s="706">
        <f t="shared" si="14"/>
        <v>100</v>
      </c>
      <c r="X36" s="1354"/>
      <c r="Y36" s="3737"/>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73"/>
      <c r="Q37" s="1342" t="str">
        <f t="shared" si="11"/>
        <v>成新度</v>
      </c>
      <c r="R37" s="701" t="s">
        <v>18</v>
      </c>
      <c r="S37" s="702">
        <f t="shared" si="12"/>
        <v>100</v>
      </c>
      <c r="T37" s="701" t="s">
        <v>18</v>
      </c>
      <c r="U37" s="702">
        <f t="shared" si="13"/>
        <v>100</v>
      </c>
      <c r="V37" s="701" t="s">
        <v>18</v>
      </c>
      <c r="W37" s="702">
        <f t="shared" si="14"/>
        <v>100</v>
      </c>
      <c r="X37" s="703"/>
      <c r="Y37" s="3737"/>
      <c r="Z37" s="52" t="str">
        <f t="shared" si="18"/>
        <v>成新度</v>
      </c>
      <c r="AA37" s="704">
        <f t="shared" si="15"/>
        <v>1</v>
      </c>
      <c r="AB37" s="704">
        <f t="shared" si="16"/>
        <v>1</v>
      </c>
      <c r="AC37" s="704">
        <f t="shared" si="17"/>
        <v>1</v>
      </c>
    </row>
    <row r="38" spans="1:29" ht="15">
      <c r="A38" s="423"/>
      <c r="B38" s="375" t="s">
        <v>1702</v>
      </c>
      <c r="C38" s="3471" t="s">
        <v>3563</v>
      </c>
      <c r="D38" s="386">
        <v>100</v>
      </c>
      <c r="E38" s="3481" t="s">
        <v>3563</v>
      </c>
      <c r="F38" s="412">
        <f>SUMIF(114:114,E38,115:115)-SUMIF(114:114,C38,115:115)+100</f>
        <v>100</v>
      </c>
      <c r="G38" s="3471" t="s">
        <v>3563</v>
      </c>
      <c r="H38" s="386">
        <f>SUMIF(114:114,G38,115:115)-SUMIF(114:114,C38,115:115)+100</f>
        <v>100</v>
      </c>
      <c r="I38" s="3481" t="s">
        <v>3563</v>
      </c>
      <c r="J38" s="386">
        <f>SUMIF(114:114,I38,115:115)-SUMIF(114:114,C38,115:115)+100</f>
        <v>100</v>
      </c>
      <c r="K38" s="377"/>
      <c r="L38" s="2718"/>
      <c r="M38" s="2712"/>
      <c r="N38" s="2712"/>
      <c r="O38" s="2712"/>
      <c r="P38" s="3773" t="s">
        <v>1696</v>
      </c>
      <c r="Q38" s="1351" t="str">
        <f t="shared" si="11"/>
        <v>物业管理</v>
      </c>
      <c r="R38" s="705" t="s">
        <v>18</v>
      </c>
      <c r="S38" s="706">
        <f t="shared" si="12"/>
        <v>100</v>
      </c>
      <c r="T38" s="705" t="s">
        <v>18</v>
      </c>
      <c r="U38" s="706">
        <f t="shared" si="13"/>
        <v>100</v>
      </c>
      <c r="V38" s="705" t="s">
        <v>18</v>
      </c>
      <c r="W38" s="706">
        <f t="shared" si="14"/>
        <v>100</v>
      </c>
      <c r="X38" s="1354"/>
      <c r="Y38" s="3737" t="s">
        <v>1696</v>
      </c>
      <c r="Z38" s="1355" t="str">
        <f t="shared" si="18"/>
        <v>物业管理</v>
      </c>
      <c r="AA38" s="1352">
        <f t="shared" si="15"/>
        <v>1</v>
      </c>
      <c r="AB38" s="1352">
        <f t="shared" si="16"/>
        <v>1</v>
      </c>
      <c r="AC38" s="1352">
        <f t="shared" si="17"/>
        <v>1</v>
      </c>
    </row>
    <row r="39" spans="1:29" ht="15">
      <c r="A39" s="423"/>
      <c r="B39" s="375" t="s">
        <v>1703</v>
      </c>
      <c r="C39" s="3471" t="s">
        <v>3557</v>
      </c>
      <c r="D39" s="386">
        <v>100</v>
      </c>
      <c r="E39" s="3481" t="s">
        <v>3558</v>
      </c>
      <c r="F39" s="412">
        <f>SUMIF(116:116,E39,117:117)-SUMIF(116:116,C39,117:117)+100</f>
        <v>100</v>
      </c>
      <c r="G39" s="3471" t="s">
        <v>3558</v>
      </c>
      <c r="H39" s="386">
        <f>SUMIF(116:116,G39,117:117)-SUMIF(116:116,C39,117:117)+100</f>
        <v>100</v>
      </c>
      <c r="I39" s="3481" t="s">
        <v>3558</v>
      </c>
      <c r="J39" s="386">
        <f>SUMIF(116:116,I39,117:117)-SUMIF(116:116,C39,117:117)+100</f>
        <v>100</v>
      </c>
      <c r="K39" s="377"/>
      <c r="L39" s="2718"/>
      <c r="M39" s="2712"/>
      <c r="N39" s="2712"/>
      <c r="O39" s="2712"/>
      <c r="P39" s="3773"/>
      <c r="Q39" s="1351" t="str">
        <f t="shared" si="11"/>
        <v>市政基础设施</v>
      </c>
      <c r="R39" s="705" t="s">
        <v>18</v>
      </c>
      <c r="S39" s="706">
        <f t="shared" si="12"/>
        <v>100</v>
      </c>
      <c r="T39" s="705" t="s">
        <v>18</v>
      </c>
      <c r="U39" s="706">
        <f t="shared" si="13"/>
        <v>100</v>
      </c>
      <c r="V39" s="705" t="s">
        <v>18</v>
      </c>
      <c r="W39" s="706">
        <f t="shared" si="14"/>
        <v>100</v>
      </c>
      <c r="X39" s="1354"/>
      <c r="Y39" s="3737"/>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73"/>
      <c r="Q40" s="1351" t="str">
        <f t="shared" si="11"/>
        <v>房型</v>
      </c>
      <c r="R40" s="705" t="s">
        <v>18</v>
      </c>
      <c r="S40" s="706">
        <f t="shared" si="12"/>
        <v>100</v>
      </c>
      <c r="T40" s="705" t="s">
        <v>18</v>
      </c>
      <c r="U40" s="706">
        <f t="shared" si="13"/>
        <v>100</v>
      </c>
      <c r="V40" s="705" t="s">
        <v>18</v>
      </c>
      <c r="W40" s="706">
        <f t="shared" si="14"/>
        <v>100</v>
      </c>
      <c r="X40" s="1354"/>
      <c r="Y40" s="373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73"/>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2">
        <f t="shared" si="15"/>
        <v>1</v>
      </c>
      <c r="AB41" s="1352">
        <f t="shared" si="16"/>
        <v>1</v>
      </c>
      <c r="AC41" s="1352">
        <f t="shared" si="17"/>
        <v>1</v>
      </c>
    </row>
    <row r="42" spans="1:29" ht="15">
      <c r="A42" s="423"/>
      <c r="B42" s="375" t="s">
        <v>1706</v>
      </c>
      <c r="C42" s="3471" t="s">
        <v>3562</v>
      </c>
      <c r="D42" s="386">
        <v>100</v>
      </c>
      <c r="E42" s="3481" t="s">
        <v>3562</v>
      </c>
      <c r="F42" s="412">
        <f>SUMIF(122:122,E42,123:123)-SUMIF(122:122,C42,123:123)+100</f>
        <v>100</v>
      </c>
      <c r="G42" s="3471" t="s">
        <v>3562</v>
      </c>
      <c r="H42" s="386">
        <f>SUMIF(122:122,G42,123:123)-SUMIF(122:122,C42,123:123)+100</f>
        <v>100</v>
      </c>
      <c r="I42" s="3481" t="s">
        <v>3564</v>
      </c>
      <c r="J42" s="386">
        <f>SUMIF(122:122,I42,123:123)-SUMIF(122:122,C42,123:123)+100</f>
        <v>100</v>
      </c>
      <c r="K42" s="377"/>
      <c r="L42" s="2718"/>
      <c r="M42" s="2712"/>
      <c r="N42" s="2712"/>
      <c r="O42" s="2712"/>
      <c r="P42" s="3773"/>
      <c r="Q42" s="1351" t="str">
        <f t="shared" si="11"/>
        <v>内部装修</v>
      </c>
      <c r="R42" s="705" t="s">
        <v>18</v>
      </c>
      <c r="S42" s="706">
        <f t="shared" si="12"/>
        <v>100</v>
      </c>
      <c r="T42" s="705" t="s">
        <v>18</v>
      </c>
      <c r="U42" s="706">
        <f t="shared" si="13"/>
        <v>100</v>
      </c>
      <c r="V42" s="705" t="s">
        <v>18</v>
      </c>
      <c r="W42" s="706">
        <f t="shared" si="14"/>
        <v>100</v>
      </c>
      <c r="X42" s="1354"/>
      <c r="Y42" s="3737"/>
      <c r="Z42" s="1355" t="str">
        <f t="shared" si="18"/>
        <v>内部装修</v>
      </c>
      <c r="AA42" s="1352">
        <f t="shared" si="15"/>
        <v>1</v>
      </c>
      <c r="AB42" s="1352">
        <f t="shared" si="16"/>
        <v>1</v>
      </c>
      <c r="AC42" s="1352">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73"/>
      <c r="Q43" s="1351" t="str">
        <f t="shared" si="11"/>
        <v>内部装修维护情况</v>
      </c>
      <c r="R43" s="705" t="s">
        <v>18</v>
      </c>
      <c r="S43" s="706">
        <f t="shared" si="12"/>
        <v>100</v>
      </c>
      <c r="T43" s="705" t="s">
        <v>18</v>
      </c>
      <c r="U43" s="706">
        <f t="shared" si="13"/>
        <v>100</v>
      </c>
      <c r="V43" s="705" t="s">
        <v>18</v>
      </c>
      <c r="W43" s="706">
        <f t="shared" si="14"/>
        <v>100</v>
      </c>
      <c r="X43" s="1354"/>
      <c r="Y43" s="3737"/>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73"/>
      <c r="Q44" s="1342">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73"/>
      <c r="Q45" s="1351">
        <f t="shared" si="11"/>
        <v>111</v>
      </c>
      <c r="R45" s="705" t="s">
        <v>18</v>
      </c>
      <c r="S45" s="706">
        <f t="shared" si="12"/>
        <v>100</v>
      </c>
      <c r="T45" s="705" t="s">
        <v>18</v>
      </c>
      <c r="U45" s="706">
        <f t="shared" si="13"/>
        <v>100</v>
      </c>
      <c r="V45" s="705" t="s">
        <v>18</v>
      </c>
      <c r="W45" s="706">
        <f t="shared" si="14"/>
        <v>100</v>
      </c>
      <c r="X45" s="1354"/>
      <c r="Y45" s="373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74"/>
      <c r="Q46" s="1351">
        <f t="shared" si="11"/>
        <v>111</v>
      </c>
      <c r="R46" s="705" t="s">
        <v>17</v>
      </c>
      <c r="S46" s="706">
        <f t="shared" si="12"/>
        <v>100</v>
      </c>
      <c r="T46" s="705" t="s">
        <v>17</v>
      </c>
      <c r="U46" s="706">
        <f t="shared" si="13"/>
        <v>100</v>
      </c>
      <c r="V46" s="705" t="s">
        <v>17</v>
      </c>
      <c r="W46" s="706">
        <f t="shared" si="14"/>
        <v>100</v>
      </c>
      <c r="X46" s="1354"/>
      <c r="Y46" s="3775"/>
      <c r="Z46" s="1355">
        <f t="shared" si="18"/>
        <v>111</v>
      </c>
      <c r="AA46" s="1352">
        <f t="shared" si="15"/>
        <v>1</v>
      </c>
      <c r="AB46" s="1352">
        <f t="shared" si="16"/>
        <v>1</v>
      </c>
      <c r="AC46" s="1352">
        <f t="shared" si="17"/>
        <v>1</v>
      </c>
    </row>
    <row r="47" spans="1:29" ht="15">
      <c r="A47" s="430" t="s">
        <v>1708</v>
      </c>
      <c r="B47" s="431"/>
      <c r="C47" s="1154" t="s">
        <v>16</v>
      </c>
      <c r="D47" s="1155"/>
      <c r="E47" s="1156">
        <v>37307</v>
      </c>
      <c r="F47" s="1157"/>
      <c r="G47" s="1158">
        <v>38874</v>
      </c>
      <c r="H47" s="1159"/>
      <c r="I47" s="1156">
        <v>37823</v>
      </c>
      <c r="J47" s="1159"/>
      <c r="K47" s="1910"/>
      <c r="L47" s="2720"/>
      <c r="M47" s="2721"/>
      <c r="N47" s="2712"/>
      <c r="O47" s="2721"/>
      <c r="P47" s="3719" t="str">
        <f>A47</f>
        <v>成交单价（元/平方米）</v>
      </c>
      <c r="Q47" s="3719"/>
      <c r="R47" s="3771">
        <f>E47</f>
        <v>37307</v>
      </c>
      <c r="S47" s="3771"/>
      <c r="T47" s="3771">
        <f>G47</f>
        <v>38874</v>
      </c>
      <c r="U47" s="3771"/>
      <c r="V47" s="3771">
        <f>I47</f>
        <v>37823</v>
      </c>
      <c r="W47" s="3771"/>
      <c r="X47" s="690"/>
      <c r="Y47" s="712"/>
      <c r="Z47" s="690"/>
      <c r="AA47" s="690"/>
      <c r="AB47" s="690"/>
      <c r="AC47" s="690"/>
    </row>
    <row r="48" spans="1:29" ht="15.75" thickBot="1">
      <c r="A48" s="437" t="s">
        <v>1709</v>
      </c>
      <c r="B48" s="438"/>
      <c r="C48" s="1160">
        <f>R49</f>
        <v>36768</v>
      </c>
      <c r="D48" s="2313" t="s">
        <v>2138</v>
      </c>
      <c r="E48" s="1161">
        <f>R48</f>
        <v>35858</v>
      </c>
      <c r="F48" s="2314"/>
      <c r="G48" s="1160">
        <f>T48</f>
        <v>37364</v>
      </c>
      <c r="H48" s="2314"/>
      <c r="I48" s="1161">
        <f>V48</f>
        <v>37081</v>
      </c>
      <c r="J48" s="2314"/>
      <c r="K48" s="2315">
        <f>F48+H48+J48</f>
        <v>0</v>
      </c>
      <c r="L48" s="2720"/>
      <c r="M48" s="2721"/>
      <c r="N48" s="2721"/>
      <c r="O48" s="2721"/>
      <c r="P48" s="3719" t="str">
        <f>A48</f>
        <v>比较价值（元/平方米）</v>
      </c>
      <c r="Q48" s="3719"/>
      <c r="R48" s="3771">
        <f>IF(F1="售价",ROUND(PRODUCT(R47,AA7:AA46),0),ROUND(PRODUCT(R47,AA7:AA46),1))</f>
        <v>35858</v>
      </c>
      <c r="S48" s="3771"/>
      <c r="T48" s="3771">
        <f>IF(F1="售价",ROUND(PRODUCT(T47,AB7:AB46),0),ROUND(PRODUCT(T47,AB7:AB46),1))</f>
        <v>37364</v>
      </c>
      <c r="U48" s="3771"/>
      <c r="V48" s="3771">
        <f>IF(F1="售价",ROUND(PRODUCT(V47,AC7:AC46),0),ROUND(PRODUCT(V47,AC7:AC46),1))</f>
        <v>37081</v>
      </c>
      <c r="W48" s="3771"/>
      <c r="X48" s="690"/>
      <c r="Y48" s="690"/>
      <c r="Z48" s="690"/>
      <c r="AA48" s="690"/>
      <c r="AB48" s="690"/>
      <c r="AC48" s="690"/>
    </row>
    <row r="49" spans="1:29" ht="15.75" thickBot="1">
      <c r="A49" s="441" t="s">
        <v>1710</v>
      </c>
      <c r="B49" s="442"/>
      <c r="C49" s="1162">
        <f>R49</f>
        <v>36768</v>
      </c>
      <c r="D49" s="1163"/>
      <c r="E49" s="1163"/>
      <c r="F49" s="1163"/>
      <c r="G49" s="1163"/>
      <c r="H49" s="1163"/>
      <c r="I49" s="1163"/>
      <c r="J49" s="1163"/>
      <c r="K49" s="1911"/>
      <c r="L49" s="2720"/>
      <c r="M49" s="2721"/>
      <c r="N49" s="2721"/>
      <c r="O49" s="2721"/>
      <c r="P49" s="3739" t="str">
        <f>A49</f>
        <v>估价对象XX用房的比较价值（楼面单价，元/平方米）</v>
      </c>
      <c r="Q49" s="3740"/>
      <c r="R49" s="3770">
        <f>IF(F1="售价",ROUND(IF(D48="简单平均",AVERAGE(R48:V48),R48*F48+T48*H48+V48*J48),0),ROUND(IF(D48="简单平均",AVERAGE(R48:V48),R48*F48+T48*H48+V48*J48),1))</f>
        <v>36768</v>
      </c>
      <c r="S49" s="3770"/>
      <c r="T49" s="3770"/>
      <c r="U49" s="3770"/>
      <c r="V49" s="3770"/>
      <c r="W49" s="377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4.0409392604160876E-2</v>
      </c>
      <c r="F52" s="449" t="str">
        <f>IF(OR(E52&gt;=0.3,E52&lt;=-0.3),"超过30%","")</f>
        <v/>
      </c>
      <c r="G52" s="448">
        <f>IF(G47&lt;G48,G48/G47-1,G47/G48-1)</f>
        <v>4.0413231988009946E-2</v>
      </c>
      <c r="H52" s="449" t="str">
        <f>IF(OR(G52&gt;=0.3,G52&lt;=-0.3),"超过30%","")</f>
        <v/>
      </c>
      <c r="I52" s="448">
        <f>IF(I47&lt;I48,I48/I47-1,I47/I48-1)</f>
        <v>2.001024783581884E-2</v>
      </c>
      <c r="J52" s="449" t="str">
        <f>IF(OR(I52&gt;=0.3,I52&lt;=-0.3),"超过30%","")</f>
        <v/>
      </c>
      <c r="K52" s="2726"/>
      <c r="L52" s="2722"/>
      <c r="M52" s="2721"/>
      <c r="N52" s="2721"/>
      <c r="O52" s="2721"/>
    </row>
    <row r="53" spans="1:29" ht="13.5" customHeight="1">
      <c r="A53" s="2721"/>
      <c r="B53" s="2721"/>
      <c r="C53" s="446" t="s">
        <v>1712</v>
      </c>
      <c r="D53" s="450"/>
      <c r="E53" s="448">
        <f>IF(E48&lt;G48,G48/E48-1,E48/G48-1)</f>
        <v>4.1998996039935399E-2</v>
      </c>
      <c r="F53" s="449" t="str">
        <f>IF(OR(E53&gt;=0.2,E53&lt;=-0.2),"超过20%","")</f>
        <v/>
      </c>
      <c r="G53" s="448">
        <f>IF(G48&lt;I48,I48/G48-1,G48/I48-1)</f>
        <v>7.6319408861680316E-3</v>
      </c>
      <c r="H53" s="449" t="str">
        <f>IF(OR(G53&gt;=0.2,G53&lt;=-0.2),"超过20%","")</f>
        <v/>
      </c>
      <c r="I53" s="448">
        <f>IF(I48&lt;E48,E48/I48-1,I48/E48-1)</f>
        <v>3.4106754420213159E-2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4.2002841289838333E-2</v>
      </c>
      <c r="F54" s="449" t="str">
        <f>IF(OR(E54&gt;=0.3,E54&lt;=-0.3),"超过30%","")</f>
        <v/>
      </c>
      <c r="G54" s="448">
        <f>IF(G47&lt;I47,I47/G47-1,G47/I47-1)</f>
        <v>2.7787325172514032E-2</v>
      </c>
      <c r="H54" s="449" t="str">
        <f>IF(OR(G54&gt;=0.3,G54&lt;=-0.3),"超过30%","")</f>
        <v/>
      </c>
      <c r="I54" s="448">
        <f>IF(I47&lt;E47,E47/I47-1,I47/E47-1)</f>
        <v>1.3831184496207127E-2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479"/>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29.25"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9"/>
      <c r="Q103" s="508"/>
    </row>
    <row r="104" spans="1:17" s="422" customFormat="1" ht="15.75" thickBot="1">
      <c r="A104" s="502"/>
      <c r="B104" s="492"/>
      <c r="C104" s="509">
        <v>100</v>
      </c>
      <c r="D104" s="485">
        <v>101</v>
      </c>
      <c r="E104" s="485">
        <v>102</v>
      </c>
      <c r="F104" s="485">
        <v>103</v>
      </c>
      <c r="G104" s="485"/>
      <c r="H104" s="485"/>
      <c r="I104" s="485"/>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503"/>
      <c r="D122" s="503"/>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69908.279999999955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20" t="s">
        <v>1770</v>
      </c>
      <c r="D4" s="3721"/>
      <c r="E4" s="3722" t="s">
        <v>1771</v>
      </c>
      <c r="F4" s="3723"/>
      <c r="G4" s="3720" t="s">
        <v>1772</v>
      </c>
      <c r="H4" s="3721"/>
      <c r="I4" s="3720" t="s">
        <v>1773</v>
      </c>
      <c r="J4" s="3721"/>
      <c r="K4" s="559" t="s">
        <v>1774</v>
      </c>
      <c r="L4" s="2711"/>
      <c r="M4" s="2712"/>
      <c r="N4" s="2712"/>
      <c r="O4" s="2712"/>
      <c r="P4" s="3724" t="s">
        <v>1775</v>
      </c>
      <c r="Q4" s="3725"/>
      <c r="R4" s="3707" t="s">
        <v>1771</v>
      </c>
      <c r="S4" s="3708"/>
      <c r="T4" s="3707" t="s">
        <v>1772</v>
      </c>
      <c r="U4" s="3708"/>
      <c r="V4" s="3732" t="s">
        <v>1773</v>
      </c>
      <c r="W4" s="3732"/>
      <c r="X4" s="1354"/>
      <c r="Y4" s="3707" t="s">
        <v>1775</v>
      </c>
      <c r="Z4" s="3708"/>
      <c r="AA4" s="3702" t="s">
        <v>1771</v>
      </c>
      <c r="AB4" s="3732" t="s">
        <v>1772</v>
      </c>
      <c r="AC4" s="3702" t="s">
        <v>1773</v>
      </c>
    </row>
    <row r="5" spans="1:29" ht="15">
      <c r="A5" s="358"/>
      <c r="B5" s="359"/>
      <c r="C5" s="3713" t="s">
        <v>1673</v>
      </c>
      <c r="D5" s="3714"/>
      <c r="E5" s="3711" t="s">
        <v>1674</v>
      </c>
      <c r="F5" s="3712"/>
      <c r="G5" s="3713" t="s">
        <v>1675</v>
      </c>
      <c r="H5" s="3714"/>
      <c r="I5" s="3713" t="s">
        <v>1676</v>
      </c>
      <c r="J5" s="3714"/>
      <c r="K5" s="559"/>
      <c r="L5" s="2711"/>
      <c r="M5" s="2712"/>
      <c r="N5" s="2712"/>
      <c r="O5" s="2712"/>
      <c r="P5" s="3726"/>
      <c r="Q5" s="3727"/>
      <c r="R5" s="3709"/>
      <c r="S5" s="3710"/>
      <c r="T5" s="3709"/>
      <c r="U5" s="3710"/>
      <c r="V5" s="3732"/>
      <c r="W5" s="3732"/>
      <c r="X5" s="1354"/>
      <c r="Y5" s="3709"/>
      <c r="Z5" s="3710"/>
      <c r="AA5" s="3703"/>
      <c r="AB5" s="3732"/>
      <c r="AC5" s="3703"/>
    </row>
    <row r="6" spans="1:29" ht="15.75" thickBot="1">
      <c r="A6" s="360"/>
      <c r="B6" s="361"/>
      <c r="C6" s="3715" t="s">
        <v>1677</v>
      </c>
      <c r="D6" s="3716"/>
      <c r="E6" s="3717" t="s">
        <v>1677</v>
      </c>
      <c r="F6" s="3718"/>
      <c r="G6" s="3715" t="s">
        <v>1677</v>
      </c>
      <c r="H6" s="3716"/>
      <c r="I6" s="3715" t="s">
        <v>1677</v>
      </c>
      <c r="J6" s="3716"/>
      <c r="K6" s="559" t="s">
        <v>1678</v>
      </c>
      <c r="L6" s="2711"/>
      <c r="M6" s="2712"/>
      <c r="N6" s="2712"/>
      <c r="O6" s="2712"/>
      <c r="P6" s="3728"/>
      <c r="Q6" s="3729"/>
      <c r="R6" s="3709"/>
      <c r="S6" s="3710"/>
      <c r="T6" s="3730"/>
      <c r="U6" s="3731"/>
      <c r="V6" s="3732"/>
      <c r="W6" s="3732"/>
      <c r="X6" s="1354"/>
      <c r="Y6" s="3730"/>
      <c r="Z6" s="3731"/>
      <c r="AA6" s="3704"/>
      <c r="AB6" s="3732"/>
      <c r="AC6" s="3704"/>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5"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3" t="s">
        <v>1686</v>
      </c>
      <c r="Q9" s="1342" t="str">
        <f t="shared" ref="Q9:Q15" si="6">B9</f>
        <v>用途</v>
      </c>
      <c r="R9" s="701" t="s">
        <v>14</v>
      </c>
      <c r="S9" s="702">
        <f t="shared" si="0"/>
        <v>100</v>
      </c>
      <c r="T9" s="701" t="s">
        <v>14</v>
      </c>
      <c r="U9" s="702">
        <f t="shared" si="1"/>
        <v>100</v>
      </c>
      <c r="V9" s="701" t="s">
        <v>14</v>
      </c>
      <c r="W9" s="702">
        <f t="shared" si="2"/>
        <v>100</v>
      </c>
      <c r="X9" s="703"/>
      <c r="Y9" s="367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3"/>
      <c r="Q10" s="1342" t="str">
        <f t="shared" si="6"/>
        <v>土地使用年限（年）</v>
      </c>
      <c r="R10" s="701" t="s">
        <v>14</v>
      </c>
      <c r="S10" s="702">
        <f t="shared" si="0"/>
        <v>100</v>
      </c>
      <c r="T10" s="701" t="s">
        <v>14</v>
      </c>
      <c r="U10" s="702">
        <f t="shared" si="1"/>
        <v>100</v>
      </c>
      <c r="V10" s="701" t="s">
        <v>14</v>
      </c>
      <c r="W10" s="702">
        <f t="shared" si="2"/>
        <v>100</v>
      </c>
      <c r="X10" s="703"/>
      <c r="Y10" s="36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3"/>
      <c r="Q11" s="1342" t="str">
        <f t="shared" si="6"/>
        <v>容积率</v>
      </c>
      <c r="R11" s="701" t="s">
        <v>14</v>
      </c>
      <c r="S11" s="702" t="e">
        <f t="shared" si="0"/>
        <v>#N/A</v>
      </c>
      <c r="T11" s="701" t="s">
        <v>14</v>
      </c>
      <c r="U11" s="702" t="e">
        <f t="shared" si="1"/>
        <v>#N/A</v>
      </c>
      <c r="V11" s="701" t="s">
        <v>14</v>
      </c>
      <c r="W11" s="702" t="e">
        <f t="shared" si="2"/>
        <v>#N/A</v>
      </c>
      <c r="X11" s="703"/>
      <c r="Y11" s="367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3"/>
      <c r="Q12" s="1342">
        <f t="shared" si="6"/>
        <v>111</v>
      </c>
      <c r="R12" s="701" t="s">
        <v>14</v>
      </c>
      <c r="S12" s="702">
        <f t="shared" si="0"/>
        <v>100</v>
      </c>
      <c r="T12" s="701" t="s">
        <v>14</v>
      </c>
      <c r="U12" s="702">
        <f t="shared" si="1"/>
        <v>100</v>
      </c>
      <c r="V12" s="701" t="s">
        <v>14</v>
      </c>
      <c r="W12" s="702">
        <f t="shared" si="2"/>
        <v>100</v>
      </c>
      <c r="X12" s="703"/>
      <c r="Y12" s="367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3"/>
      <c r="Q13" s="1342">
        <f t="shared" si="6"/>
        <v>111</v>
      </c>
      <c r="R13" s="701" t="s">
        <v>14</v>
      </c>
      <c r="S13" s="702">
        <f t="shared" si="0"/>
        <v>100</v>
      </c>
      <c r="T13" s="701" t="s">
        <v>14</v>
      </c>
      <c r="U13" s="702">
        <f t="shared" si="1"/>
        <v>100</v>
      </c>
      <c r="V13" s="701" t="s">
        <v>14</v>
      </c>
      <c r="W13" s="702">
        <f t="shared" si="2"/>
        <v>100</v>
      </c>
      <c r="X13" s="703"/>
      <c r="Y13" s="367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3"/>
      <c r="Q14" s="1342">
        <f t="shared" si="6"/>
        <v>111</v>
      </c>
      <c r="R14" s="701" t="s">
        <v>14</v>
      </c>
      <c r="S14" s="702">
        <f t="shared" si="0"/>
        <v>100</v>
      </c>
      <c r="T14" s="701" t="s">
        <v>14</v>
      </c>
      <c r="U14" s="702">
        <f t="shared" si="1"/>
        <v>100</v>
      </c>
      <c r="V14" s="701" t="s">
        <v>14</v>
      </c>
      <c r="W14" s="702">
        <f t="shared" si="2"/>
        <v>100</v>
      </c>
      <c r="X14" s="703"/>
      <c r="Y14" s="367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6" t="s">
        <v>1691</v>
      </c>
      <c r="Q15" s="1351" t="str">
        <f t="shared" si="6"/>
        <v>商业繁华度</v>
      </c>
      <c r="R15" s="705" t="s">
        <v>14</v>
      </c>
      <c r="S15" s="706">
        <f t="shared" si="0"/>
        <v>100</v>
      </c>
      <c r="T15" s="705" t="s">
        <v>14</v>
      </c>
      <c r="U15" s="706">
        <f t="shared" si="1"/>
        <v>100</v>
      </c>
      <c r="V15" s="705" t="s">
        <v>14</v>
      </c>
      <c r="W15" s="706">
        <f t="shared" si="2"/>
        <v>100</v>
      </c>
      <c r="X15" s="1354"/>
      <c r="Y15" s="373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77"/>
      <c r="Q16" s="1351"/>
      <c r="R16" s="705"/>
      <c r="S16" s="706"/>
      <c r="T16" s="705"/>
      <c r="U16" s="706"/>
      <c r="V16" s="705"/>
      <c r="W16" s="706"/>
      <c r="X16" s="1354"/>
      <c r="Y16" s="3735"/>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7"/>
      <c r="Q17" s="1351" t="str">
        <f>B17</f>
        <v>交通便捷度</v>
      </c>
      <c r="R17" s="705" t="s">
        <v>14</v>
      </c>
      <c r="S17" s="706">
        <f>F17</f>
        <v>100</v>
      </c>
      <c r="T17" s="705" t="s">
        <v>14</v>
      </c>
      <c r="U17" s="706">
        <f>H17</f>
        <v>100</v>
      </c>
      <c r="V17" s="705" t="s">
        <v>14</v>
      </c>
      <c r="W17" s="706">
        <f>J17</f>
        <v>100</v>
      </c>
      <c r="X17" s="1354"/>
      <c r="Y17" s="3735"/>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77"/>
      <c r="Q18" s="1351"/>
      <c r="R18" s="705"/>
      <c r="S18" s="706"/>
      <c r="T18" s="705"/>
      <c r="U18" s="706"/>
      <c r="V18" s="705"/>
      <c r="W18" s="706"/>
      <c r="X18" s="1354"/>
      <c r="Y18" s="3735"/>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7"/>
      <c r="Q19" s="1351" t="str">
        <f>B19</f>
        <v>公共配套设施</v>
      </c>
      <c r="R19" s="705" t="s">
        <v>14</v>
      </c>
      <c r="S19" s="706">
        <f>F19</f>
        <v>100</v>
      </c>
      <c r="T19" s="705" t="s">
        <v>14</v>
      </c>
      <c r="U19" s="706">
        <f>H19</f>
        <v>100</v>
      </c>
      <c r="V19" s="705" t="s">
        <v>14</v>
      </c>
      <c r="W19" s="706">
        <f>J19</f>
        <v>100</v>
      </c>
      <c r="X19" s="1354"/>
      <c r="Y19" s="3735"/>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77"/>
      <c r="Q20" s="1351"/>
      <c r="R20" s="705"/>
      <c r="S20" s="706"/>
      <c r="T20" s="705"/>
      <c r="U20" s="706"/>
      <c r="V20" s="705"/>
      <c r="W20" s="706"/>
      <c r="X20" s="1354"/>
      <c r="Y20" s="3735"/>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7"/>
      <c r="Q21" s="1351" t="str">
        <f>B21</f>
        <v>基础设施水平</v>
      </c>
      <c r="R21" s="705" t="s">
        <v>14</v>
      </c>
      <c r="S21" s="706">
        <f>F21</f>
        <v>100</v>
      </c>
      <c r="T21" s="705" t="s">
        <v>14</v>
      </c>
      <c r="U21" s="706">
        <f>H21</f>
        <v>100</v>
      </c>
      <c r="V21" s="705" t="s">
        <v>14</v>
      </c>
      <c r="W21" s="706">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77"/>
      <c r="Q22" s="1351"/>
      <c r="R22" s="705"/>
      <c r="S22" s="706"/>
      <c r="T22" s="705"/>
      <c r="U22" s="706"/>
      <c r="V22" s="705"/>
      <c r="W22" s="706"/>
      <c r="X22" s="1354"/>
      <c r="Y22" s="3735"/>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7"/>
      <c r="Q23" s="1351" t="str">
        <f>B23</f>
        <v>自然及人文环境</v>
      </c>
      <c r="R23" s="705" t="s">
        <v>14</v>
      </c>
      <c r="S23" s="706">
        <f>F23</f>
        <v>100</v>
      </c>
      <c r="T23" s="705" t="s">
        <v>14</v>
      </c>
      <c r="U23" s="706">
        <f>H23</f>
        <v>100</v>
      </c>
      <c r="V23" s="705" t="s">
        <v>14</v>
      </c>
      <c r="W23" s="706">
        <f>J23</f>
        <v>100</v>
      </c>
      <c r="X23" s="1354"/>
      <c r="Y23" s="3735"/>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77"/>
      <c r="Q24" s="1351"/>
      <c r="R24" s="705"/>
      <c r="S24" s="706"/>
      <c r="T24" s="705"/>
      <c r="U24" s="706"/>
      <c r="V24" s="705"/>
      <c r="W24" s="706"/>
      <c r="X24" s="1354"/>
      <c r="Y24" s="373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7"/>
      <c r="Q25" s="1351" t="str">
        <f t="shared" ref="Q25:Q46" si="11">B25</f>
        <v>临街状况</v>
      </c>
      <c r="R25" s="705" t="s">
        <v>14</v>
      </c>
      <c r="S25" s="706">
        <f>F25</f>
        <v>100</v>
      </c>
      <c r="T25" s="705" t="s">
        <v>14</v>
      </c>
      <c r="U25" s="706">
        <f>H25</f>
        <v>100</v>
      </c>
      <c r="V25" s="705" t="s">
        <v>14</v>
      </c>
      <c r="W25" s="706">
        <f>J25</f>
        <v>100</v>
      </c>
      <c r="X25" s="1354"/>
      <c r="Y25" s="373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7"/>
      <c r="Q26" s="1351" t="str">
        <f t="shared" si="11"/>
        <v>平面位置/可视性</v>
      </c>
      <c r="R26" s="705" t="s">
        <v>14</v>
      </c>
      <c r="S26" s="706">
        <f>F26</f>
        <v>100</v>
      </c>
      <c r="T26" s="705" t="s">
        <v>14</v>
      </c>
      <c r="U26" s="706">
        <f>H26</f>
        <v>100</v>
      </c>
      <c r="V26" s="705" t="s">
        <v>14</v>
      </c>
      <c r="W26" s="706">
        <f>J26</f>
        <v>100</v>
      </c>
      <c r="X26" s="1354"/>
      <c r="Y26" s="3735"/>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7"/>
      <c r="Q27" s="1342" t="str">
        <f t="shared" si="11"/>
        <v>人流量</v>
      </c>
      <c r="R27" s="701" t="s">
        <v>14</v>
      </c>
      <c r="S27" s="702">
        <f>F27</f>
        <v>100</v>
      </c>
      <c r="T27" s="701" t="s">
        <v>14</v>
      </c>
      <c r="U27" s="702">
        <f>H27</f>
        <v>100</v>
      </c>
      <c r="V27" s="701" t="s">
        <v>14</v>
      </c>
      <c r="W27" s="702">
        <f>J27</f>
        <v>100</v>
      </c>
      <c r="X27" s="703"/>
      <c r="Y27" s="373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7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7"/>
      <c r="Q29" s="1351">
        <f t="shared" si="11"/>
        <v>111</v>
      </c>
      <c r="R29" s="705" t="s">
        <v>14</v>
      </c>
      <c r="S29" s="706">
        <f t="shared" si="12"/>
        <v>100</v>
      </c>
      <c r="T29" s="705" t="s">
        <v>14</v>
      </c>
      <c r="U29" s="706">
        <f t="shared" si="13"/>
        <v>100</v>
      </c>
      <c r="V29" s="705" t="s">
        <v>14</v>
      </c>
      <c r="W29" s="706">
        <f t="shared" si="14"/>
        <v>100</v>
      </c>
      <c r="X29" s="1354"/>
      <c r="Y29" s="373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7"/>
      <c r="Q30" s="1351">
        <f t="shared" si="11"/>
        <v>111</v>
      </c>
      <c r="R30" s="705" t="s">
        <v>14</v>
      </c>
      <c r="S30" s="706">
        <f t="shared" si="12"/>
        <v>100</v>
      </c>
      <c r="T30" s="705" t="s">
        <v>14</v>
      </c>
      <c r="U30" s="706">
        <f t="shared" si="13"/>
        <v>100</v>
      </c>
      <c r="V30" s="705" t="s">
        <v>14</v>
      </c>
      <c r="W30" s="706">
        <f t="shared" si="14"/>
        <v>100</v>
      </c>
      <c r="X30" s="1354"/>
      <c r="Y30" s="373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7"/>
      <c r="Q31" s="1351">
        <f t="shared" si="11"/>
        <v>111</v>
      </c>
      <c r="R31" s="705" t="s">
        <v>14</v>
      </c>
      <c r="S31" s="706">
        <f t="shared" si="12"/>
        <v>100</v>
      </c>
      <c r="T31" s="705" t="s">
        <v>14</v>
      </c>
      <c r="U31" s="706">
        <f t="shared" si="13"/>
        <v>100</v>
      </c>
      <c r="V31" s="705" t="s">
        <v>14</v>
      </c>
      <c r="W31" s="706">
        <f t="shared" si="14"/>
        <v>100</v>
      </c>
      <c r="X31" s="1354"/>
      <c r="Y31" s="3735"/>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72" t="s">
        <v>1696</v>
      </c>
      <c r="Q32" s="1351" t="str">
        <f t="shared" si="11"/>
        <v>商业类型</v>
      </c>
      <c r="R32" s="705" t="s">
        <v>14</v>
      </c>
      <c r="S32" s="706">
        <f t="shared" si="12"/>
        <v>100</v>
      </c>
      <c r="T32" s="705" t="s">
        <v>14</v>
      </c>
      <c r="U32" s="706">
        <f t="shared" si="13"/>
        <v>100</v>
      </c>
      <c r="V32" s="705" t="s">
        <v>14</v>
      </c>
      <c r="W32" s="706">
        <f t="shared" si="14"/>
        <v>100</v>
      </c>
      <c r="X32" s="1354"/>
      <c r="Y32" s="373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73"/>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73"/>
      <c r="Q34" s="1351" t="str">
        <f t="shared" si="11"/>
        <v>建筑结构</v>
      </c>
      <c r="R34" s="705" t="s">
        <v>14</v>
      </c>
      <c r="S34" s="706">
        <f t="shared" si="12"/>
        <v>100</v>
      </c>
      <c r="T34" s="705" t="s">
        <v>14</v>
      </c>
      <c r="U34" s="706">
        <f t="shared" si="13"/>
        <v>100</v>
      </c>
      <c r="V34" s="705" t="s">
        <v>14</v>
      </c>
      <c r="W34" s="706">
        <f t="shared" si="14"/>
        <v>100</v>
      </c>
      <c r="X34" s="1354"/>
      <c r="Y34" s="373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73"/>
      <c r="Q35" s="1351" t="str">
        <f t="shared" si="11"/>
        <v>公共部分装修</v>
      </c>
      <c r="R35" s="705" t="s">
        <v>14</v>
      </c>
      <c r="S35" s="706">
        <f t="shared" si="12"/>
        <v>100</v>
      </c>
      <c r="T35" s="705" t="s">
        <v>14</v>
      </c>
      <c r="U35" s="706">
        <f t="shared" si="13"/>
        <v>100</v>
      </c>
      <c r="V35" s="705" t="s">
        <v>14</v>
      </c>
      <c r="W35" s="706">
        <f t="shared" si="14"/>
        <v>100</v>
      </c>
      <c r="X35" s="1354"/>
      <c r="Y35" s="373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73"/>
      <c r="Q36" s="1351" t="str">
        <f t="shared" si="11"/>
        <v>成新度</v>
      </c>
      <c r="R36" s="705" t="s">
        <v>14</v>
      </c>
      <c r="S36" s="706" t="e">
        <f t="shared" si="12"/>
        <v>#N/A</v>
      </c>
      <c r="T36" s="705" t="s">
        <v>14</v>
      </c>
      <c r="U36" s="706" t="e">
        <f t="shared" si="13"/>
        <v>#N/A</v>
      </c>
      <c r="V36" s="705" t="s">
        <v>14</v>
      </c>
      <c r="W36" s="706" t="e">
        <f t="shared" si="14"/>
        <v>#N/A</v>
      </c>
      <c r="X36" s="1354"/>
      <c r="Y36" s="373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73"/>
      <c r="Q37" s="1342"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73" t="s">
        <v>1696</v>
      </c>
      <c r="Q38" s="1351" t="str">
        <f t="shared" si="11"/>
        <v>业态</v>
      </c>
      <c r="R38" s="705" t="s">
        <v>14</v>
      </c>
      <c r="S38" s="706">
        <f t="shared" si="12"/>
        <v>100</v>
      </c>
      <c r="T38" s="705" t="s">
        <v>14</v>
      </c>
      <c r="U38" s="706">
        <f t="shared" si="13"/>
        <v>100</v>
      </c>
      <c r="V38" s="705" t="s">
        <v>14</v>
      </c>
      <c r="W38" s="706">
        <f t="shared" si="14"/>
        <v>100</v>
      </c>
      <c r="X38" s="1354"/>
      <c r="Y38" s="373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73"/>
      <c r="Q39" s="1351" t="str">
        <f t="shared" si="11"/>
        <v>层高</v>
      </c>
      <c r="R39" s="705" t="s">
        <v>14</v>
      </c>
      <c r="S39" s="706">
        <f t="shared" si="12"/>
        <v>100</v>
      </c>
      <c r="T39" s="705" t="s">
        <v>14</v>
      </c>
      <c r="U39" s="706">
        <f t="shared" si="13"/>
        <v>100</v>
      </c>
      <c r="V39" s="705" t="s">
        <v>14</v>
      </c>
      <c r="W39" s="706">
        <f t="shared" si="14"/>
        <v>100</v>
      </c>
      <c r="X39" s="1354"/>
      <c r="Y39" s="373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3"/>
      <c r="Q40" s="1351" t="str">
        <f t="shared" si="11"/>
        <v>单套建筑面积</v>
      </c>
      <c r="R40" s="705" t="s">
        <v>14</v>
      </c>
      <c r="S40" s="706">
        <f t="shared" si="12"/>
        <v>100</v>
      </c>
      <c r="T40" s="705" t="s">
        <v>14</v>
      </c>
      <c r="U40" s="706">
        <f t="shared" si="13"/>
        <v>100</v>
      </c>
      <c r="V40" s="705" t="s">
        <v>14</v>
      </c>
      <c r="W40" s="706">
        <f t="shared" si="14"/>
        <v>100</v>
      </c>
      <c r="X40" s="1354"/>
      <c r="Y40" s="373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3"/>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73"/>
      <c r="Q42" s="1351" t="str">
        <f t="shared" si="11"/>
        <v>内部装修</v>
      </c>
      <c r="R42" s="705" t="s">
        <v>14</v>
      </c>
      <c r="S42" s="706">
        <f t="shared" si="12"/>
        <v>100</v>
      </c>
      <c r="T42" s="705" t="s">
        <v>14</v>
      </c>
      <c r="U42" s="706">
        <f t="shared" si="13"/>
        <v>100</v>
      </c>
      <c r="V42" s="705" t="s">
        <v>14</v>
      </c>
      <c r="W42" s="706">
        <f t="shared" si="14"/>
        <v>100</v>
      </c>
      <c r="X42" s="1354"/>
      <c r="Y42" s="373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73"/>
      <c r="Q43" s="1351" t="str">
        <f t="shared" si="11"/>
        <v>内部装修维护情况</v>
      </c>
      <c r="R43" s="705" t="s">
        <v>14</v>
      </c>
      <c r="S43" s="706">
        <f t="shared" si="12"/>
        <v>100</v>
      </c>
      <c r="T43" s="705" t="s">
        <v>14</v>
      </c>
      <c r="U43" s="706">
        <f t="shared" si="13"/>
        <v>100</v>
      </c>
      <c r="V43" s="705" t="s">
        <v>14</v>
      </c>
      <c r="W43" s="706">
        <f t="shared" si="14"/>
        <v>100</v>
      </c>
      <c r="X43" s="1354"/>
      <c r="Y43" s="373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3"/>
      <c r="Q44" s="1342">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3"/>
      <c r="Q45" s="1351">
        <f t="shared" si="11"/>
        <v>111</v>
      </c>
      <c r="R45" s="705" t="s">
        <v>14</v>
      </c>
      <c r="S45" s="706">
        <f t="shared" si="12"/>
        <v>100</v>
      </c>
      <c r="T45" s="705" t="s">
        <v>14</v>
      </c>
      <c r="U45" s="706">
        <f t="shared" si="13"/>
        <v>100</v>
      </c>
      <c r="V45" s="705" t="s">
        <v>14</v>
      </c>
      <c r="W45" s="706">
        <f t="shared" si="14"/>
        <v>100</v>
      </c>
      <c r="X45" s="1354"/>
      <c r="Y45" s="373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4"/>
      <c r="Q46" s="1351">
        <f t="shared" si="11"/>
        <v>111</v>
      </c>
      <c r="R46" s="705" t="s">
        <v>14</v>
      </c>
      <c r="S46" s="706">
        <f t="shared" si="12"/>
        <v>100</v>
      </c>
      <c r="T46" s="705" t="s">
        <v>14</v>
      </c>
      <c r="U46" s="706">
        <f t="shared" si="13"/>
        <v>100</v>
      </c>
      <c r="V46" s="705" t="s">
        <v>14</v>
      </c>
      <c r="W46" s="706">
        <f t="shared" si="14"/>
        <v>100</v>
      </c>
      <c r="X46" s="1354"/>
      <c r="Y46" s="377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19" t="str">
        <f>A47</f>
        <v>成交单价（元/平方米）</v>
      </c>
      <c r="Q47" s="3719"/>
      <c r="R47" s="3732">
        <f>E47</f>
        <v>0</v>
      </c>
      <c r="S47" s="3732"/>
      <c r="T47" s="3732">
        <f>G47</f>
        <v>0</v>
      </c>
      <c r="U47" s="3732"/>
      <c r="V47" s="3732">
        <f>I47</f>
        <v>0</v>
      </c>
      <c r="W47" s="3732"/>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19" t="str">
        <f>A48</f>
        <v>比较价值（元/平方米）</v>
      </c>
      <c r="Q48" s="3719"/>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9" t="str">
        <f>A49</f>
        <v>估价对象XX用房的比较价值（楼面单价，元/平方米）</v>
      </c>
      <c r="Q49" s="3740"/>
      <c r="R49" s="3770" t="e">
        <f>IF(F1="售价",ROUND(IF(D48="简单平均",AVERAGE(R48:V48),R48*F48+T48*H48+V48*J48),0),ROUND(IF(D48="简单平均",AVERAGE(R48:V48),R48*F48+T48*H48+V48*J48),1))</f>
        <v>#DIV/0!</v>
      </c>
      <c r="S49" s="3770"/>
      <c r="T49" s="3770"/>
      <c r="U49" s="3770"/>
      <c r="V49" s="3770"/>
      <c r="W49" s="377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69908.279999999955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20" t="s">
        <v>1770</v>
      </c>
      <c r="D4" s="3721"/>
      <c r="E4" s="3722" t="s">
        <v>1771</v>
      </c>
      <c r="F4" s="3723"/>
      <c r="G4" s="3720" t="s">
        <v>1772</v>
      </c>
      <c r="H4" s="3721"/>
      <c r="I4" s="3720" t="s">
        <v>1773</v>
      </c>
      <c r="J4" s="3721"/>
      <c r="K4" s="559" t="s">
        <v>1774</v>
      </c>
      <c r="L4" s="2711"/>
      <c r="M4" s="2712"/>
      <c r="N4" s="2712"/>
      <c r="O4" s="2712"/>
      <c r="P4" s="3784" t="s">
        <v>1775</v>
      </c>
      <c r="Q4" s="3785"/>
      <c r="R4" s="3779" t="s">
        <v>1771</v>
      </c>
      <c r="S4" s="3780"/>
      <c r="T4" s="3779" t="s">
        <v>1772</v>
      </c>
      <c r="U4" s="3780"/>
      <c r="V4" s="3788" t="s">
        <v>1773</v>
      </c>
      <c r="W4" s="3788"/>
      <c r="X4" s="1954"/>
      <c r="Y4" s="3779" t="s">
        <v>1775</v>
      </c>
      <c r="Z4" s="3780"/>
      <c r="AA4" s="3778" t="s">
        <v>1771</v>
      </c>
      <c r="AB4" s="3778" t="s">
        <v>1772</v>
      </c>
      <c r="AC4" s="3781" t="s">
        <v>1773</v>
      </c>
    </row>
    <row r="5" spans="1:29" ht="15">
      <c r="A5" s="358"/>
      <c r="B5" s="359"/>
      <c r="C5" s="3713" t="s">
        <v>1673</v>
      </c>
      <c r="D5" s="3714"/>
      <c r="E5" s="3711" t="s">
        <v>1674</v>
      </c>
      <c r="F5" s="3712"/>
      <c r="G5" s="3713" t="s">
        <v>1675</v>
      </c>
      <c r="H5" s="3714"/>
      <c r="I5" s="3713" t="s">
        <v>1676</v>
      </c>
      <c r="J5" s="3714"/>
      <c r="K5" s="559"/>
      <c r="L5" s="2711"/>
      <c r="M5" s="2712"/>
      <c r="N5" s="2712"/>
      <c r="O5" s="2712"/>
      <c r="P5" s="3786"/>
      <c r="Q5" s="3727"/>
      <c r="R5" s="3709"/>
      <c r="S5" s="3710"/>
      <c r="T5" s="3709"/>
      <c r="U5" s="3710"/>
      <c r="V5" s="3732"/>
      <c r="W5" s="3732"/>
      <c r="X5" s="1354"/>
      <c r="Y5" s="3709"/>
      <c r="Z5" s="3710"/>
      <c r="AA5" s="3703"/>
      <c r="AB5" s="3703"/>
      <c r="AC5" s="3782"/>
    </row>
    <row r="6" spans="1:29" ht="15.75" thickBot="1">
      <c r="A6" s="360"/>
      <c r="B6" s="361"/>
      <c r="C6" s="3715" t="s">
        <v>1677</v>
      </c>
      <c r="D6" s="3716"/>
      <c r="E6" s="3717" t="s">
        <v>1677</v>
      </c>
      <c r="F6" s="3718"/>
      <c r="G6" s="3715" t="s">
        <v>1677</v>
      </c>
      <c r="H6" s="3716"/>
      <c r="I6" s="3715" t="s">
        <v>1677</v>
      </c>
      <c r="J6" s="3716"/>
      <c r="K6" s="559" t="s">
        <v>1678</v>
      </c>
      <c r="L6" s="2711"/>
      <c r="M6" s="2712"/>
      <c r="N6" s="2712"/>
      <c r="O6" s="2712"/>
      <c r="P6" s="3787"/>
      <c r="Q6" s="3729"/>
      <c r="R6" s="3709"/>
      <c r="S6" s="3710"/>
      <c r="T6" s="3730"/>
      <c r="U6" s="3731"/>
      <c r="V6" s="3732"/>
      <c r="W6" s="3732"/>
      <c r="X6" s="1354"/>
      <c r="Y6" s="3730"/>
      <c r="Z6" s="3731"/>
      <c r="AA6" s="3704"/>
      <c r="AB6" s="3704"/>
      <c r="AC6" s="3783"/>
    </row>
    <row r="7" spans="1:29" s="108" customFormat="1" ht="15.75" thickBot="1">
      <c r="A7" s="362" t="s">
        <v>1679</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9"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9"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3" t="s">
        <v>1686</v>
      </c>
      <c r="Q9" s="1342" t="str">
        <f t="shared" ref="Q9:Q15" si="6">B9</f>
        <v>用途</v>
      </c>
      <c r="R9" s="701" t="s">
        <v>14</v>
      </c>
      <c r="S9" s="702">
        <f t="shared" si="0"/>
        <v>100</v>
      </c>
      <c r="T9" s="701" t="s">
        <v>14</v>
      </c>
      <c r="U9" s="702">
        <f t="shared" si="1"/>
        <v>100</v>
      </c>
      <c r="V9" s="701" t="s">
        <v>14</v>
      </c>
      <c r="W9" s="702">
        <f t="shared" si="2"/>
        <v>100</v>
      </c>
      <c r="X9" s="703"/>
      <c r="Y9" s="3675"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3"/>
      <c r="Q10" s="1342" t="str">
        <f t="shared" si="6"/>
        <v>土地使用年限（年）</v>
      </c>
      <c r="R10" s="701" t="s">
        <v>14</v>
      </c>
      <c r="S10" s="702">
        <f t="shared" si="0"/>
        <v>100</v>
      </c>
      <c r="T10" s="701" t="s">
        <v>14</v>
      </c>
      <c r="U10" s="702">
        <f t="shared" si="1"/>
        <v>100</v>
      </c>
      <c r="V10" s="701" t="s">
        <v>14</v>
      </c>
      <c r="W10" s="702">
        <f t="shared" si="2"/>
        <v>100</v>
      </c>
      <c r="X10" s="703"/>
      <c r="Y10" s="3675"/>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3"/>
      <c r="Q11" s="1342" t="str">
        <f t="shared" si="6"/>
        <v>容积率</v>
      </c>
      <c r="R11" s="701" t="s">
        <v>14</v>
      </c>
      <c r="S11" s="702">
        <f t="shared" si="0"/>
        <v>100</v>
      </c>
      <c r="T11" s="701" t="s">
        <v>14</v>
      </c>
      <c r="U11" s="702">
        <f t="shared" si="1"/>
        <v>100</v>
      </c>
      <c r="V11" s="701" t="s">
        <v>14</v>
      </c>
      <c r="W11" s="702">
        <f t="shared" si="2"/>
        <v>100</v>
      </c>
      <c r="X11" s="703"/>
      <c r="Y11" s="3675"/>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3"/>
      <c r="Q12" s="1342">
        <f t="shared" si="6"/>
        <v>111</v>
      </c>
      <c r="R12" s="701" t="s">
        <v>14</v>
      </c>
      <c r="S12" s="702">
        <f t="shared" si="0"/>
        <v>100</v>
      </c>
      <c r="T12" s="701" t="s">
        <v>14</v>
      </c>
      <c r="U12" s="702">
        <f t="shared" si="1"/>
        <v>100</v>
      </c>
      <c r="V12" s="701" t="s">
        <v>14</v>
      </c>
      <c r="W12" s="702">
        <f t="shared" si="2"/>
        <v>100</v>
      </c>
      <c r="X12" s="703"/>
      <c r="Y12" s="3675"/>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3"/>
      <c r="Q13" s="1342">
        <f t="shared" si="6"/>
        <v>111</v>
      </c>
      <c r="R13" s="701" t="s">
        <v>14</v>
      </c>
      <c r="S13" s="702">
        <f t="shared" si="0"/>
        <v>100</v>
      </c>
      <c r="T13" s="701" t="s">
        <v>14</v>
      </c>
      <c r="U13" s="702">
        <f t="shared" si="1"/>
        <v>100</v>
      </c>
      <c r="V13" s="701" t="s">
        <v>14</v>
      </c>
      <c r="W13" s="702">
        <f t="shared" si="2"/>
        <v>100</v>
      </c>
      <c r="X13" s="703"/>
      <c r="Y13" s="3675"/>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3"/>
      <c r="Q14" s="1342">
        <f t="shared" si="6"/>
        <v>111</v>
      </c>
      <c r="R14" s="701" t="s">
        <v>14</v>
      </c>
      <c r="S14" s="702">
        <f t="shared" si="0"/>
        <v>100</v>
      </c>
      <c r="T14" s="701" t="s">
        <v>14</v>
      </c>
      <c r="U14" s="702">
        <f t="shared" si="1"/>
        <v>100</v>
      </c>
      <c r="V14" s="701" t="s">
        <v>14</v>
      </c>
      <c r="W14" s="702">
        <f t="shared" si="2"/>
        <v>100</v>
      </c>
      <c r="X14" s="703"/>
      <c r="Y14" s="3675"/>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76" t="s">
        <v>1691</v>
      </c>
      <c r="Q15" s="1351" t="str">
        <f t="shared" si="6"/>
        <v>办公集聚程度</v>
      </c>
      <c r="R15" s="705" t="s">
        <v>14</v>
      </c>
      <c r="S15" s="706">
        <f t="shared" si="0"/>
        <v>100</v>
      </c>
      <c r="T15" s="705" t="s">
        <v>14</v>
      </c>
      <c r="U15" s="706">
        <f t="shared" si="1"/>
        <v>100</v>
      </c>
      <c r="V15" s="705" t="s">
        <v>14</v>
      </c>
      <c r="W15" s="706">
        <f t="shared" si="2"/>
        <v>100</v>
      </c>
      <c r="X15" s="1354"/>
      <c r="Y15" s="3734"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77"/>
      <c r="Q16" s="1351"/>
      <c r="R16" s="705"/>
      <c r="S16" s="706"/>
      <c r="T16" s="705"/>
      <c r="U16" s="706"/>
      <c r="V16" s="705"/>
      <c r="W16" s="706"/>
      <c r="X16" s="1354"/>
      <c r="Y16" s="3735"/>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77"/>
      <c r="Q17" s="1351" t="str">
        <f>B17</f>
        <v>交通便捷度</v>
      </c>
      <c r="R17" s="705" t="s">
        <v>14</v>
      </c>
      <c r="S17" s="706">
        <f>F17</f>
        <v>100</v>
      </c>
      <c r="T17" s="705" t="s">
        <v>14</v>
      </c>
      <c r="U17" s="706">
        <f>H17</f>
        <v>100</v>
      </c>
      <c r="V17" s="705" t="s">
        <v>14</v>
      </c>
      <c r="W17" s="706">
        <f>J17</f>
        <v>100</v>
      </c>
      <c r="X17" s="1354"/>
      <c r="Y17" s="3735"/>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77"/>
      <c r="Q18" s="1351"/>
      <c r="R18" s="705"/>
      <c r="S18" s="706"/>
      <c r="T18" s="705"/>
      <c r="U18" s="706"/>
      <c r="V18" s="705"/>
      <c r="W18" s="706"/>
      <c r="X18" s="1354"/>
      <c r="Y18" s="3735"/>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7"/>
      <c r="Q19" s="1351" t="str">
        <f>B19</f>
        <v>公共配套设施</v>
      </c>
      <c r="R19" s="705" t="s">
        <v>14</v>
      </c>
      <c r="S19" s="706">
        <f>F19</f>
        <v>100</v>
      </c>
      <c r="T19" s="705" t="s">
        <v>14</v>
      </c>
      <c r="U19" s="706">
        <f>H19</f>
        <v>100</v>
      </c>
      <c r="V19" s="705" t="s">
        <v>14</v>
      </c>
      <c r="W19" s="706">
        <f>J19</f>
        <v>100</v>
      </c>
      <c r="X19" s="1354"/>
      <c r="Y19" s="3735"/>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77"/>
      <c r="Q20" s="1351"/>
      <c r="R20" s="705"/>
      <c r="S20" s="706"/>
      <c r="T20" s="705"/>
      <c r="U20" s="706"/>
      <c r="V20" s="705"/>
      <c r="W20" s="706"/>
      <c r="X20" s="1354"/>
      <c r="Y20" s="3735"/>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7"/>
      <c r="Q21" s="1351" t="str">
        <f>B21</f>
        <v>基础设施水平</v>
      </c>
      <c r="R21" s="705" t="s">
        <v>14</v>
      </c>
      <c r="S21" s="706">
        <f>F21</f>
        <v>100</v>
      </c>
      <c r="T21" s="705" t="s">
        <v>14</v>
      </c>
      <c r="U21" s="706">
        <f>H21</f>
        <v>100</v>
      </c>
      <c r="V21" s="705" t="s">
        <v>14</v>
      </c>
      <c r="W21" s="706">
        <f>J21</f>
        <v>100</v>
      </c>
      <c r="X21" s="1354"/>
      <c r="Y21" s="3735"/>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77"/>
      <c r="Q22" s="1351"/>
      <c r="R22" s="705"/>
      <c r="S22" s="706"/>
      <c r="T22" s="705"/>
      <c r="U22" s="706"/>
      <c r="V22" s="705"/>
      <c r="W22" s="706"/>
      <c r="X22" s="1354"/>
      <c r="Y22" s="3735"/>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7"/>
      <c r="Q23" s="1351" t="str">
        <f>B23</f>
        <v>环境质量</v>
      </c>
      <c r="R23" s="705" t="s">
        <v>14</v>
      </c>
      <c r="S23" s="706">
        <f>F23</f>
        <v>100</v>
      </c>
      <c r="T23" s="705" t="s">
        <v>14</v>
      </c>
      <c r="U23" s="706">
        <f>H23</f>
        <v>100</v>
      </c>
      <c r="V23" s="705" t="s">
        <v>14</v>
      </c>
      <c r="W23" s="706">
        <f>J23</f>
        <v>100</v>
      </c>
      <c r="X23" s="1354"/>
      <c r="Y23" s="3735"/>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77"/>
      <c r="Q24" s="1351"/>
      <c r="R24" s="705"/>
      <c r="S24" s="706"/>
      <c r="T24" s="705"/>
      <c r="U24" s="706"/>
      <c r="V24" s="705"/>
      <c r="W24" s="706"/>
      <c r="X24" s="1354"/>
      <c r="Y24" s="3735"/>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77"/>
      <c r="Q25" s="1351" t="str">
        <f>B25</f>
        <v>毗邻道路的类型与等级</v>
      </c>
      <c r="R25" s="705" t="s">
        <v>14</v>
      </c>
      <c r="S25" s="706">
        <f>F25</f>
        <v>100</v>
      </c>
      <c r="T25" s="705" t="s">
        <v>14</v>
      </c>
      <c r="U25" s="706">
        <f>H25</f>
        <v>100</v>
      </c>
      <c r="V25" s="705" t="s">
        <v>14</v>
      </c>
      <c r="W25" s="706">
        <f>J25</f>
        <v>100</v>
      </c>
      <c r="X25" s="1354"/>
      <c r="Y25" s="3735"/>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77"/>
      <c r="Q26" s="1351"/>
      <c r="R26" s="705"/>
      <c r="S26" s="706"/>
      <c r="T26" s="705"/>
      <c r="U26" s="706"/>
      <c r="V26" s="705"/>
      <c r="W26" s="706"/>
      <c r="X26" s="1354"/>
      <c r="Y26" s="3735"/>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7"/>
      <c r="Q27" s="1351" t="str">
        <f t="shared" ref="Q27:Q47" si="11">B27</f>
        <v>楼层</v>
      </c>
      <c r="R27" s="705" t="s">
        <v>14</v>
      </c>
      <c r="S27" s="706">
        <f>F27</f>
        <v>100</v>
      </c>
      <c r="T27" s="705" t="s">
        <v>14</v>
      </c>
      <c r="U27" s="706">
        <f>H27</f>
        <v>100</v>
      </c>
      <c r="V27" s="705" t="s">
        <v>14</v>
      </c>
      <c r="W27" s="706">
        <f>J27</f>
        <v>100</v>
      </c>
      <c r="X27" s="1354"/>
      <c r="Y27" s="3735"/>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7"/>
      <c r="Q28" s="1342" t="str">
        <f t="shared" si="11"/>
        <v>朝向</v>
      </c>
      <c r="R28" s="701" t="s">
        <v>14</v>
      </c>
      <c r="S28" s="702">
        <f>F28</f>
        <v>100</v>
      </c>
      <c r="T28" s="701" t="s">
        <v>14</v>
      </c>
      <c r="U28" s="702">
        <f>H28</f>
        <v>100</v>
      </c>
      <c r="V28" s="701" t="s">
        <v>14</v>
      </c>
      <c r="W28" s="702">
        <f>J28</f>
        <v>100</v>
      </c>
      <c r="X28" s="703"/>
      <c r="Y28" s="3735"/>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7"/>
      <c r="Q29" s="1351">
        <f t="shared" si="11"/>
        <v>111</v>
      </c>
      <c r="R29" s="705" t="s">
        <v>14</v>
      </c>
      <c r="S29" s="706">
        <f t="shared" ref="S29:S47" si="12">F29</f>
        <v>100</v>
      </c>
      <c r="T29" s="705" t="s">
        <v>14</v>
      </c>
      <c r="U29" s="706">
        <f t="shared" ref="U29:U47" si="13">H29</f>
        <v>100</v>
      </c>
      <c r="V29" s="705" t="s">
        <v>14</v>
      </c>
      <c r="W29" s="706">
        <f t="shared" ref="W29:W47" si="14">J29</f>
        <v>100</v>
      </c>
      <c r="X29" s="1354"/>
      <c r="Y29" s="3735"/>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7"/>
      <c r="Q30" s="1351">
        <f t="shared" si="11"/>
        <v>111</v>
      </c>
      <c r="R30" s="705" t="s">
        <v>14</v>
      </c>
      <c r="S30" s="706">
        <f t="shared" si="12"/>
        <v>100</v>
      </c>
      <c r="T30" s="705" t="s">
        <v>14</v>
      </c>
      <c r="U30" s="706">
        <f t="shared" si="13"/>
        <v>100</v>
      </c>
      <c r="V30" s="705" t="s">
        <v>14</v>
      </c>
      <c r="W30" s="706">
        <f t="shared" si="14"/>
        <v>100</v>
      </c>
      <c r="X30" s="1354"/>
      <c r="Y30" s="3735"/>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7"/>
      <c r="Q31" s="1351">
        <f t="shared" si="11"/>
        <v>111</v>
      </c>
      <c r="R31" s="705" t="s">
        <v>14</v>
      </c>
      <c r="S31" s="706">
        <f t="shared" si="12"/>
        <v>100</v>
      </c>
      <c r="T31" s="705" t="s">
        <v>14</v>
      </c>
      <c r="U31" s="706">
        <f t="shared" si="13"/>
        <v>100</v>
      </c>
      <c r="V31" s="705" t="s">
        <v>14</v>
      </c>
      <c r="W31" s="706">
        <f t="shared" si="14"/>
        <v>100</v>
      </c>
      <c r="X31" s="1354"/>
      <c r="Y31" s="3735"/>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7"/>
      <c r="Q32" s="1351">
        <f t="shared" si="11"/>
        <v>111</v>
      </c>
      <c r="R32" s="705" t="s">
        <v>14</v>
      </c>
      <c r="S32" s="706">
        <f t="shared" si="12"/>
        <v>100</v>
      </c>
      <c r="T32" s="705" t="s">
        <v>14</v>
      </c>
      <c r="U32" s="706">
        <f t="shared" si="13"/>
        <v>100</v>
      </c>
      <c r="V32" s="705" t="s">
        <v>14</v>
      </c>
      <c r="W32" s="706">
        <f t="shared" si="14"/>
        <v>100</v>
      </c>
      <c r="X32" s="1354"/>
      <c r="Y32" s="3735"/>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72" t="s">
        <v>1696</v>
      </c>
      <c r="Q33" s="1351" t="str">
        <f t="shared" si="11"/>
        <v>建筑类型</v>
      </c>
      <c r="R33" s="705" t="s">
        <v>14</v>
      </c>
      <c r="S33" s="706">
        <f t="shared" si="12"/>
        <v>100</v>
      </c>
      <c r="T33" s="705" t="s">
        <v>14</v>
      </c>
      <c r="U33" s="706">
        <f t="shared" si="13"/>
        <v>100</v>
      </c>
      <c r="V33" s="705" t="s">
        <v>14</v>
      </c>
      <c r="W33" s="706">
        <f t="shared" si="14"/>
        <v>100</v>
      </c>
      <c r="X33" s="1354"/>
      <c r="Y33" s="3737"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73"/>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3"/>
      <c r="Q35" s="1351" t="str">
        <f t="shared" si="11"/>
        <v>建筑结构</v>
      </c>
      <c r="R35" s="705" t="s">
        <v>14</v>
      </c>
      <c r="S35" s="706">
        <f t="shared" si="12"/>
        <v>100</v>
      </c>
      <c r="T35" s="705" t="s">
        <v>14</v>
      </c>
      <c r="U35" s="706">
        <f t="shared" si="13"/>
        <v>100</v>
      </c>
      <c r="V35" s="705" t="s">
        <v>14</v>
      </c>
      <c r="W35" s="706">
        <f t="shared" si="14"/>
        <v>100</v>
      </c>
      <c r="X35" s="1354"/>
      <c r="Y35" s="3737"/>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3"/>
      <c r="Q36" s="1351" t="str">
        <f t="shared" si="11"/>
        <v>公共部分装修</v>
      </c>
      <c r="R36" s="705" t="s">
        <v>14</v>
      </c>
      <c r="S36" s="706">
        <f t="shared" si="12"/>
        <v>100</v>
      </c>
      <c r="T36" s="705" t="s">
        <v>14</v>
      </c>
      <c r="U36" s="706">
        <f t="shared" si="13"/>
        <v>100</v>
      </c>
      <c r="V36" s="705" t="s">
        <v>14</v>
      </c>
      <c r="W36" s="706">
        <f t="shared" si="14"/>
        <v>100</v>
      </c>
      <c r="X36" s="1354"/>
      <c r="Y36" s="3737"/>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73"/>
      <c r="Q37" s="1351" t="str">
        <f t="shared" si="11"/>
        <v>成新度</v>
      </c>
      <c r="R37" s="705" t="s">
        <v>14</v>
      </c>
      <c r="S37" s="706" t="e">
        <f t="shared" si="12"/>
        <v>#N/A</v>
      </c>
      <c r="T37" s="705" t="s">
        <v>14</v>
      </c>
      <c r="U37" s="706" t="e">
        <f t="shared" si="13"/>
        <v>#N/A</v>
      </c>
      <c r="V37" s="705" t="s">
        <v>14</v>
      </c>
      <c r="W37" s="706" t="e">
        <f t="shared" si="14"/>
        <v>#N/A</v>
      </c>
      <c r="X37" s="1354"/>
      <c r="Y37" s="3737"/>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3"/>
      <c r="Q38" s="1342"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3" t="s">
        <v>1696</v>
      </c>
      <c r="Q39" s="1351" t="str">
        <f t="shared" si="11"/>
        <v>物业管理</v>
      </c>
      <c r="R39" s="705" t="s">
        <v>14</v>
      </c>
      <c r="S39" s="706">
        <f t="shared" si="12"/>
        <v>100</v>
      </c>
      <c r="T39" s="705" t="s">
        <v>14</v>
      </c>
      <c r="U39" s="706">
        <f t="shared" si="13"/>
        <v>100</v>
      </c>
      <c r="V39" s="705" t="s">
        <v>14</v>
      </c>
      <c r="W39" s="706">
        <f t="shared" si="14"/>
        <v>100</v>
      </c>
      <c r="X39" s="1354"/>
      <c r="Y39" s="3737"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3"/>
      <c r="Q40" s="1351" t="str">
        <f t="shared" si="11"/>
        <v>市政基础设施</v>
      </c>
      <c r="R40" s="705" t="s">
        <v>14</v>
      </c>
      <c r="S40" s="706">
        <f t="shared" si="12"/>
        <v>100</v>
      </c>
      <c r="T40" s="705" t="s">
        <v>14</v>
      </c>
      <c r="U40" s="706">
        <f t="shared" si="13"/>
        <v>100</v>
      </c>
      <c r="V40" s="705" t="s">
        <v>14</v>
      </c>
      <c r="W40" s="706">
        <f t="shared" si="14"/>
        <v>100</v>
      </c>
      <c r="X40" s="1354"/>
      <c r="Y40" s="3737"/>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3"/>
      <c r="Q41" s="1351" t="str">
        <f t="shared" si="11"/>
        <v>层高</v>
      </c>
      <c r="R41" s="705" t="s">
        <v>14</v>
      </c>
      <c r="S41" s="706">
        <f t="shared" si="12"/>
        <v>100</v>
      </c>
      <c r="T41" s="705" t="s">
        <v>14</v>
      </c>
      <c r="U41" s="706">
        <f t="shared" si="13"/>
        <v>100</v>
      </c>
      <c r="V41" s="705" t="s">
        <v>14</v>
      </c>
      <c r="W41" s="706">
        <f t="shared" si="14"/>
        <v>100</v>
      </c>
      <c r="X41" s="1354"/>
      <c r="Y41" s="3737"/>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3"/>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3"/>
      <c r="Q43" s="1351" t="str">
        <f t="shared" si="11"/>
        <v>内部装修</v>
      </c>
      <c r="R43" s="705" t="s">
        <v>14</v>
      </c>
      <c r="S43" s="706">
        <f t="shared" si="12"/>
        <v>100</v>
      </c>
      <c r="T43" s="705" t="s">
        <v>14</v>
      </c>
      <c r="U43" s="706">
        <f t="shared" si="13"/>
        <v>100</v>
      </c>
      <c r="V43" s="705" t="s">
        <v>14</v>
      </c>
      <c r="W43" s="706">
        <f t="shared" si="14"/>
        <v>100</v>
      </c>
      <c r="X43" s="1354"/>
      <c r="Y43" s="3737"/>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73"/>
      <c r="Q44" s="1351" t="str">
        <f t="shared" si="11"/>
        <v>内部装修维护情况</v>
      </c>
      <c r="R44" s="705" t="s">
        <v>14</v>
      </c>
      <c r="S44" s="706">
        <f t="shared" si="12"/>
        <v>100</v>
      </c>
      <c r="T44" s="705" t="s">
        <v>14</v>
      </c>
      <c r="U44" s="706">
        <f t="shared" si="13"/>
        <v>100</v>
      </c>
      <c r="V44" s="705" t="s">
        <v>14</v>
      </c>
      <c r="W44" s="706">
        <f t="shared" si="14"/>
        <v>100</v>
      </c>
      <c r="X44" s="1354"/>
      <c r="Y44" s="3737"/>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73"/>
      <c r="Q45" s="1342">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3"/>
      <c r="Q46" s="1351">
        <f t="shared" si="11"/>
        <v>111</v>
      </c>
      <c r="R46" s="705" t="s">
        <v>14</v>
      </c>
      <c r="S46" s="706">
        <f t="shared" si="12"/>
        <v>100</v>
      </c>
      <c r="T46" s="705" t="s">
        <v>14</v>
      </c>
      <c r="U46" s="706">
        <f t="shared" si="13"/>
        <v>100</v>
      </c>
      <c r="V46" s="705" t="s">
        <v>14</v>
      </c>
      <c r="W46" s="706">
        <f t="shared" si="14"/>
        <v>100</v>
      </c>
      <c r="X46" s="1354"/>
      <c r="Y46" s="3737"/>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4"/>
      <c r="Q47" s="1351">
        <f t="shared" si="11"/>
        <v>111</v>
      </c>
      <c r="R47" s="705" t="s">
        <v>14</v>
      </c>
      <c r="S47" s="706">
        <f t="shared" si="12"/>
        <v>100</v>
      </c>
      <c r="T47" s="705" t="s">
        <v>14</v>
      </c>
      <c r="U47" s="706">
        <f t="shared" si="13"/>
        <v>100</v>
      </c>
      <c r="V47" s="705" t="s">
        <v>14</v>
      </c>
      <c r="W47" s="706">
        <f t="shared" si="14"/>
        <v>100</v>
      </c>
      <c r="X47" s="1354"/>
      <c r="Y47" s="3775"/>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43" t="str">
        <f>A48</f>
        <v>成交单价（元/平方米）</v>
      </c>
      <c r="Q48" s="3719"/>
      <c r="R48" s="3771">
        <f>E48</f>
        <v>0</v>
      </c>
      <c r="S48" s="3771"/>
      <c r="T48" s="3771">
        <f>G48</f>
        <v>0</v>
      </c>
      <c r="U48" s="3771"/>
      <c r="V48" s="3771">
        <f>I48</f>
        <v>0</v>
      </c>
      <c r="W48" s="3771"/>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43" t="str">
        <f>A49</f>
        <v>比较价值（元/平方米）</v>
      </c>
      <c r="Q49" s="3719"/>
      <c r="R49" s="3771" t="e">
        <f>IF(F1="售价",ROUND(PRODUCT(R48,AA7:AA47),0),ROUND(PRODUCT(R48,AA7:AA47),1))</f>
        <v>#DIV/0!</v>
      </c>
      <c r="S49" s="3771"/>
      <c r="T49" s="3771" t="e">
        <f>IF(F1="售价",ROUND(PRODUCT(T48,AB7:AB47),0),ROUND(PRODUCT(T48,AB7:AB47),1))</f>
        <v>#DIV/0!</v>
      </c>
      <c r="U49" s="3771"/>
      <c r="V49" s="3771" t="e">
        <f>IF(F1="售价",ROUND(PRODUCT(V48,AC7:AC47),0),ROUND(PRODUCT(V48,AC7:AC47),1))</f>
        <v>#DIV/0!</v>
      </c>
      <c r="W49" s="37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90" t="str">
        <f>A50</f>
        <v>估价对象XX用房的比较价值（楼面单价，元/平方米）</v>
      </c>
      <c r="Q50" s="3791"/>
      <c r="R50" s="3792" t="e">
        <f>IF(F1="售价",ROUND(IF(D49="简单平均",AVERAGE(R49:V49),R49*F49+T49*H49+V49*J49),0),ROUND(IF(D49="简单平均",AVERAGE(R49:V49),R49*F49+T49*H49+V49*J49),1))</f>
        <v>#DIV/0!</v>
      </c>
      <c r="S50" s="3792"/>
      <c r="T50" s="3792"/>
      <c r="U50" s="3792"/>
      <c r="V50" s="3792"/>
      <c r="W50" s="3792"/>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69908.279999999955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913"/>
      <c r="M4" s="914"/>
      <c r="N4" s="914"/>
      <c r="O4" s="914"/>
      <c r="P4" s="3724" t="s">
        <v>1775</v>
      </c>
      <c r="Q4" s="3725"/>
      <c r="R4" s="3707" t="s">
        <v>1771</v>
      </c>
      <c r="S4" s="3708"/>
      <c r="T4" s="3707" t="s">
        <v>1772</v>
      </c>
      <c r="U4" s="3708"/>
      <c r="V4" s="3732" t="s">
        <v>1773</v>
      </c>
      <c r="W4" s="3732"/>
      <c r="X4" s="1354"/>
      <c r="Y4" s="3707" t="s">
        <v>1775</v>
      </c>
      <c r="Z4" s="3708"/>
      <c r="AA4" s="3702" t="s">
        <v>1771</v>
      </c>
      <c r="AB4" s="3703" t="s">
        <v>1772</v>
      </c>
      <c r="AC4" s="3702" t="s">
        <v>1773</v>
      </c>
    </row>
    <row r="5" spans="1:29" ht="15">
      <c r="A5" s="358"/>
      <c r="B5" s="359"/>
      <c r="C5" s="3713" t="s">
        <v>1673</v>
      </c>
      <c r="D5" s="3714"/>
      <c r="E5" s="3711" t="s">
        <v>1674</v>
      </c>
      <c r="F5" s="3712"/>
      <c r="G5" s="3713" t="s">
        <v>1675</v>
      </c>
      <c r="H5" s="3714"/>
      <c r="I5" s="3713" t="s">
        <v>1676</v>
      </c>
      <c r="J5" s="3714"/>
      <c r="K5" s="559"/>
      <c r="L5" s="913"/>
      <c r="M5" s="914"/>
      <c r="N5" s="914"/>
      <c r="O5" s="914"/>
      <c r="P5" s="3726"/>
      <c r="Q5" s="3727"/>
      <c r="R5" s="3709"/>
      <c r="S5" s="3710"/>
      <c r="T5" s="3709"/>
      <c r="U5" s="3710"/>
      <c r="V5" s="3732"/>
      <c r="W5" s="3732"/>
      <c r="X5" s="1354"/>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913"/>
      <c r="M6" s="914"/>
      <c r="N6" s="914"/>
      <c r="O6" s="914"/>
      <c r="P6" s="3728"/>
      <c r="Q6" s="3729"/>
      <c r="R6" s="3709"/>
      <c r="S6" s="3710"/>
      <c r="T6" s="3730"/>
      <c r="U6" s="3731"/>
      <c r="V6" s="3732"/>
      <c r="W6" s="3732"/>
      <c r="X6" s="1354"/>
      <c r="Y6" s="3730"/>
      <c r="Z6" s="3731"/>
      <c r="AA6" s="3704"/>
      <c r="AB6" s="3704"/>
      <c r="AC6" s="3704"/>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1686</v>
      </c>
      <c r="Q9" s="1342" t="str">
        <f t="shared" ref="Q9:Q15" si="6">B9</f>
        <v>用途</v>
      </c>
      <c r="R9" s="701" t="s">
        <v>14</v>
      </c>
      <c r="S9" s="702">
        <f t="shared" si="0"/>
        <v>100</v>
      </c>
      <c r="T9" s="701" t="s">
        <v>14</v>
      </c>
      <c r="U9" s="702">
        <f t="shared" si="1"/>
        <v>100</v>
      </c>
      <c r="V9" s="701" t="s">
        <v>14</v>
      </c>
      <c r="W9" s="702">
        <f t="shared" si="2"/>
        <v>100</v>
      </c>
      <c r="X9" s="703"/>
      <c r="Y9" s="367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9"/>
      <c r="Q10" s="1342" t="str">
        <f t="shared" si="6"/>
        <v>土地使用年限（年）</v>
      </c>
      <c r="R10" s="701" t="s">
        <v>14</v>
      </c>
      <c r="S10" s="702">
        <f t="shared" si="0"/>
        <v>100</v>
      </c>
      <c r="T10" s="701" t="s">
        <v>14</v>
      </c>
      <c r="U10" s="702">
        <f t="shared" si="1"/>
        <v>100</v>
      </c>
      <c r="V10" s="701" t="s">
        <v>14</v>
      </c>
      <c r="W10" s="702">
        <f t="shared" si="2"/>
        <v>100</v>
      </c>
      <c r="X10" s="703"/>
      <c r="Y10" s="36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2" t="str">
        <f t="shared" si="6"/>
        <v>容积率</v>
      </c>
      <c r="R11" s="701" t="s">
        <v>14</v>
      </c>
      <c r="S11" s="702">
        <f t="shared" si="0"/>
        <v>100</v>
      </c>
      <c r="T11" s="701" t="s">
        <v>14</v>
      </c>
      <c r="U11" s="702">
        <f t="shared" si="1"/>
        <v>100</v>
      </c>
      <c r="V11" s="701" t="s">
        <v>14</v>
      </c>
      <c r="W11" s="702">
        <f t="shared" si="2"/>
        <v>100</v>
      </c>
      <c r="X11" s="703"/>
      <c r="Y11" s="367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9"/>
      <c r="Q12" s="1342">
        <f t="shared" si="6"/>
        <v>111</v>
      </c>
      <c r="R12" s="701" t="s">
        <v>14</v>
      </c>
      <c r="S12" s="702">
        <f t="shared" si="0"/>
        <v>100</v>
      </c>
      <c r="T12" s="701" t="s">
        <v>14</v>
      </c>
      <c r="U12" s="702">
        <f t="shared" si="1"/>
        <v>100</v>
      </c>
      <c r="V12" s="701" t="s">
        <v>14</v>
      </c>
      <c r="W12" s="702">
        <f t="shared" si="2"/>
        <v>100</v>
      </c>
      <c r="X12" s="703"/>
      <c r="Y12" s="367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9"/>
      <c r="Q13" s="1342">
        <f t="shared" si="6"/>
        <v>111</v>
      </c>
      <c r="R13" s="701" t="s">
        <v>14</v>
      </c>
      <c r="S13" s="702">
        <f t="shared" si="0"/>
        <v>100</v>
      </c>
      <c r="T13" s="701" t="s">
        <v>14</v>
      </c>
      <c r="U13" s="702">
        <f t="shared" si="1"/>
        <v>100</v>
      </c>
      <c r="V13" s="701" t="s">
        <v>14</v>
      </c>
      <c r="W13" s="702">
        <f t="shared" si="2"/>
        <v>100</v>
      </c>
      <c r="X13" s="703"/>
      <c r="Y13" s="367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9"/>
      <c r="Q14" s="1342">
        <f t="shared" si="6"/>
        <v>111</v>
      </c>
      <c r="R14" s="701" t="s">
        <v>14</v>
      </c>
      <c r="S14" s="702">
        <f t="shared" si="0"/>
        <v>100</v>
      </c>
      <c r="T14" s="701" t="s">
        <v>14</v>
      </c>
      <c r="U14" s="702">
        <f t="shared" si="1"/>
        <v>100</v>
      </c>
      <c r="V14" s="701" t="s">
        <v>14</v>
      </c>
      <c r="W14" s="702">
        <f t="shared" si="2"/>
        <v>100</v>
      </c>
      <c r="X14" s="703"/>
      <c r="Y14" s="3675"/>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4" t="s">
        <v>1691</v>
      </c>
      <c r="Q15" s="1351" t="str">
        <f t="shared" si="6"/>
        <v>产业集聚程度</v>
      </c>
      <c r="R15" s="705" t="s">
        <v>14</v>
      </c>
      <c r="S15" s="706">
        <f t="shared" si="0"/>
        <v>100</v>
      </c>
      <c r="T15" s="705" t="s">
        <v>14</v>
      </c>
      <c r="U15" s="706">
        <f t="shared" si="1"/>
        <v>100</v>
      </c>
      <c r="V15" s="705" t="s">
        <v>14</v>
      </c>
      <c r="W15" s="706">
        <f t="shared" si="2"/>
        <v>100</v>
      </c>
      <c r="X15" s="1354"/>
      <c r="Y15" s="373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5"/>
      <c r="Q16" s="1351"/>
      <c r="R16" s="705"/>
      <c r="S16" s="706"/>
      <c r="T16" s="705"/>
      <c r="U16" s="706"/>
      <c r="V16" s="705"/>
      <c r="W16" s="706"/>
      <c r="X16" s="1354"/>
      <c r="Y16" s="3735"/>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5"/>
      <c r="Q17" s="1351" t="str">
        <f>B17</f>
        <v>交通便捷度</v>
      </c>
      <c r="R17" s="705" t="s">
        <v>14</v>
      </c>
      <c r="S17" s="706">
        <f>F17</f>
        <v>100</v>
      </c>
      <c r="T17" s="705" t="s">
        <v>14</v>
      </c>
      <c r="U17" s="706">
        <f>H17</f>
        <v>100</v>
      </c>
      <c r="V17" s="705" t="s">
        <v>14</v>
      </c>
      <c r="W17" s="706">
        <f>J17</f>
        <v>100</v>
      </c>
      <c r="X17" s="1354"/>
      <c r="Y17" s="3735"/>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35"/>
      <c r="Q18" s="1351"/>
      <c r="R18" s="705"/>
      <c r="S18" s="706"/>
      <c r="T18" s="705"/>
      <c r="U18" s="706"/>
      <c r="V18" s="705"/>
      <c r="W18" s="706"/>
      <c r="X18" s="1354"/>
      <c r="Y18" s="3735"/>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5"/>
      <c r="Q19" s="1351" t="str">
        <f>B19</f>
        <v>公共配套设施</v>
      </c>
      <c r="R19" s="705" t="s">
        <v>14</v>
      </c>
      <c r="S19" s="706">
        <f>F19</f>
        <v>100</v>
      </c>
      <c r="T19" s="705" t="s">
        <v>14</v>
      </c>
      <c r="U19" s="706">
        <f>H19</f>
        <v>100</v>
      </c>
      <c r="V19" s="705" t="s">
        <v>14</v>
      </c>
      <c r="W19" s="706">
        <f>J19</f>
        <v>100</v>
      </c>
      <c r="X19" s="1354"/>
      <c r="Y19" s="3735"/>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35"/>
      <c r="Q20" s="1351"/>
      <c r="R20" s="705"/>
      <c r="S20" s="706"/>
      <c r="T20" s="705"/>
      <c r="U20" s="706"/>
      <c r="V20" s="705"/>
      <c r="W20" s="706"/>
      <c r="X20" s="1354"/>
      <c r="Y20" s="3735"/>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5"/>
      <c r="Q21" s="1351" t="str">
        <f>B21</f>
        <v>基础设施水平</v>
      </c>
      <c r="R21" s="705" t="s">
        <v>14</v>
      </c>
      <c r="S21" s="706">
        <f>F21</f>
        <v>100</v>
      </c>
      <c r="T21" s="705" t="s">
        <v>14</v>
      </c>
      <c r="U21" s="706">
        <f>H21</f>
        <v>100</v>
      </c>
      <c r="V21" s="705" t="s">
        <v>14</v>
      </c>
      <c r="W21" s="706">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35"/>
      <c r="Q22" s="1351"/>
      <c r="R22" s="705"/>
      <c r="S22" s="706"/>
      <c r="T22" s="705"/>
      <c r="U22" s="706"/>
      <c r="V22" s="705"/>
      <c r="W22" s="706"/>
      <c r="X22" s="1354"/>
      <c r="Y22" s="3735"/>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5"/>
      <c r="Q23" s="1351" t="str">
        <f>B23</f>
        <v>环境质量</v>
      </c>
      <c r="R23" s="705" t="s">
        <v>14</v>
      </c>
      <c r="S23" s="706">
        <f>F23</f>
        <v>100</v>
      </c>
      <c r="T23" s="705" t="s">
        <v>14</v>
      </c>
      <c r="U23" s="706">
        <f>H23</f>
        <v>100</v>
      </c>
      <c r="V23" s="705" t="s">
        <v>14</v>
      </c>
      <c r="W23" s="706">
        <f>J23</f>
        <v>100</v>
      </c>
      <c r="X23" s="1354"/>
      <c r="Y23" s="3735"/>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35"/>
      <c r="Q24" s="1351"/>
      <c r="R24" s="705"/>
      <c r="S24" s="706"/>
      <c r="T24" s="705"/>
      <c r="U24" s="706"/>
      <c r="V24" s="705"/>
      <c r="W24" s="706"/>
      <c r="X24" s="1354"/>
      <c r="Y24" s="373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5"/>
      <c r="Q25" s="1351">
        <f>B25</f>
        <v>111</v>
      </c>
      <c r="R25" s="705" t="s">
        <v>14</v>
      </c>
      <c r="S25" s="706">
        <f>F25</f>
        <v>100</v>
      </c>
      <c r="T25" s="705" t="s">
        <v>14</v>
      </c>
      <c r="U25" s="706">
        <f>H25</f>
        <v>100</v>
      </c>
      <c r="V25" s="705" t="s">
        <v>14</v>
      </c>
      <c r="W25" s="706">
        <f>J25</f>
        <v>100</v>
      </c>
      <c r="X25" s="1354"/>
      <c r="Y25" s="373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5"/>
      <c r="Q26" s="1351">
        <f t="shared" ref="Q26:Q40" si="11">B26</f>
        <v>111</v>
      </c>
      <c r="R26" s="705" t="s">
        <v>14</v>
      </c>
      <c r="S26" s="706">
        <f>F26</f>
        <v>100</v>
      </c>
      <c r="T26" s="705" t="s">
        <v>14</v>
      </c>
      <c r="U26" s="706">
        <f>H26</f>
        <v>100</v>
      </c>
      <c r="V26" s="705" t="s">
        <v>14</v>
      </c>
      <c r="W26" s="706">
        <f>J26</f>
        <v>100</v>
      </c>
      <c r="X26" s="1354"/>
      <c r="Y26" s="373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5"/>
      <c r="Q27" s="1342">
        <f t="shared" si="11"/>
        <v>111</v>
      </c>
      <c r="R27" s="701" t="s">
        <v>14</v>
      </c>
      <c r="S27" s="702">
        <f>F27</f>
        <v>100</v>
      </c>
      <c r="T27" s="701" t="s">
        <v>14</v>
      </c>
      <c r="U27" s="702">
        <f>H27</f>
        <v>100</v>
      </c>
      <c r="V27" s="701" t="s">
        <v>14</v>
      </c>
      <c r="W27" s="702">
        <f>J27</f>
        <v>100</v>
      </c>
      <c r="X27" s="703"/>
      <c r="Y27" s="373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5"/>
      <c r="Q28" s="1351">
        <f t="shared" si="11"/>
        <v>111</v>
      </c>
      <c r="R28" s="705" t="s">
        <v>14</v>
      </c>
      <c r="S28" s="706">
        <f t="shared" ref="S28:S40" si="12">F28</f>
        <v>100</v>
      </c>
      <c r="T28" s="705" t="s">
        <v>14</v>
      </c>
      <c r="U28" s="706">
        <f t="shared" ref="U28:U40" si="13">H28</f>
        <v>100</v>
      </c>
      <c r="V28" s="705" t="s">
        <v>14</v>
      </c>
      <c r="W28" s="706">
        <f t="shared" ref="W28:W40" si="14">J28</f>
        <v>100</v>
      </c>
      <c r="X28" s="1354"/>
      <c r="Y28" s="3735"/>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36" t="s">
        <v>1696</v>
      </c>
      <c r="Q29" s="1351" t="str">
        <f t="shared" si="11"/>
        <v>建筑类型</v>
      </c>
      <c r="R29" s="705" t="s">
        <v>14</v>
      </c>
      <c r="S29" s="706">
        <f t="shared" si="12"/>
        <v>100</v>
      </c>
      <c r="T29" s="705" t="s">
        <v>14</v>
      </c>
      <c r="U29" s="706">
        <f t="shared" si="13"/>
        <v>100</v>
      </c>
      <c r="V29" s="705" t="s">
        <v>14</v>
      </c>
      <c r="W29" s="706">
        <f t="shared" si="14"/>
        <v>100</v>
      </c>
      <c r="X29" s="1354"/>
      <c r="Y29" s="373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1" t="str">
        <f t="shared" si="11"/>
        <v>建筑结构</v>
      </c>
      <c r="R31" s="705" t="s">
        <v>14</v>
      </c>
      <c r="S31" s="706">
        <f t="shared" si="12"/>
        <v>100</v>
      </c>
      <c r="T31" s="705" t="s">
        <v>14</v>
      </c>
      <c r="U31" s="706">
        <f t="shared" si="13"/>
        <v>100</v>
      </c>
      <c r="V31" s="705" t="s">
        <v>14</v>
      </c>
      <c r="W31" s="706">
        <f t="shared" si="14"/>
        <v>100</v>
      </c>
      <c r="X31" s="1354"/>
      <c r="Y31" s="373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1" t="str">
        <f t="shared" si="11"/>
        <v>公共部分装修</v>
      </c>
      <c r="R32" s="705" t="s">
        <v>14</v>
      </c>
      <c r="S32" s="706">
        <f t="shared" si="12"/>
        <v>100</v>
      </c>
      <c r="T32" s="705" t="s">
        <v>14</v>
      </c>
      <c r="U32" s="706">
        <f t="shared" si="13"/>
        <v>100</v>
      </c>
      <c r="V32" s="705" t="s">
        <v>14</v>
      </c>
      <c r="W32" s="706">
        <f t="shared" si="14"/>
        <v>100</v>
      </c>
      <c r="X32" s="1354"/>
      <c r="Y32" s="373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1" t="str">
        <f t="shared" si="11"/>
        <v>成新度</v>
      </c>
      <c r="R33" s="705" t="s">
        <v>14</v>
      </c>
      <c r="S33" s="706" t="e">
        <f t="shared" si="12"/>
        <v>#N/A</v>
      </c>
      <c r="T33" s="705" t="s">
        <v>14</v>
      </c>
      <c r="U33" s="706" t="e">
        <f t="shared" si="13"/>
        <v>#N/A</v>
      </c>
      <c r="V33" s="705" t="s">
        <v>14</v>
      </c>
      <c r="W33" s="706" t="e">
        <f t="shared" si="14"/>
        <v>#N/A</v>
      </c>
      <c r="X33" s="1354"/>
      <c r="Y33" s="373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2"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1" t="str">
        <f t="shared" si="11"/>
        <v>市政基础设施</v>
      </c>
      <c r="R35" s="705" t="s">
        <v>14</v>
      </c>
      <c r="S35" s="706">
        <f t="shared" si="12"/>
        <v>100</v>
      </c>
      <c r="T35" s="705" t="s">
        <v>14</v>
      </c>
      <c r="U35" s="706">
        <f t="shared" si="13"/>
        <v>100</v>
      </c>
      <c r="V35" s="705" t="s">
        <v>14</v>
      </c>
      <c r="W35" s="706">
        <f t="shared" si="14"/>
        <v>100</v>
      </c>
      <c r="X35" s="1354"/>
      <c r="Y35" s="373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1" t="str">
        <f t="shared" si="11"/>
        <v>内部装修</v>
      </c>
      <c r="R36" s="705" t="s">
        <v>14</v>
      </c>
      <c r="S36" s="706">
        <f t="shared" si="12"/>
        <v>100</v>
      </c>
      <c r="T36" s="705" t="s">
        <v>14</v>
      </c>
      <c r="U36" s="706">
        <f t="shared" si="13"/>
        <v>100</v>
      </c>
      <c r="V36" s="705" t="s">
        <v>14</v>
      </c>
      <c r="W36" s="706">
        <f t="shared" si="14"/>
        <v>100</v>
      </c>
      <c r="X36" s="1354"/>
      <c r="Y36" s="373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1" t="str">
        <f t="shared" si="11"/>
        <v>内部装修状况</v>
      </c>
      <c r="R37" s="705" t="s">
        <v>14</v>
      </c>
      <c r="S37" s="706">
        <f t="shared" si="12"/>
        <v>100</v>
      </c>
      <c r="T37" s="705" t="s">
        <v>14</v>
      </c>
      <c r="U37" s="706">
        <f t="shared" si="13"/>
        <v>100</v>
      </c>
      <c r="V37" s="705" t="s">
        <v>14</v>
      </c>
      <c r="W37" s="706">
        <f t="shared" si="14"/>
        <v>100</v>
      </c>
      <c r="X37" s="1354"/>
      <c r="Y37" s="373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1">
        <f t="shared" si="11"/>
        <v>111</v>
      </c>
      <c r="R39" s="705" t="s">
        <v>14</v>
      </c>
      <c r="S39" s="706">
        <f t="shared" si="12"/>
        <v>100</v>
      </c>
      <c r="T39" s="705" t="s">
        <v>14</v>
      </c>
      <c r="U39" s="706">
        <f t="shared" si="13"/>
        <v>100</v>
      </c>
      <c r="V39" s="705" t="s">
        <v>14</v>
      </c>
      <c r="W39" s="706">
        <f t="shared" si="14"/>
        <v>100</v>
      </c>
      <c r="X39" s="1354"/>
      <c r="Y39" s="373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5"/>
      <c r="Q40" s="1351">
        <f t="shared" si="11"/>
        <v>111</v>
      </c>
      <c r="R40" s="705" t="s">
        <v>14</v>
      </c>
      <c r="S40" s="706">
        <f t="shared" si="12"/>
        <v>100</v>
      </c>
      <c r="T40" s="705" t="s">
        <v>14</v>
      </c>
      <c r="U40" s="706">
        <f t="shared" si="13"/>
        <v>100</v>
      </c>
      <c r="V40" s="705" t="s">
        <v>14</v>
      </c>
      <c r="W40" s="706">
        <f t="shared" si="14"/>
        <v>100</v>
      </c>
      <c r="X40" s="1354"/>
      <c r="Y40" s="377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9" t="str">
        <f>A41</f>
        <v>成交单价（元/平方米）</v>
      </c>
      <c r="Q41" s="3719"/>
      <c r="R41" s="3771">
        <f>E41</f>
        <v>0</v>
      </c>
      <c r="S41" s="3771"/>
      <c r="T41" s="3771">
        <f>G41</f>
        <v>0</v>
      </c>
      <c r="U41" s="3771"/>
      <c r="V41" s="3771">
        <f>I41</f>
        <v>0</v>
      </c>
      <c r="W41" s="3771"/>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9" t="str">
        <f>A42</f>
        <v>比较价值（元/平方米）</v>
      </c>
      <c r="Q42" s="3719"/>
      <c r="R42" s="3771" t="e">
        <f>IF(F1="售价",ROUND(PRODUCT(R41,AA7:AA40),0),ROUND(PRODUCT(R41,AA7:AA40),1))</f>
        <v>#DIV/0!</v>
      </c>
      <c r="S42" s="3771"/>
      <c r="T42" s="3771" t="e">
        <f>IF(F1="售价",ROUND(PRODUCT(T41,AB7:AB40),0),ROUND(PRODUCT(T41,AB7:AB40),1))</f>
        <v>#DIV/0!</v>
      </c>
      <c r="U42" s="3771"/>
      <c r="V42" s="3771" t="e">
        <f>IF(F1="售价",ROUND(PRODUCT(V41,AC7:AC40),0),ROUND(PRODUCT(V41,AC7:AC40),1))</f>
        <v>#DIV/0!</v>
      </c>
      <c r="W42" s="377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9" t="str">
        <f>A43</f>
        <v>估价对象XX用房的比较价值（楼面单价，元/平方米）</v>
      </c>
      <c r="Q43" s="3740"/>
      <c r="R43" s="3770" t="e">
        <f>IF(F1="售价",ROUND(IF(D42="简单平均",AVERAGE(R42:V42),R42*F42+T42*H42+V42*J42),0),ROUND(IF(D42="简单平均",AVERAGE(R42:V42),R42*F42+T42*H42+V42*J42),1))</f>
        <v>#DIV/0!</v>
      </c>
      <c r="S43" s="3770"/>
      <c r="T43" s="3770"/>
      <c r="U43" s="3770"/>
      <c r="V43" s="3770"/>
      <c r="W43" s="3770"/>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44" t="s">
        <v>694</v>
      </c>
      <c r="C6" s="1074">
        <f ca="1">ROUND(F6*F8*F7*(1-F9)/10000,0)</f>
        <v>0</v>
      </c>
      <c r="D6" s="155" t="s">
        <v>2109</v>
      </c>
      <c r="E6" s="302" t="s">
        <v>696</v>
      </c>
      <c r="F6" s="303">
        <f ca="1">INDIRECT("'数据-取费表'!u"&amp;$G$1)</f>
        <v>0</v>
      </c>
      <c r="G6" s="1383"/>
      <c r="H6" s="1069" t="s">
        <v>398</v>
      </c>
      <c r="I6" s="3744" t="s">
        <v>694</v>
      </c>
      <c r="J6" s="301">
        <f ca="1">ROUND(M6*M8*M7*(1-M9)/10000,0)</f>
        <v>0</v>
      </c>
      <c r="K6" s="155" t="s">
        <v>2108</v>
      </c>
      <c r="L6" s="302" t="s">
        <v>696</v>
      </c>
      <c r="M6" s="303">
        <f ca="1">INDIRECT("'数据-取费表'!z"&amp;$G$1)</f>
        <v>0</v>
      </c>
    </row>
    <row r="7" spans="1:37" ht="18" customHeight="1">
      <c r="A7" s="1073"/>
      <c r="B7" s="3745"/>
      <c r="C7" s="1075"/>
      <c r="D7" s="307"/>
      <c r="E7" s="1076" t="s">
        <v>697</v>
      </c>
      <c r="F7" s="303">
        <f ca="1">IF(INDIRECT("'数据-取费表'!ah"&amp;$G$1)="",INDIRECT("'数据-取费表'!k"&amp;$G$1),INDIRECT("'数据-取费表'!ah"&amp;$G$1))</f>
        <v>0</v>
      </c>
      <c r="G7" s="1383"/>
      <c r="H7" s="304"/>
      <c r="I7" s="3745"/>
      <c r="J7" s="306"/>
      <c r="K7" s="307"/>
      <c r="L7" s="302" t="s">
        <v>697</v>
      </c>
      <c r="M7" s="303">
        <f ca="1">F7</f>
        <v>0</v>
      </c>
    </row>
    <row r="8" spans="1:37" ht="18" customHeight="1">
      <c r="A8" s="304"/>
      <c r="B8" s="3745"/>
      <c r="C8" s="306"/>
      <c r="D8" s="307"/>
      <c r="E8" s="302" t="s">
        <v>698</v>
      </c>
      <c r="F8" s="303">
        <f ca="1">INDIRECT("'数据-取费表'!ai"&amp;$G$1)</f>
        <v>0</v>
      </c>
      <c r="G8" s="1383"/>
      <c r="H8" s="304"/>
      <c r="I8" s="3745"/>
      <c r="J8" s="306"/>
      <c r="K8" s="307"/>
      <c r="L8" s="302" t="s">
        <v>698</v>
      </c>
      <c r="M8" s="303">
        <f ca="1">INDIRECT("'数据-取费表'!ai"&amp;$G$1)</f>
        <v>0</v>
      </c>
    </row>
    <row r="9" spans="1:37" ht="18" customHeight="1">
      <c r="A9" s="304"/>
      <c r="B9" s="3746"/>
      <c r="C9" s="306"/>
      <c r="D9" s="307"/>
      <c r="E9" s="302" t="s">
        <v>699</v>
      </c>
      <c r="F9" s="312">
        <f ca="1">INDIRECT("'数据-取费表'!w"&amp;$G$1)</f>
        <v>0</v>
      </c>
      <c r="G9" s="1383"/>
      <c r="H9" s="304"/>
      <c r="I9" s="374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747" t="s">
        <v>837</v>
      </c>
      <c r="L53" s="3748"/>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65" priority="56">
      <formula>$L$48&gt;$J$51</formula>
    </cfRule>
  </conditionalFormatting>
  <conditionalFormatting sqref="I55 I60">
    <cfRule type="expression" dxfId="64" priority="57">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37" sqref="N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t="s">
        <v>3537</v>
      </c>
      <c r="E1" s="3429" t="s">
        <v>3565</v>
      </c>
      <c r="F1" s="1878" t="s">
        <v>3536</v>
      </c>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IF(B37="元/平方米",ROUND(C39*D3/10000,0),ROUND(F3*C39/10000,0)),IF(B37="元/平方米",ROUND(C39*D3/10000,0),ROUND(F3*C39/10000,0))-D2),IF(E1="单套模式",IF(C2="——",IF(B37="元/平方米",ROUND(C39*D3/10000,0),ROUND(F3*C39/10000,0)),IF(B37="元/平方米",ROUND(C39*D3/10000,0),ROUND(F3*C39/10000,0))-D2)))</f>
        <v>13509</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6295</v>
      </c>
      <c r="C3" s="354" t="s">
        <v>1768</v>
      </c>
      <c r="D3" s="353">
        <f>SUMIF('数据-汇总表'!$C19:$C33,D1,'数据-汇总表'!$E19:$E33)</f>
        <v>21458.77999999997</v>
      </c>
      <c r="E3" s="354" t="s">
        <v>1832</v>
      </c>
      <c r="F3" s="353">
        <f>SUMIF('数据-取费表'!A5:A15,D1,'数据-取费表'!AH5:AH15)</f>
        <v>775</v>
      </c>
      <c r="G3" s="908"/>
      <c r="H3" s="908"/>
      <c r="I3" s="908"/>
      <c r="J3" s="908"/>
      <c r="K3" s="910"/>
      <c r="L3" s="2730"/>
      <c r="M3" s="2731">
        <f>IF(C2="——",IF(B37="元/平方米",ROUND(C39*D3/10000,0),ROUND(F3*C39/10000,0)),IF(B37="元/平方米",ROUND(C39*D3/10000,0),ROUND(F3*C39/10000,0))-D2)</f>
        <v>13509</v>
      </c>
      <c r="N3" s="2731"/>
      <c r="O3" s="2731"/>
      <c r="P3" s="1165"/>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1"/>
      <c r="M4" s="2712"/>
      <c r="N4" s="2712"/>
      <c r="O4" s="2712"/>
      <c r="P4" s="3724" t="s">
        <v>1775</v>
      </c>
      <c r="Q4" s="3725"/>
      <c r="R4" s="3707" t="s">
        <v>1771</v>
      </c>
      <c r="S4" s="3708"/>
      <c r="T4" s="3707" t="s">
        <v>1772</v>
      </c>
      <c r="U4" s="3708"/>
      <c r="V4" s="3732" t="s">
        <v>1773</v>
      </c>
      <c r="W4" s="3732"/>
      <c r="X4" s="1354"/>
      <c r="Y4" s="3707" t="s">
        <v>1775</v>
      </c>
      <c r="Z4" s="3708"/>
      <c r="AA4" s="3702" t="s">
        <v>1771</v>
      </c>
      <c r="AB4" s="3703" t="s">
        <v>1772</v>
      </c>
      <c r="AC4" s="3702" t="s">
        <v>1773</v>
      </c>
    </row>
    <row r="5" spans="1:29" ht="15">
      <c r="A5" s="358"/>
      <c r="B5" s="359"/>
      <c r="C5" s="3713" t="s">
        <v>1673</v>
      </c>
      <c r="D5" s="3714"/>
      <c r="E5" s="3711" t="str">
        <f>车位案例!A2</f>
        <v>路劲御和府</v>
      </c>
      <c r="F5" s="3712"/>
      <c r="G5" s="3713" t="str">
        <f>车位案例!A28</f>
        <v>公园都会</v>
      </c>
      <c r="H5" s="3714"/>
      <c r="I5" s="3713" t="str">
        <f>车位案例!A53</f>
        <v>和锦华宸</v>
      </c>
      <c r="J5" s="3714"/>
      <c r="K5" s="559"/>
      <c r="L5" s="2711"/>
      <c r="M5" s="2712"/>
      <c r="N5" s="2712"/>
      <c r="O5" s="2712"/>
      <c r="P5" s="3726"/>
      <c r="Q5" s="3727"/>
      <c r="R5" s="3709"/>
      <c r="S5" s="3710"/>
      <c r="T5" s="3709"/>
      <c r="U5" s="3710"/>
      <c r="V5" s="3732"/>
      <c r="W5" s="3732"/>
      <c r="X5" s="1354"/>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2711"/>
      <c r="M6" s="2712"/>
      <c r="N6" s="2712"/>
      <c r="O6" s="2712"/>
      <c r="P6" s="3728"/>
      <c r="Q6" s="3729"/>
      <c r="R6" s="3709"/>
      <c r="S6" s="3710"/>
      <c r="T6" s="3730"/>
      <c r="U6" s="3731"/>
      <c r="V6" s="3732"/>
      <c r="W6" s="3732"/>
      <c r="X6" s="1354"/>
      <c r="Y6" s="3730"/>
      <c r="Z6" s="3731"/>
      <c r="AA6" s="3704"/>
      <c r="AB6" s="3704"/>
      <c r="AC6" s="3704"/>
    </row>
    <row r="7" spans="1:29" s="108" customFormat="1" ht="15.75" thickBot="1">
      <c r="A7" s="362" t="s">
        <v>1679</v>
      </c>
      <c r="B7" s="363"/>
      <c r="C7" s="364">
        <f>'数据-取费表'!B2</f>
        <v>45063</v>
      </c>
      <c r="D7" s="365">
        <v>100</v>
      </c>
      <c r="E7" s="366">
        <f>C7</f>
        <v>45063</v>
      </c>
      <c r="F7" s="367">
        <f>SUMIF(48:48,YEAR(E7)&amp;"-"&amp;MONTH(E7),49:49)</f>
        <v>100</v>
      </c>
      <c r="G7" s="366">
        <f>C7</f>
        <v>45063</v>
      </c>
      <c r="H7" s="365">
        <f>SUMIF(48:48,YEAR(G7)&amp;"-"&amp;MONTH(G7),49:49)</f>
        <v>100</v>
      </c>
      <c r="I7" s="366">
        <f>C7</f>
        <v>45063</v>
      </c>
      <c r="J7" s="365">
        <f>SUMIF(48:48,YEAR(I7)&amp;"-"&amp;MONTH(I7),49:49)</f>
        <v>100</v>
      </c>
      <c r="K7" s="560"/>
      <c r="L7" s="2713"/>
      <c r="M7" s="2714"/>
      <c r="N7" s="2714"/>
      <c r="O7" s="2714"/>
      <c r="P7" s="3705" t="s">
        <v>1680</v>
      </c>
      <c r="Q7" s="3733"/>
      <c r="R7" s="701" t="s">
        <v>14</v>
      </c>
      <c r="S7" s="702">
        <f t="shared" ref="S7:S14" si="0">F7</f>
        <v>100</v>
      </c>
      <c r="T7" s="701" t="s">
        <v>14</v>
      </c>
      <c r="U7" s="702">
        <f t="shared" ref="U7:U14" si="1">H7</f>
        <v>100</v>
      </c>
      <c r="V7" s="701" t="s">
        <v>14</v>
      </c>
      <c r="W7" s="702">
        <f t="shared" ref="W7:W14" si="2">J7</f>
        <v>100</v>
      </c>
      <c r="X7" s="703"/>
      <c r="Y7" s="3705" t="s">
        <v>1680</v>
      </c>
      <c r="Z7" s="3706"/>
      <c r="AA7" s="704">
        <f>D7/F7</f>
        <v>1</v>
      </c>
      <c r="AB7" s="704">
        <f>D7/H7</f>
        <v>1</v>
      </c>
      <c r="AC7" s="704">
        <f>D7/J7</f>
        <v>1</v>
      </c>
    </row>
    <row r="8" spans="1:29" s="108" customFormat="1" ht="15.75" thickBot="1">
      <c r="A8" s="362" t="s">
        <v>1681</v>
      </c>
      <c r="B8" s="363"/>
      <c r="C8" s="3462" t="s">
        <v>3566</v>
      </c>
      <c r="D8" s="365">
        <v>100</v>
      </c>
      <c r="E8" s="3462" t="s">
        <v>3566</v>
      </c>
      <c r="F8" s="367">
        <f>SUMIF(51:51,E8,52:52)-SUMIF(51:51,C8,52:52)+100</f>
        <v>100</v>
      </c>
      <c r="G8" s="3462" t="s">
        <v>3566</v>
      </c>
      <c r="H8" s="365">
        <f>SUMIF(51:51,G8,52:52)-SUMIF(51:51,C8,52:52)+100</f>
        <v>100</v>
      </c>
      <c r="I8" s="3462" t="s">
        <v>3566</v>
      </c>
      <c r="J8" s="365">
        <f>SUMIF(51:51,I8,52:52)-SUMIF(51:51,C8,52:52)+100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482" t="s">
        <v>3567</v>
      </c>
      <c r="D9" s="126">
        <v>100</v>
      </c>
      <c r="E9" s="3483" t="s">
        <v>3567</v>
      </c>
      <c r="F9" s="126">
        <f>SUMIF(53:53,E9,54:54)-SUMIF(53:53,C9,54:54)+100</f>
        <v>100</v>
      </c>
      <c r="G9" s="3484" t="s">
        <v>3567</v>
      </c>
      <c r="H9" s="126">
        <f>SUMIF(53:53,G9,54:54)-SUMIF(53:53,C9,54:54)+100</f>
        <v>100</v>
      </c>
      <c r="I9" s="3484" t="s">
        <v>3567</v>
      </c>
      <c r="J9" s="126">
        <f>SUMIF(53:53,I9,54:54)-SUMIF(53:53,C9,54:54)+100</f>
        <v>100</v>
      </c>
      <c r="K9" s="560"/>
      <c r="L9" s="2713"/>
      <c r="M9" s="2714"/>
      <c r="N9" s="2714"/>
      <c r="O9" s="2714"/>
      <c r="P9" s="3719" t="s">
        <v>1686</v>
      </c>
      <c r="Q9" s="1342" t="str">
        <f t="shared" ref="Q9:Q14" si="6">B9</f>
        <v>用途</v>
      </c>
      <c r="R9" s="701" t="s">
        <v>14</v>
      </c>
      <c r="S9" s="702">
        <f t="shared" si="0"/>
        <v>100</v>
      </c>
      <c r="T9" s="701" t="s">
        <v>14</v>
      </c>
      <c r="U9" s="702">
        <f t="shared" si="1"/>
        <v>100</v>
      </c>
      <c r="V9" s="701" t="s">
        <v>14</v>
      </c>
      <c r="W9" s="702">
        <f t="shared" si="2"/>
        <v>100</v>
      </c>
      <c r="X9" s="703"/>
      <c r="Y9" s="3675"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9"/>
      <c r="Q10" s="1342" t="str">
        <f t="shared" si="6"/>
        <v>土地使用年限（年）</v>
      </c>
      <c r="R10" s="701" t="s">
        <v>14</v>
      </c>
      <c r="S10" s="702">
        <f t="shared" si="0"/>
        <v>100</v>
      </c>
      <c r="T10" s="701" t="s">
        <v>14</v>
      </c>
      <c r="U10" s="702">
        <f t="shared" si="1"/>
        <v>100</v>
      </c>
      <c r="V10" s="701" t="s">
        <v>14</v>
      </c>
      <c r="W10" s="702">
        <f t="shared" si="2"/>
        <v>100</v>
      </c>
      <c r="X10" s="703"/>
      <c r="Y10" s="36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9"/>
      <c r="Q11" s="1342">
        <f t="shared" si="6"/>
        <v>111</v>
      </c>
      <c r="R11" s="701" t="s">
        <v>14</v>
      </c>
      <c r="S11" s="702">
        <f t="shared" si="0"/>
        <v>100</v>
      </c>
      <c r="T11" s="701" t="s">
        <v>14</v>
      </c>
      <c r="U11" s="702">
        <f t="shared" si="1"/>
        <v>100</v>
      </c>
      <c r="V11" s="701" t="s">
        <v>14</v>
      </c>
      <c r="W11" s="702">
        <f t="shared" si="2"/>
        <v>100</v>
      </c>
      <c r="X11" s="703"/>
      <c r="Y11" s="36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9"/>
      <c r="Q12" s="1342">
        <f t="shared" si="6"/>
        <v>111</v>
      </c>
      <c r="R12" s="701" t="s">
        <v>14</v>
      </c>
      <c r="S12" s="702">
        <f t="shared" si="0"/>
        <v>100</v>
      </c>
      <c r="T12" s="701" t="s">
        <v>14</v>
      </c>
      <c r="U12" s="702">
        <f t="shared" si="1"/>
        <v>100</v>
      </c>
      <c r="V12" s="701" t="s">
        <v>14</v>
      </c>
      <c r="W12" s="702">
        <f t="shared" si="2"/>
        <v>100</v>
      </c>
      <c r="X12" s="703"/>
      <c r="Y12" s="36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9"/>
      <c r="Q13" s="1342">
        <f t="shared" si="6"/>
        <v>111</v>
      </c>
      <c r="R13" s="701" t="s">
        <v>14</v>
      </c>
      <c r="S13" s="702">
        <f t="shared" si="0"/>
        <v>100</v>
      </c>
      <c r="T13" s="701" t="s">
        <v>14</v>
      </c>
      <c r="U13" s="702">
        <f t="shared" si="1"/>
        <v>100</v>
      </c>
      <c r="V13" s="701" t="s">
        <v>14</v>
      </c>
      <c r="W13" s="702">
        <f t="shared" si="2"/>
        <v>100</v>
      </c>
      <c r="X13" s="703"/>
      <c r="Y13" s="3675"/>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4" t="s">
        <v>1691</v>
      </c>
      <c r="Q14" s="1351" t="str">
        <f t="shared" si="6"/>
        <v>交通便捷度</v>
      </c>
      <c r="R14" s="705" t="s">
        <v>14</v>
      </c>
      <c r="S14" s="706">
        <f t="shared" si="0"/>
        <v>100</v>
      </c>
      <c r="T14" s="705" t="s">
        <v>14</v>
      </c>
      <c r="U14" s="706">
        <f t="shared" si="1"/>
        <v>100</v>
      </c>
      <c r="V14" s="705" t="s">
        <v>14</v>
      </c>
      <c r="W14" s="706">
        <f t="shared" si="2"/>
        <v>100</v>
      </c>
      <c r="X14" s="1354"/>
      <c r="Y14" s="3734" t="s">
        <v>1691</v>
      </c>
      <c r="Z14" s="1355" t="str">
        <f t="shared" si="7"/>
        <v>交通便捷度</v>
      </c>
      <c r="AA14" s="1352">
        <f t="shared" si="3"/>
        <v>1</v>
      </c>
      <c r="AB14" s="1352">
        <f t="shared" si="4"/>
        <v>1</v>
      </c>
      <c r="AC14" s="1352">
        <f t="shared" si="5"/>
        <v>1</v>
      </c>
    </row>
    <row r="15" spans="1:29" ht="15">
      <c r="A15" s="358"/>
      <c r="B15" s="595"/>
      <c r="C15" s="3466" t="s">
        <v>3568</v>
      </c>
      <c r="D15" s="399"/>
      <c r="E15" s="3466" t="s">
        <v>3568</v>
      </c>
      <c r="F15" s="400"/>
      <c r="G15" s="3466" t="s">
        <v>3569</v>
      </c>
      <c r="H15" s="401"/>
      <c r="I15" s="3466" t="s">
        <v>3568</v>
      </c>
      <c r="J15" s="399"/>
      <c r="K15" s="564"/>
      <c r="L15" s="2718"/>
      <c r="M15" s="2712"/>
      <c r="N15" s="2712"/>
      <c r="O15" s="2712"/>
      <c r="P15" s="3735"/>
      <c r="Q15" s="1351"/>
      <c r="R15" s="705"/>
      <c r="S15" s="706"/>
      <c r="T15" s="705"/>
      <c r="U15" s="706"/>
      <c r="V15" s="705"/>
      <c r="W15" s="706"/>
      <c r="X15" s="1354"/>
      <c r="Y15" s="3735"/>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5"/>
      <c r="Q16" s="1351" t="str">
        <f>B16</f>
        <v>公共配套设施</v>
      </c>
      <c r="R16" s="705" t="s">
        <v>14</v>
      </c>
      <c r="S16" s="706">
        <f>F16</f>
        <v>100</v>
      </c>
      <c r="T16" s="705" t="s">
        <v>14</v>
      </c>
      <c r="U16" s="706">
        <f>H16</f>
        <v>100</v>
      </c>
      <c r="V16" s="705" t="s">
        <v>14</v>
      </c>
      <c r="W16" s="706">
        <f>J16</f>
        <v>100</v>
      </c>
      <c r="X16" s="1354"/>
      <c r="Y16" s="3735"/>
      <c r="Z16" s="1355" t="str">
        <f>Q16</f>
        <v>公共配套设施</v>
      </c>
      <c r="AA16" s="1352">
        <f t="shared" si="3"/>
        <v>1</v>
      </c>
      <c r="AB16" s="1352">
        <f t="shared" si="4"/>
        <v>1</v>
      </c>
      <c r="AC16" s="1352">
        <f t="shared" si="5"/>
        <v>1</v>
      </c>
    </row>
    <row r="17" spans="1:29" ht="15">
      <c r="A17" s="358"/>
      <c r="B17" s="580"/>
      <c r="C17" s="3474" t="s">
        <v>3570</v>
      </c>
      <c r="D17" s="399"/>
      <c r="E17" s="3466" t="s">
        <v>3570</v>
      </c>
      <c r="F17" s="400"/>
      <c r="G17" s="3466" t="s">
        <v>3570</v>
      </c>
      <c r="H17" s="399"/>
      <c r="I17" s="3466" t="s">
        <v>3570</v>
      </c>
      <c r="J17" s="399"/>
      <c r="K17" s="564"/>
      <c r="L17" s="2718"/>
      <c r="M17" s="2712"/>
      <c r="N17" s="2712"/>
      <c r="O17" s="2712"/>
      <c r="P17" s="3735"/>
      <c r="Q17" s="1351"/>
      <c r="R17" s="705"/>
      <c r="S17" s="706"/>
      <c r="T17" s="705"/>
      <c r="U17" s="706"/>
      <c r="V17" s="705"/>
      <c r="W17" s="706"/>
      <c r="X17" s="1354"/>
      <c r="Y17" s="3735"/>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5"/>
      <c r="Q18" s="1351" t="str">
        <f>B18</f>
        <v>基础设施水平</v>
      </c>
      <c r="R18" s="705" t="s">
        <v>14</v>
      </c>
      <c r="S18" s="706">
        <f>F18</f>
        <v>100</v>
      </c>
      <c r="T18" s="705" t="s">
        <v>14</v>
      </c>
      <c r="U18" s="706">
        <f>H18</f>
        <v>100</v>
      </c>
      <c r="V18" s="705" t="s">
        <v>14</v>
      </c>
      <c r="W18" s="706">
        <f>J18</f>
        <v>100</v>
      </c>
      <c r="X18" s="1354"/>
      <c r="Y18" s="3735"/>
      <c r="Z18" s="1355" t="str">
        <f>Q18</f>
        <v>基础设施水平</v>
      </c>
      <c r="AA18" s="1352">
        <f t="shared" ref="AA18" si="8">D18/F18</f>
        <v>1</v>
      </c>
      <c r="AB18" s="1352">
        <f t="shared" ref="AB18" si="9">D18/H18</f>
        <v>1</v>
      </c>
      <c r="AC18" s="1352">
        <f t="shared" ref="AC18" si="10">D18/J18</f>
        <v>1</v>
      </c>
    </row>
    <row r="19" spans="1:29" ht="15">
      <c r="A19" s="358"/>
      <c r="B19" s="581"/>
      <c r="C19" s="3474" t="s">
        <v>3571</v>
      </c>
      <c r="D19" s="401"/>
      <c r="E19" s="3474" t="s">
        <v>3571</v>
      </c>
      <c r="F19" s="404"/>
      <c r="G19" s="3474" t="s">
        <v>3571</v>
      </c>
      <c r="H19" s="399"/>
      <c r="I19" s="3466" t="s">
        <v>3572</v>
      </c>
      <c r="J19" s="399"/>
      <c r="K19" s="1130"/>
      <c r="L19" s="2718"/>
      <c r="M19" s="2712"/>
      <c r="N19" s="2712"/>
      <c r="O19" s="2712"/>
      <c r="P19" s="3735"/>
      <c r="Q19" s="1351"/>
      <c r="R19" s="705"/>
      <c r="S19" s="706"/>
      <c r="T19" s="705"/>
      <c r="U19" s="706"/>
      <c r="V19" s="705"/>
      <c r="W19" s="706"/>
      <c r="X19" s="1354"/>
      <c r="Y19" s="3735"/>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5"/>
      <c r="Q20" s="1351" t="str">
        <f>B20</f>
        <v>自然及人文环境</v>
      </c>
      <c r="R20" s="705" t="s">
        <v>14</v>
      </c>
      <c r="S20" s="706">
        <f>F20</f>
        <v>100</v>
      </c>
      <c r="T20" s="705" t="s">
        <v>14</v>
      </c>
      <c r="U20" s="706">
        <f>H20</f>
        <v>100</v>
      </c>
      <c r="V20" s="705" t="s">
        <v>14</v>
      </c>
      <c r="W20" s="706">
        <f>J20</f>
        <v>100</v>
      </c>
      <c r="X20" s="1354"/>
      <c r="Y20" s="3735"/>
      <c r="Z20" s="1355" t="str">
        <f>Q20</f>
        <v>自然及人文环境</v>
      </c>
      <c r="AA20" s="1352">
        <f t="shared" si="3"/>
        <v>1</v>
      </c>
      <c r="AB20" s="1352">
        <f t="shared" si="4"/>
        <v>1</v>
      </c>
      <c r="AC20" s="1352">
        <f t="shared" si="5"/>
        <v>1</v>
      </c>
    </row>
    <row r="21" spans="1:29" ht="15">
      <c r="A21" s="358"/>
      <c r="B21" s="580"/>
      <c r="C21" s="3466" t="s">
        <v>4981</v>
      </c>
      <c r="D21" s="399"/>
      <c r="E21" s="3466" t="s">
        <v>4982</v>
      </c>
      <c r="F21" s="400"/>
      <c r="G21" s="3466" t="s">
        <v>4982</v>
      </c>
      <c r="H21" s="399"/>
      <c r="I21" s="3466" t="s">
        <v>4983</v>
      </c>
      <c r="J21" s="399"/>
      <c r="K21" s="564"/>
      <c r="L21" s="2718"/>
      <c r="M21" s="2712"/>
      <c r="N21" s="2712"/>
      <c r="O21" s="2712"/>
      <c r="P21" s="3735"/>
      <c r="Q21" s="1351"/>
      <c r="R21" s="705"/>
      <c r="S21" s="706"/>
      <c r="T21" s="705"/>
      <c r="U21" s="706"/>
      <c r="V21" s="705"/>
      <c r="W21" s="706"/>
      <c r="X21" s="1354"/>
      <c r="Y21" s="373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5"/>
      <c r="Q22" s="1351" t="str">
        <f>B22</f>
        <v>楼层</v>
      </c>
      <c r="R22" s="705" t="s">
        <v>14</v>
      </c>
      <c r="S22" s="706">
        <f>F22</f>
        <v>100</v>
      </c>
      <c r="T22" s="705" t="s">
        <v>14</v>
      </c>
      <c r="U22" s="706">
        <f>H22</f>
        <v>100</v>
      </c>
      <c r="V22" s="705" t="s">
        <v>14</v>
      </c>
      <c r="W22" s="706">
        <f>J22</f>
        <v>100</v>
      </c>
      <c r="X22" s="1354"/>
      <c r="Y22" s="373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5"/>
      <c r="Q23" s="1351">
        <f>B23</f>
        <v>111</v>
      </c>
      <c r="R23" s="705" t="s">
        <v>14</v>
      </c>
      <c r="S23" s="706">
        <f>F23</f>
        <v>100</v>
      </c>
      <c r="T23" s="705" t="s">
        <v>14</v>
      </c>
      <c r="U23" s="706">
        <f>H23</f>
        <v>100</v>
      </c>
      <c r="V23" s="705" t="s">
        <v>14</v>
      </c>
      <c r="W23" s="706">
        <f>J23</f>
        <v>100</v>
      </c>
      <c r="X23" s="1354"/>
      <c r="Y23" s="373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5"/>
      <c r="Q24" s="1351">
        <f t="shared" ref="Q24:Q36" si="11">B24</f>
        <v>111</v>
      </c>
      <c r="R24" s="705" t="s">
        <v>14</v>
      </c>
      <c r="S24" s="706">
        <f>F24</f>
        <v>100</v>
      </c>
      <c r="T24" s="705" t="s">
        <v>14</v>
      </c>
      <c r="U24" s="706">
        <f>H24</f>
        <v>100</v>
      </c>
      <c r="V24" s="705" t="s">
        <v>14</v>
      </c>
      <c r="W24" s="706">
        <f>J24</f>
        <v>100</v>
      </c>
      <c r="X24" s="1354"/>
      <c r="Y24" s="373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5"/>
      <c r="Q25" s="1342">
        <f t="shared" si="11"/>
        <v>111</v>
      </c>
      <c r="R25" s="701" t="s">
        <v>14</v>
      </c>
      <c r="S25" s="702">
        <f>F25</f>
        <v>100</v>
      </c>
      <c r="T25" s="701" t="s">
        <v>14</v>
      </c>
      <c r="U25" s="702">
        <f>H25</f>
        <v>100</v>
      </c>
      <c r="V25" s="701" t="s">
        <v>14</v>
      </c>
      <c r="W25" s="702">
        <f>J25</f>
        <v>100</v>
      </c>
      <c r="X25" s="703"/>
      <c r="Y25" s="3735"/>
      <c r="Z25" s="52">
        <f>Q25</f>
        <v>111</v>
      </c>
      <c r="AA25" s="1352">
        <f>D25/F25</f>
        <v>1</v>
      </c>
      <c r="AB25" s="1352">
        <f>D25/H25</f>
        <v>1</v>
      </c>
      <c r="AC25" s="1352">
        <f>D25/J25</f>
        <v>1</v>
      </c>
    </row>
    <row r="26" spans="1:29" ht="28.5">
      <c r="A26" s="600" t="s">
        <v>1694</v>
      </c>
      <c r="B26" s="62" t="s">
        <v>1836</v>
      </c>
      <c r="C26" s="1968" t="str">
        <f>B1</f>
        <v>车库</v>
      </c>
      <c r="D26" s="399">
        <v>100</v>
      </c>
      <c r="E26" s="3466" t="s">
        <v>4984</v>
      </c>
      <c r="F26" s="400">
        <f>SUMIF(79:79,E26,80:80)-SUMIF(79:79,C26,80:80)+100</f>
        <v>100</v>
      </c>
      <c r="G26" s="3466" t="s">
        <v>4985</v>
      </c>
      <c r="H26" s="399">
        <f>SUMIF(79:79,G26,80:80)-SUMIF(79:79,C26,80:80)+100</f>
        <v>100</v>
      </c>
      <c r="I26" s="3466" t="s">
        <v>4984</v>
      </c>
      <c r="J26" s="399">
        <f>SUMIF(79:79,I26,80:80)-SUMIF(79:79,C26,80:80)+100</f>
        <v>100</v>
      </c>
      <c r="K26" s="561"/>
      <c r="L26" s="2718"/>
      <c r="M26" s="2712"/>
      <c r="N26" s="2712"/>
      <c r="O26" s="2712"/>
      <c r="P26" s="3736" t="s">
        <v>1696</v>
      </c>
      <c r="Q26" s="1351" t="str">
        <f t="shared" si="11"/>
        <v>配套类型</v>
      </c>
      <c r="R26" s="705" t="s">
        <v>14</v>
      </c>
      <c r="S26" s="706">
        <f t="shared" ref="S26:S36" si="12">F26</f>
        <v>100</v>
      </c>
      <c r="T26" s="705" t="s">
        <v>14</v>
      </c>
      <c r="U26" s="706">
        <f t="shared" ref="U26:U36" si="13">H26</f>
        <v>100</v>
      </c>
      <c r="V26" s="705" t="s">
        <v>14</v>
      </c>
      <c r="W26" s="706">
        <f t="shared" ref="W26:W36" si="14">J26</f>
        <v>100</v>
      </c>
      <c r="X26" s="1354"/>
      <c r="Y26" s="3737" t="s">
        <v>1696</v>
      </c>
      <c r="Z26" s="1355" t="str">
        <f t="shared" ref="Z26:Z36" si="15">Q26</f>
        <v>配套类型</v>
      </c>
      <c r="AA26" s="1352">
        <f t="shared" si="3"/>
        <v>1</v>
      </c>
      <c r="AB26" s="1352">
        <f t="shared" si="4"/>
        <v>1</v>
      </c>
      <c r="AC26" s="1352">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7"/>
      <c r="Q28" s="1351" t="str">
        <f t="shared" si="11"/>
        <v>公共部分装修</v>
      </c>
      <c r="R28" s="705" t="s">
        <v>14</v>
      </c>
      <c r="S28" s="706">
        <f t="shared" si="12"/>
        <v>100</v>
      </c>
      <c r="T28" s="705" t="s">
        <v>14</v>
      </c>
      <c r="U28" s="706">
        <f t="shared" si="13"/>
        <v>100</v>
      </c>
      <c r="V28" s="705" t="s">
        <v>14</v>
      </c>
      <c r="W28" s="706">
        <f t="shared" si="14"/>
        <v>100</v>
      </c>
      <c r="X28" s="1354"/>
      <c r="Y28" s="3737"/>
      <c r="Z28" s="1355" t="str">
        <f t="shared" si="15"/>
        <v>公共部分装修</v>
      </c>
      <c r="AA28" s="1352">
        <f t="shared" si="3"/>
        <v>1</v>
      </c>
      <c r="AB28" s="1352">
        <f t="shared" si="4"/>
        <v>1</v>
      </c>
      <c r="AC28" s="1352">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37"/>
      <c r="Q29" s="1351" t="str">
        <f t="shared" si="11"/>
        <v>成新率</v>
      </c>
      <c r="R29" s="705" t="s">
        <v>14</v>
      </c>
      <c r="S29" s="706">
        <f t="shared" si="12"/>
        <v>100</v>
      </c>
      <c r="T29" s="705" t="s">
        <v>14</v>
      </c>
      <c r="U29" s="706">
        <f t="shared" si="13"/>
        <v>100</v>
      </c>
      <c r="V29" s="705" t="s">
        <v>14</v>
      </c>
      <c r="W29" s="706">
        <f t="shared" si="14"/>
        <v>100</v>
      </c>
      <c r="X29" s="1354"/>
      <c r="Y29" s="3737"/>
      <c r="Z29" s="1355" t="str">
        <f t="shared" si="15"/>
        <v>成新率</v>
      </c>
      <c r="AA29" s="1352">
        <f t="shared" si="3"/>
        <v>1</v>
      </c>
      <c r="AB29" s="1352">
        <f t="shared" si="4"/>
        <v>1</v>
      </c>
      <c r="AC29" s="1352">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7"/>
      <c r="Q30" s="1351" t="str">
        <f t="shared" si="11"/>
        <v>物业等级</v>
      </c>
      <c r="R30" s="705" t="s">
        <v>14</v>
      </c>
      <c r="S30" s="706">
        <f t="shared" si="12"/>
        <v>100</v>
      </c>
      <c r="T30" s="705" t="s">
        <v>14</v>
      </c>
      <c r="U30" s="706">
        <f t="shared" si="13"/>
        <v>100</v>
      </c>
      <c r="V30" s="705" t="s">
        <v>14</v>
      </c>
      <c r="W30" s="706">
        <f t="shared" si="14"/>
        <v>100</v>
      </c>
      <c r="X30" s="1354"/>
      <c r="Y30" s="3737"/>
      <c r="Z30" s="1355" t="str">
        <f t="shared" si="15"/>
        <v>物业等级</v>
      </c>
      <c r="AA30" s="1352">
        <f t="shared" si="3"/>
        <v>1</v>
      </c>
      <c r="AB30" s="1352">
        <f t="shared" si="4"/>
        <v>1</v>
      </c>
      <c r="AC30" s="1352">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37"/>
      <c r="Q31" s="1342" t="str">
        <f t="shared" si="11"/>
        <v>停车位面积</v>
      </c>
      <c r="R31" s="701" t="s">
        <v>14</v>
      </c>
      <c r="S31" s="702">
        <f t="shared" si="12"/>
        <v>100</v>
      </c>
      <c r="T31" s="701" t="s">
        <v>14</v>
      </c>
      <c r="U31" s="702">
        <f t="shared" si="13"/>
        <v>100</v>
      </c>
      <c r="V31" s="701" t="s">
        <v>14</v>
      </c>
      <c r="W31" s="702">
        <f t="shared" si="14"/>
        <v>100</v>
      </c>
      <c r="X31" s="703"/>
      <c r="Y31" s="3737"/>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7" t="s">
        <v>1696</v>
      </c>
      <c r="Q32" s="1351" t="str">
        <f t="shared" si="11"/>
        <v>车位类型</v>
      </c>
      <c r="R32" s="705" t="s">
        <v>14</v>
      </c>
      <c r="S32" s="706">
        <f t="shared" si="12"/>
        <v>100</v>
      </c>
      <c r="T32" s="705" t="s">
        <v>14</v>
      </c>
      <c r="U32" s="706">
        <f t="shared" si="13"/>
        <v>100</v>
      </c>
      <c r="V32" s="705" t="s">
        <v>14</v>
      </c>
      <c r="W32" s="706">
        <f t="shared" si="14"/>
        <v>100</v>
      </c>
      <c r="X32" s="1354"/>
      <c r="Y32" s="373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7"/>
      <c r="Q33" s="1351" t="str">
        <f t="shared" si="11"/>
        <v>是否直接入户</v>
      </c>
      <c r="R33" s="705" t="s">
        <v>14</v>
      </c>
      <c r="S33" s="706">
        <f t="shared" si="12"/>
        <v>100</v>
      </c>
      <c r="T33" s="705" t="s">
        <v>14</v>
      </c>
      <c r="U33" s="706">
        <f t="shared" si="13"/>
        <v>100</v>
      </c>
      <c r="V33" s="705" t="s">
        <v>14</v>
      </c>
      <c r="W33" s="706">
        <f t="shared" si="14"/>
        <v>100</v>
      </c>
      <c r="X33" s="1354"/>
      <c r="Y33" s="373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7"/>
      <c r="Q34" s="1351">
        <f t="shared" si="11"/>
        <v>111</v>
      </c>
      <c r="R34" s="705" t="s">
        <v>14</v>
      </c>
      <c r="S34" s="706">
        <f t="shared" si="12"/>
        <v>100</v>
      </c>
      <c r="T34" s="705" t="s">
        <v>14</v>
      </c>
      <c r="U34" s="706">
        <f t="shared" si="13"/>
        <v>100</v>
      </c>
      <c r="V34" s="705" t="s">
        <v>14</v>
      </c>
      <c r="W34" s="706">
        <f t="shared" si="14"/>
        <v>100</v>
      </c>
      <c r="X34" s="1354"/>
      <c r="Y34" s="373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7"/>
      <c r="Q36" s="1351">
        <f t="shared" si="11"/>
        <v>111</v>
      </c>
      <c r="R36" s="705" t="s">
        <v>14</v>
      </c>
      <c r="S36" s="706">
        <f t="shared" si="12"/>
        <v>100</v>
      </c>
      <c r="T36" s="705" t="s">
        <v>14</v>
      </c>
      <c r="U36" s="706">
        <f t="shared" si="13"/>
        <v>100</v>
      </c>
      <c r="V36" s="705" t="s">
        <v>14</v>
      </c>
      <c r="W36" s="706">
        <f t="shared" si="14"/>
        <v>100</v>
      </c>
      <c r="X36" s="1354"/>
      <c r="Y36" s="3737"/>
      <c r="Z36" s="1355">
        <f t="shared" si="15"/>
        <v>111</v>
      </c>
      <c r="AA36" s="1352">
        <f t="shared" si="3"/>
        <v>1</v>
      </c>
      <c r="AB36" s="1352">
        <f t="shared" si="4"/>
        <v>1</v>
      </c>
      <c r="AC36" s="1352">
        <f t="shared" si="5"/>
        <v>1</v>
      </c>
    </row>
    <row r="37" spans="1:29" ht="15">
      <c r="A37" s="430" t="s">
        <v>1844</v>
      </c>
      <c r="B37" s="1969" t="s">
        <v>5000</v>
      </c>
      <c r="C37" s="1154" t="s">
        <v>0</v>
      </c>
      <c r="D37" s="1155"/>
      <c r="E37" s="1156">
        <v>181236</v>
      </c>
      <c r="F37" s="1157"/>
      <c r="G37" s="1158">
        <v>180000</v>
      </c>
      <c r="H37" s="1159"/>
      <c r="I37" s="1156">
        <v>161677</v>
      </c>
      <c r="J37" s="1159"/>
      <c r="K37" s="568"/>
      <c r="L37" s="2720"/>
      <c r="M37" s="2721"/>
      <c r="N37" s="2712"/>
      <c r="O37" s="2721"/>
      <c r="P37" s="3719" t="str">
        <f>A37</f>
        <v>成交单价</v>
      </c>
      <c r="Q37" s="3719"/>
      <c r="R37" s="3771">
        <f>E37</f>
        <v>181236</v>
      </c>
      <c r="S37" s="3771"/>
      <c r="T37" s="3771">
        <f>G37</f>
        <v>180000</v>
      </c>
      <c r="U37" s="3771"/>
      <c r="V37" s="3771">
        <f>I37</f>
        <v>161677</v>
      </c>
      <c r="W37" s="3771"/>
      <c r="X37" s="690"/>
      <c r="Y37" s="712"/>
      <c r="Z37" s="690"/>
      <c r="AA37" s="690"/>
      <c r="AB37" s="690"/>
      <c r="AC37" s="690"/>
    </row>
    <row r="38" spans="1:29" ht="15.75" thickBot="1">
      <c r="A38" s="437" t="s">
        <v>1845</v>
      </c>
      <c r="B38" s="438" t="str">
        <f>B37</f>
        <v>元/车位</v>
      </c>
      <c r="C38" s="1160">
        <f>R39</f>
        <v>174304</v>
      </c>
      <c r="D38" s="2313" t="s">
        <v>2138</v>
      </c>
      <c r="E38" s="1161">
        <f>R38</f>
        <v>181236</v>
      </c>
      <c r="F38" s="2314"/>
      <c r="G38" s="1160">
        <f>T38</f>
        <v>180000</v>
      </c>
      <c r="H38" s="2314"/>
      <c r="I38" s="1161">
        <f>V38</f>
        <v>161677</v>
      </c>
      <c r="J38" s="2314"/>
      <c r="K38" s="2316">
        <f>F38+H38+J38</f>
        <v>0</v>
      </c>
      <c r="L38" s="2720"/>
      <c r="M38" s="2721"/>
      <c r="N38" s="2721"/>
      <c r="O38" s="2721"/>
      <c r="P38" s="3719" t="str">
        <f>A38</f>
        <v>比较价值（元/平方米）</v>
      </c>
      <c r="Q38" s="3719"/>
      <c r="R38" s="3771">
        <f>IF(F1="售价",ROUND(PRODUCT(R37,AA7:AA36),0),ROUND(PRODUCT(R37,AA7:AA36),1))</f>
        <v>181236</v>
      </c>
      <c r="S38" s="3771"/>
      <c r="T38" s="3771">
        <f>IF(F1="售价",ROUND(PRODUCT(T37,AB7:AB36),0),ROUND(PRODUCT(T37,AB7:AB36),1))</f>
        <v>180000</v>
      </c>
      <c r="U38" s="3771"/>
      <c r="V38" s="3771">
        <f>IF(F1="售价",ROUND(PRODUCT(V37,AC7:AC36),0),ROUND(PRODUCT(V37,AC7:AC36),1))</f>
        <v>161677</v>
      </c>
      <c r="W38" s="3771"/>
      <c r="X38" s="690"/>
      <c r="Y38" s="690"/>
      <c r="Z38" s="690"/>
      <c r="AA38" s="690"/>
      <c r="AB38" s="690"/>
      <c r="AC38" s="690"/>
    </row>
    <row r="39" spans="1:29" ht="15.75" thickBot="1">
      <c r="A39" s="441" t="s">
        <v>1846</v>
      </c>
      <c r="B39" s="442"/>
      <c r="C39" s="1163">
        <f>R39</f>
        <v>174304</v>
      </c>
      <c r="D39" s="1163"/>
      <c r="E39" s="1163"/>
      <c r="F39" s="1163"/>
      <c r="G39" s="1163"/>
      <c r="H39" s="1163"/>
      <c r="I39" s="1163"/>
      <c r="J39" s="1163"/>
      <c r="K39" s="569"/>
      <c r="L39" s="2720"/>
      <c r="M39" s="2721"/>
      <c r="N39" s="2721"/>
      <c r="O39" s="2721"/>
      <c r="P39" s="3739" t="str">
        <f>A39</f>
        <v>估价对象XX用房的比较价值（楼面单价，元/平方米）</v>
      </c>
      <c r="Q39" s="3740"/>
      <c r="R39" s="3793">
        <f>IF(F1="售价",ROUND(IF(D38="简单平均",AVERAGE(R38:W38),R38*F38+T38*H38+V38*J38),0),ROUND(IF(D38="简单平均",AVERAGE(R38:V38),R38*F38+T38*H38+V38*J38),1))</f>
        <v>174304</v>
      </c>
      <c r="S39" s="3793"/>
      <c r="T39" s="3793"/>
      <c r="U39" s="3793"/>
      <c r="V39" s="3793"/>
      <c r="W39" s="379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6.8666666666665765E-3</v>
      </c>
      <c r="F43" s="449" t="str">
        <f>IF(OR(E43&gt;=0.2,E43&lt;=-0.2),"超过20%","")</f>
        <v/>
      </c>
      <c r="G43" s="448">
        <f>IF(G38&lt;I38,I38/G38-1,G38/I38-1)</f>
        <v>0.11333090049914341</v>
      </c>
      <c r="H43" s="449" t="str">
        <f>IF(OR(G43&gt;=0.2,G43&lt;=-0.2),"超过20%","")</f>
        <v/>
      </c>
      <c r="I43" s="448">
        <f>IF(I38&lt;E38,E38/I38-1,I38/E38-1)</f>
        <v>0.12097577268257087</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6.8666666666665765E-3</v>
      </c>
      <c r="F44" s="449" t="str">
        <f>IF(OR(E44&gt;=0.3,E44&lt;=-0.3),"超过30%","")</f>
        <v/>
      </c>
      <c r="G44" s="448">
        <f>IF(G37&lt;I37,I37/G37-1,G37/I37-1)</f>
        <v>0.11333090049914341</v>
      </c>
      <c r="H44" s="449" t="str">
        <f>IF(OR(G44&gt;=0.3,G44&lt;=-0.3),"超过30%","")</f>
        <v/>
      </c>
      <c r="I44" s="448">
        <f>IF(I37&lt;E37,E37/I37-1,I37/E37-1)</f>
        <v>0.12097577268257087</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t="str">
        <f>C9</f>
        <v>车库</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0(含)-30</v>
      </c>
      <c r="D90" s="527" t="str">
        <f t="shared" ref="D90:L90" si="21">D91&amp;"(含)"&amp;"-"&amp;E91</f>
        <v>30(含)-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30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28" sqref="O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t="s">
        <v>3538</v>
      </c>
      <c r="E1" s="3429" t="s">
        <v>3565</v>
      </c>
      <c r="F1" s="1878" t="s">
        <v>3536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IF(E1="项目模式",IF(C2="——",ROUND(C37*D3/10000,0),ROUND(C37*D3/10000,0)-D2),IF(E1="单套模式",IF(C2="——",ROUND(C37*D3/10000,4),ROUND(C37*D3/10000,4)-D2)))</f>
        <v>8486</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13824</v>
      </c>
      <c r="C3" s="354" t="s">
        <v>1768</v>
      </c>
      <c r="D3" s="353">
        <f>SUMIF('数据-汇总表'!$C19:$C33,D1,'数据-汇总表'!$E19:$E33)</f>
        <v>6138.5999999999922</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1"/>
      <c r="M4" s="2712"/>
      <c r="N4" s="2712"/>
      <c r="O4" s="2712"/>
      <c r="P4" s="3724" t="s">
        <v>1775</v>
      </c>
      <c r="Q4" s="3725"/>
      <c r="R4" s="3707" t="s">
        <v>1771</v>
      </c>
      <c r="S4" s="3708"/>
      <c r="T4" s="3707" t="s">
        <v>1772</v>
      </c>
      <c r="U4" s="3708"/>
      <c r="V4" s="3732" t="s">
        <v>1773</v>
      </c>
      <c r="W4" s="3732"/>
      <c r="X4" s="1354"/>
      <c r="Y4" s="3707" t="s">
        <v>1775</v>
      </c>
      <c r="Z4" s="3708"/>
      <c r="AA4" s="3702" t="s">
        <v>1771</v>
      </c>
      <c r="AB4" s="3703" t="s">
        <v>1772</v>
      </c>
      <c r="AC4" s="3702" t="s">
        <v>1773</v>
      </c>
    </row>
    <row r="5" spans="1:29" ht="15">
      <c r="A5" s="358"/>
      <c r="B5" s="359"/>
      <c r="C5" s="3713" t="s">
        <v>1673</v>
      </c>
      <c r="D5" s="3714"/>
      <c r="E5" s="3711" t="str">
        <f>仓储案例!A2</f>
        <v>和锦华宸</v>
      </c>
      <c r="F5" s="3712"/>
      <c r="G5" s="3713" t="str">
        <f>仓储案例!A21</f>
        <v>招商中建·顺义臻珑府</v>
      </c>
      <c r="H5" s="3714"/>
      <c r="I5" s="3713" t="str">
        <f>仓储案例!A37</f>
        <v>龙湖·御湖境</v>
      </c>
      <c r="J5" s="3714"/>
      <c r="K5" s="559"/>
      <c r="L5" s="2711"/>
      <c r="M5" s="2712"/>
      <c r="N5" s="2712"/>
      <c r="O5" s="2712"/>
      <c r="P5" s="3726"/>
      <c r="Q5" s="3727"/>
      <c r="R5" s="3709"/>
      <c r="S5" s="3710"/>
      <c r="T5" s="3709"/>
      <c r="U5" s="3710"/>
      <c r="V5" s="3732"/>
      <c r="W5" s="3732"/>
      <c r="X5" s="1354"/>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2711"/>
      <c r="M6" s="2712"/>
      <c r="N6" s="2712"/>
      <c r="O6" s="2712"/>
      <c r="P6" s="3728"/>
      <c r="Q6" s="3729"/>
      <c r="R6" s="3709"/>
      <c r="S6" s="3710"/>
      <c r="T6" s="3730"/>
      <c r="U6" s="3731"/>
      <c r="V6" s="3732"/>
      <c r="W6" s="3732"/>
      <c r="X6" s="1354"/>
      <c r="Y6" s="3730"/>
      <c r="Z6" s="3731"/>
      <c r="AA6" s="3704"/>
      <c r="AB6" s="3704"/>
      <c r="AC6" s="3704"/>
    </row>
    <row r="7" spans="1:29" s="108" customFormat="1" ht="15.75" thickBot="1">
      <c r="A7" s="362" t="s">
        <v>1679</v>
      </c>
      <c r="B7" s="363"/>
      <c r="C7" s="364">
        <f>'数据-取费表'!B2</f>
        <v>45063</v>
      </c>
      <c r="D7" s="365">
        <v>100</v>
      </c>
      <c r="E7" s="366">
        <f>C7</f>
        <v>45063</v>
      </c>
      <c r="F7" s="367">
        <f>SUMIF(46:46,YEAR(E7)&amp;"-"&amp;MONTH(E7),47:47)</f>
        <v>100</v>
      </c>
      <c r="G7" s="1970">
        <f>C7</f>
        <v>45063</v>
      </c>
      <c r="H7" s="365">
        <f>SUMIF(46:46,YEAR(G7)&amp;"-"&amp;MONTH(G7),47:47)</f>
        <v>100</v>
      </c>
      <c r="I7" s="366">
        <f>C7</f>
        <v>45063</v>
      </c>
      <c r="J7" s="365">
        <f>SUMIF(46:46,YEAR(I7)&amp;"-"&amp;MONTH(I7),47:47)</f>
        <v>100</v>
      </c>
      <c r="K7" s="560"/>
      <c r="L7" s="2713"/>
      <c r="M7" s="2714"/>
      <c r="N7" s="2714"/>
      <c r="O7" s="2714"/>
      <c r="P7" s="3705" t="s">
        <v>1680</v>
      </c>
      <c r="Q7" s="3733"/>
      <c r="R7" s="701" t="s">
        <v>14</v>
      </c>
      <c r="S7" s="702">
        <f t="shared" ref="S7:S14" si="0">F7</f>
        <v>100</v>
      </c>
      <c r="T7" s="701" t="s">
        <v>14</v>
      </c>
      <c r="U7" s="702">
        <f t="shared" ref="U7:U14" si="1">H7</f>
        <v>100</v>
      </c>
      <c r="V7" s="701" t="s">
        <v>14</v>
      </c>
      <c r="W7" s="702">
        <f t="shared" ref="W7:W14" si="2">J7</f>
        <v>100</v>
      </c>
      <c r="X7" s="703"/>
      <c r="Y7" s="3705" t="s">
        <v>1680</v>
      </c>
      <c r="Z7" s="3706"/>
      <c r="AA7" s="704">
        <f>D7/F7</f>
        <v>1</v>
      </c>
      <c r="AB7" s="704">
        <f>D7/H7</f>
        <v>1</v>
      </c>
      <c r="AC7" s="704">
        <f>D7/J7</f>
        <v>1</v>
      </c>
    </row>
    <row r="8" spans="1:29" s="108" customFormat="1" ht="15.75" thickBot="1">
      <c r="A8" s="362" t="s">
        <v>1681</v>
      </c>
      <c r="B8" s="363"/>
      <c r="C8" s="3462" t="s">
        <v>4986</v>
      </c>
      <c r="D8" s="365">
        <v>100</v>
      </c>
      <c r="E8" s="3462" t="s">
        <v>4986</v>
      </c>
      <c r="F8" s="367">
        <f>SUMIF(49:49,E8,50:50)-SUMIF(49:49,C8,50:50)+100</f>
        <v>100</v>
      </c>
      <c r="G8" s="3462" t="s">
        <v>4987</v>
      </c>
      <c r="H8" s="365">
        <f>SUMIF(49:49,G8,50:50)-SUMIF(49:49,C8,50:50)+100</f>
        <v>100</v>
      </c>
      <c r="I8" s="3462" t="s">
        <v>4986</v>
      </c>
      <c r="J8" s="365">
        <f>SUMIF(49:49,I8,50:50)-SUMIF(49:49,C8,50:50)+100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482" t="s">
        <v>4988</v>
      </c>
      <c r="D9" s="126">
        <v>100</v>
      </c>
      <c r="E9" s="3483" t="s">
        <v>4988</v>
      </c>
      <c r="F9" s="372">
        <f>SUMIF(51:51,E9,52:52)-SUMIF(51:51,C9,52:52)+100</f>
        <v>100</v>
      </c>
      <c r="G9" s="3483" t="s">
        <v>4988</v>
      </c>
      <c r="H9" s="126">
        <f>SUMIF(51:51,G9,52:52)-SUMIF(51:51,C9,52:52)+100</f>
        <v>100</v>
      </c>
      <c r="I9" s="3483" t="s">
        <v>4989</v>
      </c>
      <c r="J9" s="126">
        <f>SUMIF(51:51,I9,52:52)-SUMIF(51:51,C9,52:52)+100</f>
        <v>100</v>
      </c>
      <c r="K9" s="560"/>
      <c r="L9" s="2713"/>
      <c r="M9" s="2714"/>
      <c r="N9" s="2714"/>
      <c r="O9" s="2768"/>
      <c r="P9" s="3719" t="s">
        <v>1686</v>
      </c>
      <c r="Q9" s="1342" t="str">
        <f t="shared" ref="Q9:Q14" si="6">B9</f>
        <v>用途</v>
      </c>
      <c r="R9" s="701" t="s">
        <v>14</v>
      </c>
      <c r="S9" s="702">
        <f t="shared" si="0"/>
        <v>100</v>
      </c>
      <c r="T9" s="701" t="s">
        <v>14</v>
      </c>
      <c r="U9" s="702">
        <f t="shared" si="1"/>
        <v>100</v>
      </c>
      <c r="V9" s="701" t="s">
        <v>14</v>
      </c>
      <c r="W9" s="702">
        <f t="shared" si="2"/>
        <v>100</v>
      </c>
      <c r="X9" s="703"/>
      <c r="Y9" s="3675"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9"/>
      <c r="Q10" s="1342" t="str">
        <f t="shared" si="6"/>
        <v>土地使用年限（年）</v>
      </c>
      <c r="R10" s="701" t="s">
        <v>14</v>
      </c>
      <c r="S10" s="702">
        <f t="shared" si="0"/>
        <v>100</v>
      </c>
      <c r="T10" s="701" t="s">
        <v>14</v>
      </c>
      <c r="U10" s="702">
        <f t="shared" si="1"/>
        <v>100</v>
      </c>
      <c r="V10" s="701" t="s">
        <v>14</v>
      </c>
      <c r="W10" s="702">
        <f t="shared" si="2"/>
        <v>100</v>
      </c>
      <c r="X10" s="703"/>
      <c r="Y10" s="367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9"/>
      <c r="Q11" s="1342">
        <f t="shared" si="6"/>
        <v>111</v>
      </c>
      <c r="R11" s="701" t="s">
        <v>14</v>
      </c>
      <c r="S11" s="702">
        <f t="shared" si="0"/>
        <v>100</v>
      </c>
      <c r="T11" s="701" t="s">
        <v>14</v>
      </c>
      <c r="U11" s="702">
        <f t="shared" si="1"/>
        <v>100</v>
      </c>
      <c r="V11" s="701" t="s">
        <v>14</v>
      </c>
      <c r="W11" s="702">
        <f t="shared" si="2"/>
        <v>100</v>
      </c>
      <c r="X11" s="703"/>
      <c r="Y11" s="367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9"/>
      <c r="Q12" s="1342">
        <f t="shared" si="6"/>
        <v>111</v>
      </c>
      <c r="R12" s="701" t="s">
        <v>14</v>
      </c>
      <c r="S12" s="702">
        <f t="shared" si="0"/>
        <v>100</v>
      </c>
      <c r="T12" s="701" t="s">
        <v>14</v>
      </c>
      <c r="U12" s="702">
        <f t="shared" si="1"/>
        <v>100</v>
      </c>
      <c r="V12" s="701" t="s">
        <v>14</v>
      </c>
      <c r="W12" s="702">
        <f t="shared" si="2"/>
        <v>100</v>
      </c>
      <c r="X12" s="703"/>
      <c r="Y12" s="367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9"/>
      <c r="Q13" s="1342">
        <f t="shared" si="6"/>
        <v>111</v>
      </c>
      <c r="R13" s="701" t="s">
        <v>14</v>
      </c>
      <c r="S13" s="702">
        <f t="shared" si="0"/>
        <v>100</v>
      </c>
      <c r="T13" s="701" t="s">
        <v>14</v>
      </c>
      <c r="U13" s="702">
        <f t="shared" si="1"/>
        <v>100</v>
      </c>
      <c r="V13" s="701" t="s">
        <v>14</v>
      </c>
      <c r="W13" s="702">
        <f t="shared" si="2"/>
        <v>100</v>
      </c>
      <c r="X13" s="703"/>
      <c r="Y13" s="3675"/>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4" t="s">
        <v>1691</v>
      </c>
      <c r="Q14" s="1351" t="str">
        <f t="shared" si="6"/>
        <v>交通便捷度</v>
      </c>
      <c r="R14" s="705" t="s">
        <v>14</v>
      </c>
      <c r="S14" s="706">
        <f t="shared" si="0"/>
        <v>100</v>
      </c>
      <c r="T14" s="705" t="s">
        <v>14</v>
      </c>
      <c r="U14" s="706">
        <f t="shared" si="1"/>
        <v>100</v>
      </c>
      <c r="V14" s="705" t="s">
        <v>14</v>
      </c>
      <c r="W14" s="706">
        <f t="shared" si="2"/>
        <v>100</v>
      </c>
      <c r="X14" s="1354"/>
      <c r="Y14" s="3734" t="s">
        <v>1691</v>
      </c>
      <c r="Z14" s="1355" t="str">
        <f t="shared" si="7"/>
        <v>交通便捷度</v>
      </c>
      <c r="AA14" s="1352">
        <f t="shared" si="3"/>
        <v>1</v>
      </c>
      <c r="AB14" s="1352">
        <f t="shared" si="4"/>
        <v>1</v>
      </c>
      <c r="AC14" s="1352">
        <f t="shared" si="5"/>
        <v>1</v>
      </c>
    </row>
    <row r="15" spans="1:29" ht="15">
      <c r="A15" s="379"/>
      <c r="B15" s="397"/>
      <c r="C15" s="3466" t="s">
        <v>4990</v>
      </c>
      <c r="D15" s="399"/>
      <c r="E15" s="3466" t="s">
        <v>4991</v>
      </c>
      <c r="F15" s="400"/>
      <c r="G15" s="3466" t="s">
        <v>4990</v>
      </c>
      <c r="H15" s="401"/>
      <c r="I15" s="3466" t="s">
        <v>4990</v>
      </c>
      <c r="J15" s="399"/>
      <c r="K15" s="564"/>
      <c r="L15" s="2718"/>
      <c r="M15" s="2712"/>
      <c r="N15" s="2712"/>
      <c r="O15" s="2770"/>
      <c r="P15" s="3735"/>
      <c r="Q15" s="1351"/>
      <c r="R15" s="705"/>
      <c r="S15" s="706"/>
      <c r="T15" s="705"/>
      <c r="U15" s="706"/>
      <c r="V15" s="705"/>
      <c r="W15" s="706"/>
      <c r="X15" s="1354"/>
      <c r="Y15" s="3735"/>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5"/>
      <c r="Q16" s="1351" t="str">
        <f>B16</f>
        <v>公共配套设施</v>
      </c>
      <c r="R16" s="705" t="s">
        <v>14</v>
      </c>
      <c r="S16" s="706">
        <f>F16</f>
        <v>100</v>
      </c>
      <c r="T16" s="705" t="s">
        <v>14</v>
      </c>
      <c r="U16" s="706">
        <f>H16</f>
        <v>100</v>
      </c>
      <c r="V16" s="705" t="s">
        <v>14</v>
      </c>
      <c r="W16" s="706">
        <f>J16</f>
        <v>100</v>
      </c>
      <c r="X16" s="1354"/>
      <c r="Y16" s="3735"/>
      <c r="Z16" s="1355" t="str">
        <f>Q16</f>
        <v>公共配套设施</v>
      </c>
      <c r="AA16" s="1352">
        <f t="shared" si="3"/>
        <v>1</v>
      </c>
      <c r="AB16" s="1352">
        <f t="shared" si="4"/>
        <v>1</v>
      </c>
      <c r="AC16" s="1352">
        <f t="shared" si="5"/>
        <v>1</v>
      </c>
    </row>
    <row r="17" spans="1:29" ht="15">
      <c r="A17" s="379"/>
      <c r="B17" s="407"/>
      <c r="C17" s="3474" t="s">
        <v>4983</v>
      </c>
      <c r="D17" s="399"/>
      <c r="E17" s="3466" t="s">
        <v>4992</v>
      </c>
      <c r="F17" s="400"/>
      <c r="G17" s="3466" t="s">
        <v>4983</v>
      </c>
      <c r="H17" s="399"/>
      <c r="I17" s="3466" t="s">
        <v>4983</v>
      </c>
      <c r="J17" s="399"/>
      <c r="K17" s="564"/>
      <c r="L17" s="2718"/>
      <c r="M17" s="2712"/>
      <c r="N17" s="2712"/>
      <c r="O17" s="2770"/>
      <c r="P17" s="3735"/>
      <c r="Q17" s="1351"/>
      <c r="R17" s="705"/>
      <c r="S17" s="706"/>
      <c r="T17" s="705"/>
      <c r="U17" s="706"/>
      <c r="V17" s="705"/>
      <c r="W17" s="706"/>
      <c r="X17" s="1354"/>
      <c r="Y17" s="3735"/>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5"/>
      <c r="Q18" s="1351" t="str">
        <f>B18</f>
        <v>基础设施水平</v>
      </c>
      <c r="R18" s="705" t="s">
        <v>14</v>
      </c>
      <c r="S18" s="706">
        <f>F18</f>
        <v>100</v>
      </c>
      <c r="T18" s="705" t="s">
        <v>14</v>
      </c>
      <c r="U18" s="706">
        <f>H18</f>
        <v>100</v>
      </c>
      <c r="V18" s="705" t="s">
        <v>14</v>
      </c>
      <c r="W18" s="706">
        <f>J18</f>
        <v>100</v>
      </c>
      <c r="X18" s="1354"/>
      <c r="Y18" s="3735"/>
      <c r="Z18" s="1355" t="str">
        <f>Q18</f>
        <v>基础设施水平</v>
      </c>
      <c r="AA18" s="1352">
        <f t="shared" ref="AA18" si="8">D18/F18</f>
        <v>1</v>
      </c>
      <c r="AB18" s="1352">
        <f t="shared" ref="AB18" si="9">D18/H18</f>
        <v>1</v>
      </c>
      <c r="AC18" s="1352">
        <f t="shared" ref="AC18" si="10">D18/J18</f>
        <v>1</v>
      </c>
    </row>
    <row r="19" spans="1:29" ht="15">
      <c r="A19" s="379"/>
      <c r="B19" s="1131"/>
      <c r="C19" s="3474" t="s">
        <v>4993</v>
      </c>
      <c r="D19" s="401"/>
      <c r="E19" s="3474" t="s">
        <v>4993</v>
      </c>
      <c r="F19" s="404"/>
      <c r="G19" s="3474" t="s">
        <v>4993</v>
      </c>
      <c r="H19" s="399"/>
      <c r="I19" s="3466" t="s">
        <v>4994</v>
      </c>
      <c r="J19" s="399"/>
      <c r="K19" s="1130"/>
      <c r="L19" s="2718"/>
      <c r="M19" s="2712"/>
      <c r="N19" s="2712"/>
      <c r="O19" s="2770"/>
      <c r="P19" s="3735"/>
      <c r="Q19" s="1351"/>
      <c r="R19" s="705"/>
      <c r="S19" s="706"/>
      <c r="T19" s="705"/>
      <c r="U19" s="706"/>
      <c r="V19" s="705"/>
      <c r="W19" s="706"/>
      <c r="X19" s="1354"/>
      <c r="Y19" s="3735"/>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5"/>
      <c r="Q20" s="1351" t="str">
        <f>B20</f>
        <v>自然及人文环境</v>
      </c>
      <c r="R20" s="705" t="s">
        <v>14</v>
      </c>
      <c r="S20" s="706">
        <f>F20</f>
        <v>100</v>
      </c>
      <c r="T20" s="705" t="s">
        <v>14</v>
      </c>
      <c r="U20" s="706">
        <f>H20</f>
        <v>100</v>
      </c>
      <c r="V20" s="705" t="s">
        <v>14</v>
      </c>
      <c r="W20" s="706">
        <f>J20</f>
        <v>100</v>
      </c>
      <c r="X20" s="1354"/>
      <c r="Y20" s="3735"/>
      <c r="Z20" s="1355" t="str">
        <f>Q20</f>
        <v>自然及人文环境</v>
      </c>
      <c r="AA20" s="1352">
        <f t="shared" si="3"/>
        <v>1</v>
      </c>
      <c r="AB20" s="1352">
        <f t="shared" si="4"/>
        <v>1</v>
      </c>
      <c r="AC20" s="1352">
        <f t="shared" si="5"/>
        <v>1</v>
      </c>
    </row>
    <row r="21" spans="1:29" ht="15">
      <c r="A21" s="379"/>
      <c r="B21" s="407"/>
      <c r="C21" s="3466" t="s">
        <v>4983</v>
      </c>
      <c r="D21" s="399"/>
      <c r="E21" s="3466" t="s">
        <v>4983</v>
      </c>
      <c r="F21" s="400"/>
      <c r="G21" s="3466" t="s">
        <v>4982</v>
      </c>
      <c r="H21" s="399"/>
      <c r="I21" s="3466" t="s">
        <v>4983</v>
      </c>
      <c r="J21" s="399"/>
      <c r="K21" s="564"/>
      <c r="L21" s="2718"/>
      <c r="M21" s="2712"/>
      <c r="N21" s="2712"/>
      <c r="O21" s="2770"/>
      <c r="P21" s="3735"/>
      <c r="Q21" s="1351"/>
      <c r="R21" s="705"/>
      <c r="S21" s="706"/>
      <c r="T21" s="705"/>
      <c r="U21" s="706"/>
      <c r="V21" s="705"/>
      <c r="W21" s="706"/>
      <c r="X21" s="1354"/>
      <c r="Y21" s="373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5"/>
      <c r="Q22" s="1351" t="str">
        <f>B22</f>
        <v>楼层</v>
      </c>
      <c r="R22" s="705" t="s">
        <v>14</v>
      </c>
      <c r="S22" s="706">
        <f>F22</f>
        <v>100</v>
      </c>
      <c r="T22" s="705" t="s">
        <v>14</v>
      </c>
      <c r="U22" s="706">
        <f>H22</f>
        <v>100</v>
      </c>
      <c r="V22" s="705" t="s">
        <v>14</v>
      </c>
      <c r="W22" s="706">
        <f>J22</f>
        <v>100</v>
      </c>
      <c r="X22" s="1354"/>
      <c r="Y22" s="3735"/>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5"/>
      <c r="Q23" s="1351">
        <f>B23</f>
        <v>111</v>
      </c>
      <c r="R23" s="705" t="s">
        <v>14</v>
      </c>
      <c r="S23" s="706">
        <f>F23</f>
        <v>100</v>
      </c>
      <c r="T23" s="705" t="s">
        <v>14</v>
      </c>
      <c r="U23" s="706">
        <f>H23</f>
        <v>100</v>
      </c>
      <c r="V23" s="705" t="s">
        <v>14</v>
      </c>
      <c r="W23" s="706">
        <f>J23</f>
        <v>100</v>
      </c>
      <c r="X23" s="1354"/>
      <c r="Y23" s="3735"/>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5"/>
      <c r="Q24" s="1351">
        <f t="shared" ref="Q24:Q34" si="11">B24</f>
        <v>111</v>
      </c>
      <c r="R24" s="705" t="s">
        <v>14</v>
      </c>
      <c r="S24" s="706">
        <f>F24</f>
        <v>100</v>
      </c>
      <c r="T24" s="705" t="s">
        <v>14</v>
      </c>
      <c r="U24" s="706">
        <f>H24</f>
        <v>100</v>
      </c>
      <c r="V24" s="705" t="s">
        <v>14</v>
      </c>
      <c r="W24" s="706">
        <f>J24</f>
        <v>100</v>
      </c>
      <c r="X24" s="1354"/>
      <c r="Y24" s="3735"/>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5"/>
      <c r="Q25" s="1342">
        <f t="shared" si="11"/>
        <v>111</v>
      </c>
      <c r="R25" s="701" t="s">
        <v>14</v>
      </c>
      <c r="S25" s="702">
        <f>F25</f>
        <v>100</v>
      </c>
      <c r="T25" s="701" t="s">
        <v>14</v>
      </c>
      <c r="U25" s="702">
        <f>H25</f>
        <v>100</v>
      </c>
      <c r="V25" s="701" t="s">
        <v>14</v>
      </c>
      <c r="W25" s="702">
        <f>J25</f>
        <v>100</v>
      </c>
      <c r="X25" s="703"/>
      <c r="Y25" s="3735"/>
      <c r="Z25" s="52">
        <f>Q25</f>
        <v>111</v>
      </c>
      <c r="AA25" s="1352">
        <f>D25/F25</f>
        <v>1</v>
      </c>
      <c r="AB25" s="1352">
        <f>D25/H25</f>
        <v>1</v>
      </c>
      <c r="AC25" s="1352">
        <f>D25/J25</f>
        <v>1</v>
      </c>
    </row>
    <row r="26" spans="1:29" ht="28.5">
      <c r="A26" s="417" t="s">
        <v>1694</v>
      </c>
      <c r="B26" s="63" t="s">
        <v>1838</v>
      </c>
      <c r="C26" s="3500" t="s">
        <v>4995</v>
      </c>
      <c r="D26" s="418">
        <v>100</v>
      </c>
      <c r="E26" s="3500" t="s">
        <v>4995</v>
      </c>
      <c r="F26" s="615">
        <f>SUMIF(77:77,E26,78:78)-SUMIF(77:77,C26,78:78)+100</f>
        <v>100</v>
      </c>
      <c r="G26" s="3500" t="s">
        <v>4995</v>
      </c>
      <c r="H26" s="418">
        <f>SUMIF(77:77,G26,78:78)-SUMIF(77:77,C26,78:78)+100</f>
        <v>100</v>
      </c>
      <c r="I26" s="3500" t="s">
        <v>4995</v>
      </c>
      <c r="J26" s="418">
        <f>SUMIF(77:77,I26,78:78)-SUMIF(77:77,C26,78:78)+100</f>
        <v>100</v>
      </c>
      <c r="K26" s="561"/>
      <c r="L26" s="2718"/>
      <c r="M26" s="2712"/>
      <c r="N26" s="2712"/>
      <c r="O26" s="2770"/>
      <c r="P26" s="373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7" t="s">
        <v>1696</v>
      </c>
      <c r="Z26" s="1355" t="str">
        <f t="shared" ref="Z26:Z34" si="15">Q26</f>
        <v>公共部分装修</v>
      </c>
      <c r="AA26" s="1352">
        <f t="shared" si="3"/>
        <v>1</v>
      </c>
      <c r="AB26" s="1352">
        <f t="shared" si="4"/>
        <v>1</v>
      </c>
      <c r="AC26" s="1352">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37"/>
      <c r="Q27" s="707" t="str">
        <f t="shared" si="11"/>
        <v>成新率</v>
      </c>
      <c r="R27" s="708" t="s">
        <v>14</v>
      </c>
      <c r="S27" s="709">
        <f t="shared" si="12"/>
        <v>100</v>
      </c>
      <c r="T27" s="708" t="s">
        <v>14</v>
      </c>
      <c r="U27" s="709">
        <f t="shared" si="13"/>
        <v>100</v>
      </c>
      <c r="V27" s="708" t="s">
        <v>14</v>
      </c>
      <c r="W27" s="709">
        <f t="shared" si="14"/>
        <v>100</v>
      </c>
      <c r="X27" s="710"/>
      <c r="Y27" s="3737"/>
      <c r="Z27" s="711" t="str">
        <f t="shared" si="15"/>
        <v>成新率</v>
      </c>
      <c r="AA27" s="1352">
        <f t="shared" si="3"/>
        <v>1</v>
      </c>
      <c r="AB27" s="1352">
        <f t="shared" si="4"/>
        <v>1</v>
      </c>
      <c r="AC27" s="1352">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7"/>
      <c r="Q28" s="1351" t="str">
        <f t="shared" si="11"/>
        <v>物业等级</v>
      </c>
      <c r="R28" s="705" t="s">
        <v>14</v>
      </c>
      <c r="S28" s="706">
        <f t="shared" si="12"/>
        <v>100</v>
      </c>
      <c r="T28" s="705" t="s">
        <v>14</v>
      </c>
      <c r="U28" s="706">
        <f t="shared" si="13"/>
        <v>100</v>
      </c>
      <c r="V28" s="705" t="s">
        <v>14</v>
      </c>
      <c r="W28" s="706">
        <f t="shared" si="14"/>
        <v>100</v>
      </c>
      <c r="X28" s="1354"/>
      <c r="Y28" s="373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7"/>
      <c r="Q29" s="1351" t="str">
        <f t="shared" si="11"/>
        <v>有无电梯</v>
      </c>
      <c r="R29" s="705" t="s">
        <v>14</v>
      </c>
      <c r="S29" s="706">
        <f t="shared" si="12"/>
        <v>100</v>
      </c>
      <c r="T29" s="705" t="s">
        <v>14</v>
      </c>
      <c r="U29" s="706">
        <f t="shared" si="13"/>
        <v>100</v>
      </c>
      <c r="V29" s="705" t="s">
        <v>14</v>
      </c>
      <c r="W29" s="706">
        <f t="shared" si="14"/>
        <v>100</v>
      </c>
      <c r="X29" s="1354"/>
      <c r="Y29" s="3737"/>
      <c r="Z29" s="1355" t="str">
        <f t="shared" si="15"/>
        <v>有无电梯</v>
      </c>
      <c r="AA29" s="1352">
        <f t="shared" si="3"/>
        <v>1</v>
      </c>
      <c r="AB29" s="1352">
        <f t="shared" si="4"/>
        <v>1</v>
      </c>
      <c r="AC29" s="1352">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37"/>
      <c r="Q30" s="1351" t="str">
        <f t="shared" si="11"/>
        <v>建筑面积</v>
      </c>
      <c r="R30" s="705" t="s">
        <v>14</v>
      </c>
      <c r="S30" s="706">
        <f t="shared" si="12"/>
        <v>100</v>
      </c>
      <c r="T30" s="705" t="s">
        <v>14</v>
      </c>
      <c r="U30" s="706">
        <f t="shared" si="13"/>
        <v>100</v>
      </c>
      <c r="V30" s="705" t="s">
        <v>14</v>
      </c>
      <c r="W30" s="706">
        <f t="shared" si="14"/>
        <v>100</v>
      </c>
      <c r="X30" s="1354"/>
      <c r="Y30" s="3737"/>
      <c r="Z30" s="1355" t="str">
        <f t="shared" si="15"/>
        <v>建筑面积</v>
      </c>
      <c r="AA30" s="1352">
        <f t="shared" si="3"/>
        <v>1</v>
      </c>
      <c r="AB30" s="1352">
        <f t="shared" si="4"/>
        <v>1</v>
      </c>
      <c r="AC30" s="1352">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7"/>
      <c r="Q31" s="1342"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7" t="s">
        <v>1696</v>
      </c>
      <c r="Q32" s="1351">
        <f t="shared" si="11"/>
        <v>111</v>
      </c>
      <c r="R32" s="705" t="s">
        <v>14</v>
      </c>
      <c r="S32" s="706">
        <f t="shared" si="12"/>
        <v>100</v>
      </c>
      <c r="T32" s="705" t="s">
        <v>14</v>
      </c>
      <c r="U32" s="706">
        <f t="shared" si="13"/>
        <v>100</v>
      </c>
      <c r="V32" s="705" t="s">
        <v>14</v>
      </c>
      <c r="W32" s="706">
        <f t="shared" si="14"/>
        <v>100</v>
      </c>
      <c r="X32" s="1354"/>
      <c r="Y32" s="373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7"/>
      <c r="Q33" s="1351">
        <f t="shared" si="11"/>
        <v>111</v>
      </c>
      <c r="R33" s="705" t="s">
        <v>14</v>
      </c>
      <c r="S33" s="706">
        <f t="shared" si="12"/>
        <v>100</v>
      </c>
      <c r="T33" s="705" t="s">
        <v>14</v>
      </c>
      <c r="U33" s="706">
        <f t="shared" si="13"/>
        <v>100</v>
      </c>
      <c r="V33" s="705" t="s">
        <v>14</v>
      </c>
      <c r="W33" s="706">
        <f t="shared" si="14"/>
        <v>100</v>
      </c>
      <c r="X33" s="1354"/>
      <c r="Y33" s="3737"/>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7"/>
      <c r="Q34" s="1351">
        <f t="shared" si="11"/>
        <v>111</v>
      </c>
      <c r="R34" s="705" t="s">
        <v>14</v>
      </c>
      <c r="S34" s="706">
        <f t="shared" si="12"/>
        <v>100</v>
      </c>
      <c r="T34" s="705" t="s">
        <v>14</v>
      </c>
      <c r="U34" s="706">
        <f t="shared" si="13"/>
        <v>100</v>
      </c>
      <c r="V34" s="705" t="s">
        <v>14</v>
      </c>
      <c r="W34" s="706">
        <f t="shared" si="14"/>
        <v>100</v>
      </c>
      <c r="X34" s="1354"/>
      <c r="Y34" s="3737"/>
      <c r="Z34" s="1355">
        <f t="shared" si="15"/>
        <v>111</v>
      </c>
      <c r="AA34" s="1352">
        <f t="shared" si="3"/>
        <v>1</v>
      </c>
      <c r="AB34" s="1352">
        <f t="shared" si="4"/>
        <v>1</v>
      </c>
      <c r="AC34" s="1352">
        <f t="shared" si="5"/>
        <v>1</v>
      </c>
    </row>
    <row r="35" spans="1:30" ht="15">
      <c r="A35" s="430" t="s">
        <v>1708</v>
      </c>
      <c r="B35" s="431"/>
      <c r="C35" s="1154" t="s">
        <v>0</v>
      </c>
      <c r="D35" s="1155"/>
      <c r="E35" s="1156">
        <v>14859</v>
      </c>
      <c r="F35" s="1157"/>
      <c r="G35" s="1158">
        <v>15000</v>
      </c>
      <c r="H35" s="1159"/>
      <c r="I35" s="1156">
        <v>11614</v>
      </c>
      <c r="J35" s="1159"/>
      <c r="K35" s="714"/>
      <c r="L35" s="2720"/>
      <c r="M35" s="2721"/>
      <c r="N35" s="2712"/>
      <c r="O35" s="2721"/>
      <c r="P35" s="3719" t="str">
        <f>A35</f>
        <v>成交单价（元/平方米）</v>
      </c>
      <c r="Q35" s="3719"/>
      <c r="R35" s="3771">
        <f>E35</f>
        <v>14859</v>
      </c>
      <c r="S35" s="3771"/>
      <c r="T35" s="3771">
        <f>G35</f>
        <v>15000</v>
      </c>
      <c r="U35" s="3771"/>
      <c r="V35" s="3771">
        <f>I35</f>
        <v>11614</v>
      </c>
      <c r="W35" s="3771"/>
      <c r="X35" s="690"/>
      <c r="Y35" s="712"/>
      <c r="Z35" s="690"/>
      <c r="AA35" s="690"/>
      <c r="AB35" s="690"/>
      <c r="AC35" s="690"/>
    </row>
    <row r="36" spans="1:30" ht="15.75" thickBot="1">
      <c r="A36" s="437" t="s">
        <v>1793</v>
      </c>
      <c r="B36" s="438"/>
      <c r="C36" s="1160">
        <f>R37</f>
        <v>13824</v>
      </c>
      <c r="D36" s="2313" t="s">
        <v>2138</v>
      </c>
      <c r="E36" s="1161">
        <f>R36</f>
        <v>14859</v>
      </c>
      <c r="F36" s="2314"/>
      <c r="G36" s="1160">
        <f>T36</f>
        <v>15000</v>
      </c>
      <c r="H36" s="2314"/>
      <c r="I36" s="1161">
        <f>V36</f>
        <v>11614</v>
      </c>
      <c r="J36" s="2314"/>
      <c r="K36" s="2316">
        <f>F36+H36+J36</f>
        <v>0</v>
      </c>
      <c r="L36" s="2720"/>
      <c r="M36" s="2721"/>
      <c r="N36" s="2712"/>
      <c r="O36" s="2721"/>
      <c r="P36" s="3719" t="str">
        <f>A36</f>
        <v>比较价值（元/平方米）</v>
      </c>
      <c r="Q36" s="3719"/>
      <c r="R36" s="3771">
        <f>IF(F1="售价",ROUND(PRODUCT(R35,AA7:AA34),0),ROUND(PRODUCT(R35,AA7:AA34),1))</f>
        <v>14859</v>
      </c>
      <c r="S36" s="3771"/>
      <c r="T36" s="3771">
        <f>IF(F1="售价",ROUND(PRODUCT(T35,AB7:AB34),0),ROUND(PRODUCT(T35,AB7:AB34),1))</f>
        <v>15000</v>
      </c>
      <c r="U36" s="3771"/>
      <c r="V36" s="3771">
        <f>IF(F1="售价",ROUND(PRODUCT(V35,AC7:AC34),0),ROUND(PRODUCT(V35,AC7:AC34),1))</f>
        <v>11614</v>
      </c>
      <c r="W36" s="3771"/>
      <c r="X36" s="690"/>
      <c r="Y36" s="690"/>
      <c r="Z36" s="690"/>
      <c r="AA36" s="690"/>
      <c r="AB36" s="690"/>
      <c r="AC36" s="690"/>
    </row>
    <row r="37" spans="1:30" ht="15.75" thickBot="1">
      <c r="A37" s="441" t="s">
        <v>1794</v>
      </c>
      <c r="B37" s="442"/>
      <c r="C37" s="1163">
        <f>R37</f>
        <v>13824</v>
      </c>
      <c r="D37" s="1163"/>
      <c r="E37" s="1163"/>
      <c r="F37" s="1163"/>
      <c r="G37" s="1163"/>
      <c r="H37" s="1163"/>
      <c r="I37" s="1163"/>
      <c r="J37" s="1163"/>
      <c r="K37" s="715"/>
      <c r="L37" s="2720"/>
      <c r="M37" s="2721"/>
      <c r="N37" s="2721"/>
      <c r="O37" s="2721"/>
      <c r="P37" s="3739" t="str">
        <f>A37</f>
        <v>估价对象XX用房的比较价值（楼面单价，元/平方米）</v>
      </c>
      <c r="Q37" s="3740"/>
      <c r="R37" s="3793">
        <f>IF(F1="售价",ROUND(IF(D36="简单平均",AVERAGE(R36:W36),R36*F36+T36*H36+V36*J36),0),ROUND(IF(D36="简单平均",AVERAGE(R36:V36),R36*F36+T36*H36+V36*J36),1))</f>
        <v>13824</v>
      </c>
      <c r="S37" s="3793"/>
      <c r="T37" s="3793"/>
      <c r="U37" s="3793"/>
      <c r="V37" s="3793"/>
      <c r="W37" s="379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9.4891984655764983E-3</v>
      </c>
      <c r="F41" s="449" t="str">
        <f>IF(OR(E41&gt;=0.2,E41&lt;=-0.2),"超过20%","")</f>
        <v/>
      </c>
      <c r="G41" s="448">
        <f>IF(G36&lt;I36,I36/G36-1,G36/I36-1)</f>
        <v>0.29154468744618556</v>
      </c>
      <c r="H41" s="449" t="str">
        <f>IF(OR(G41&gt;=0.2,G41&lt;=-0.2),"超过20%","")</f>
        <v>超过20%</v>
      </c>
      <c r="I41" s="448">
        <f>IF(I36&lt;E36,E36/I36-1,I36/E36-1)</f>
        <v>0.27940416738419138</v>
      </c>
      <c r="J41" s="449" t="str">
        <f>IF(OR(I41&gt;=0.2,I41&lt;=-0.2),"超过20%","")</f>
        <v>超过20%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9.4891984655764983E-3</v>
      </c>
      <c r="F42" s="449" t="str">
        <f>IF(OR(E42&gt;=0.3,E42&lt;=-0.3),"超过30%","")</f>
        <v/>
      </c>
      <c r="G42" s="448">
        <f>IF(G35&lt;I35,I35/G35-1,G35/I35-1)</f>
        <v>0.29154468744618556</v>
      </c>
      <c r="H42" s="449" t="str">
        <f>IF(OR(G42&gt;=0.3,G42&lt;=-0.3),"超过30%","")</f>
        <v/>
      </c>
      <c r="I42" s="448">
        <f>IF(I35&lt;E35,E35/I35-1,I35/E35-1)</f>
        <v>0.27940416738419138</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t="str">
        <f>C9</f>
        <v>仓储</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0(含)-50</v>
      </c>
      <c r="D86" s="527" t="str">
        <f t="shared" si="21"/>
        <v>50(含)-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50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1"/>
      <c r="M4" s="2712"/>
      <c r="N4" s="2712"/>
      <c r="O4" s="2712"/>
      <c r="P4" s="3724" t="s">
        <v>1775</v>
      </c>
      <c r="Q4" s="3725"/>
      <c r="R4" s="3707" t="s">
        <v>1771</v>
      </c>
      <c r="S4" s="3708"/>
      <c r="T4" s="3707" t="s">
        <v>1772</v>
      </c>
      <c r="U4" s="3708"/>
      <c r="V4" s="3732" t="s">
        <v>1773</v>
      </c>
      <c r="W4" s="3732"/>
      <c r="X4" s="1354"/>
      <c r="Y4" s="3707" t="s">
        <v>1775</v>
      </c>
      <c r="Z4" s="3708"/>
      <c r="AA4" s="3702" t="s">
        <v>1771</v>
      </c>
      <c r="AB4" s="3703" t="s">
        <v>1772</v>
      </c>
      <c r="AC4" s="3702" t="s">
        <v>1773</v>
      </c>
    </row>
    <row r="5" spans="1:29" ht="15">
      <c r="A5" s="358"/>
      <c r="B5" s="359"/>
      <c r="C5" s="3713" t="s">
        <v>1673</v>
      </c>
      <c r="D5" s="3714"/>
      <c r="E5" s="3711" t="s">
        <v>1674</v>
      </c>
      <c r="F5" s="3712"/>
      <c r="G5" s="3713" t="s">
        <v>1675</v>
      </c>
      <c r="H5" s="3714"/>
      <c r="I5" s="3713" t="s">
        <v>1676</v>
      </c>
      <c r="J5" s="3714"/>
      <c r="K5" s="559"/>
      <c r="L5" s="2711"/>
      <c r="M5" s="2712"/>
      <c r="N5" s="2712"/>
      <c r="O5" s="2712"/>
      <c r="P5" s="3726"/>
      <c r="Q5" s="3727"/>
      <c r="R5" s="3709"/>
      <c r="S5" s="3710"/>
      <c r="T5" s="3709"/>
      <c r="U5" s="3710"/>
      <c r="V5" s="3732"/>
      <c r="W5" s="3732"/>
      <c r="X5" s="1354"/>
      <c r="Y5" s="3709"/>
      <c r="Z5" s="3710"/>
      <c r="AA5" s="3703"/>
      <c r="AB5" s="3703"/>
      <c r="AC5" s="3703"/>
    </row>
    <row r="6" spans="1:29" ht="15.75" thickBot="1">
      <c r="A6" s="360"/>
      <c r="B6" s="361"/>
      <c r="C6" s="3794" t="s">
        <v>1919</v>
      </c>
      <c r="D6" s="3795"/>
      <c r="E6" s="3796" t="s">
        <v>1919</v>
      </c>
      <c r="F6" s="3797"/>
      <c r="G6" s="3794" t="s">
        <v>1919</v>
      </c>
      <c r="H6" s="3795"/>
      <c r="I6" s="3794" t="s">
        <v>1919</v>
      </c>
      <c r="J6" s="3795"/>
      <c r="K6" s="559" t="s">
        <v>1678</v>
      </c>
      <c r="L6" s="2711"/>
      <c r="M6" s="2712"/>
      <c r="N6" s="2712"/>
      <c r="O6" s="2712"/>
      <c r="P6" s="3728"/>
      <c r="Q6" s="3729"/>
      <c r="R6" s="3709"/>
      <c r="S6" s="3710"/>
      <c r="T6" s="3730"/>
      <c r="U6" s="3731"/>
      <c r="V6" s="3732"/>
      <c r="W6" s="3732"/>
      <c r="X6" s="1354"/>
      <c r="Y6" s="3730"/>
      <c r="Z6" s="3731"/>
      <c r="AA6" s="3704"/>
      <c r="AB6" s="3704"/>
      <c r="AC6" s="3704"/>
    </row>
    <row r="7" spans="1:29" s="108" customFormat="1" ht="15.75" thickBot="1">
      <c r="A7" s="362" t="s">
        <v>1679</v>
      </c>
      <c r="B7" s="363"/>
      <c r="C7" s="364">
        <f>'数据-取费表'!B2</f>
        <v>45063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5"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9" t="s">
        <v>1686</v>
      </c>
      <c r="Q9" s="1342" t="str">
        <f t="shared" ref="Q9:Q15" si="6">B9</f>
        <v>用途</v>
      </c>
      <c r="R9" s="701" t="s">
        <v>14</v>
      </c>
      <c r="S9" s="702">
        <f t="shared" si="0"/>
        <v>100</v>
      </c>
      <c r="T9" s="701" t="s">
        <v>14</v>
      </c>
      <c r="U9" s="702">
        <f t="shared" si="1"/>
        <v>100</v>
      </c>
      <c r="V9" s="701" t="s">
        <v>14</v>
      </c>
      <c r="W9" s="702">
        <f t="shared" si="2"/>
        <v>100</v>
      </c>
      <c r="X9" s="703"/>
      <c r="Y9" s="36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5"/>
      <c r="M10" s="2716"/>
      <c r="N10" s="2716"/>
      <c r="O10" s="2769"/>
      <c r="P10" s="3719"/>
      <c r="Q10" s="1342" t="str">
        <f t="shared" si="6"/>
        <v>土地使用年限（年）</v>
      </c>
      <c r="R10" s="701" t="s">
        <v>14</v>
      </c>
      <c r="S10" s="702">
        <f t="shared" si="0"/>
        <v>100</v>
      </c>
      <c r="T10" s="701" t="s">
        <v>14</v>
      </c>
      <c r="U10" s="702">
        <f t="shared" si="1"/>
        <v>100</v>
      </c>
      <c r="V10" s="701" t="s">
        <v>14</v>
      </c>
      <c r="W10" s="702">
        <f t="shared" si="2"/>
        <v>100</v>
      </c>
      <c r="X10" s="703"/>
      <c r="Y10" s="3675"/>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9"/>
      <c r="Q11" s="1342" t="str">
        <f t="shared" si="6"/>
        <v>容积率</v>
      </c>
      <c r="R11" s="701" t="s">
        <v>14</v>
      </c>
      <c r="S11" s="702" t="e">
        <f t="shared" si="0"/>
        <v>#N/A</v>
      </c>
      <c r="T11" s="701" t="s">
        <v>14</v>
      </c>
      <c r="U11" s="702" t="e">
        <f t="shared" si="1"/>
        <v>#N/A</v>
      </c>
      <c r="V11" s="701" t="s">
        <v>14</v>
      </c>
      <c r="W11" s="702" t="e">
        <f t="shared" si="2"/>
        <v>#N/A</v>
      </c>
      <c r="X11" s="703"/>
      <c r="Y11" s="367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9"/>
      <c r="Q12" s="1342">
        <f t="shared" si="6"/>
        <v>111</v>
      </c>
      <c r="R12" s="701" t="s">
        <v>14</v>
      </c>
      <c r="S12" s="702">
        <f t="shared" si="0"/>
        <v>100</v>
      </c>
      <c r="T12" s="701" t="s">
        <v>14</v>
      </c>
      <c r="U12" s="702">
        <f t="shared" si="1"/>
        <v>100</v>
      </c>
      <c r="V12" s="701" t="s">
        <v>14</v>
      </c>
      <c r="W12" s="702">
        <f t="shared" si="2"/>
        <v>100</v>
      </c>
      <c r="X12" s="703"/>
      <c r="Y12" s="367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9"/>
      <c r="Q13" s="1342">
        <f t="shared" si="6"/>
        <v>111</v>
      </c>
      <c r="R13" s="701" t="s">
        <v>14</v>
      </c>
      <c r="S13" s="702">
        <f t="shared" si="0"/>
        <v>100</v>
      </c>
      <c r="T13" s="701" t="s">
        <v>14</v>
      </c>
      <c r="U13" s="702">
        <f t="shared" si="1"/>
        <v>100</v>
      </c>
      <c r="V13" s="701" t="s">
        <v>14</v>
      </c>
      <c r="W13" s="702">
        <f t="shared" si="2"/>
        <v>100</v>
      </c>
      <c r="X13" s="703"/>
      <c r="Y13" s="367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9"/>
      <c r="Q14" s="1342">
        <f t="shared" si="6"/>
        <v>111</v>
      </c>
      <c r="R14" s="701" t="s">
        <v>14</v>
      </c>
      <c r="S14" s="702">
        <f t="shared" si="0"/>
        <v>100</v>
      </c>
      <c r="T14" s="701" t="s">
        <v>14</v>
      </c>
      <c r="U14" s="702">
        <f t="shared" si="1"/>
        <v>100</v>
      </c>
      <c r="V14" s="701" t="s">
        <v>14</v>
      </c>
      <c r="W14" s="702">
        <f t="shared" si="2"/>
        <v>100</v>
      </c>
      <c r="X14" s="703"/>
      <c r="Y14" s="3675"/>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4" t="s">
        <v>1691</v>
      </c>
      <c r="Q15" s="1351" t="str">
        <f t="shared" si="6"/>
        <v>产业集聚程度</v>
      </c>
      <c r="R15" s="705" t="s">
        <v>14</v>
      </c>
      <c r="S15" s="706">
        <f t="shared" si="0"/>
        <v>100</v>
      </c>
      <c r="T15" s="705" t="s">
        <v>14</v>
      </c>
      <c r="U15" s="706">
        <f t="shared" si="1"/>
        <v>100</v>
      </c>
      <c r="V15" s="705" t="s">
        <v>14</v>
      </c>
      <c r="W15" s="706">
        <f t="shared" si="2"/>
        <v>100</v>
      </c>
      <c r="X15" s="1354"/>
      <c r="Y15" s="3734"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35"/>
      <c r="Q16" s="1351"/>
      <c r="R16" s="705"/>
      <c r="S16" s="706"/>
      <c r="T16" s="705"/>
      <c r="U16" s="706"/>
      <c r="V16" s="705"/>
      <c r="W16" s="706"/>
      <c r="X16" s="1354"/>
      <c r="Y16" s="3735"/>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5"/>
      <c r="Q17" s="1351" t="str">
        <f>B17</f>
        <v>交通便捷度</v>
      </c>
      <c r="R17" s="705" t="s">
        <v>14</v>
      </c>
      <c r="S17" s="706">
        <f>F17</f>
        <v>100</v>
      </c>
      <c r="T17" s="705" t="s">
        <v>14</v>
      </c>
      <c r="U17" s="706">
        <f>H17</f>
        <v>100</v>
      </c>
      <c r="V17" s="705" t="s">
        <v>14</v>
      </c>
      <c r="W17" s="706">
        <f>J17</f>
        <v>100</v>
      </c>
      <c r="X17" s="1354"/>
      <c r="Y17" s="3735"/>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35"/>
      <c r="Q18" s="1351"/>
      <c r="R18" s="705"/>
      <c r="S18" s="706"/>
      <c r="T18" s="705"/>
      <c r="U18" s="706"/>
      <c r="V18" s="705"/>
      <c r="W18" s="706"/>
      <c r="X18" s="1354"/>
      <c r="Y18" s="3735"/>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5"/>
      <c r="Q19" s="1351" t="str">
        <f t="shared" ref="Q19:Q33" si="8">B19</f>
        <v>区域土地利用方向</v>
      </c>
      <c r="R19" s="705" t="s">
        <v>14</v>
      </c>
      <c r="S19" s="706">
        <f>F19</f>
        <v>100</v>
      </c>
      <c r="T19" s="705" t="s">
        <v>14</v>
      </c>
      <c r="U19" s="706">
        <f>H19</f>
        <v>100</v>
      </c>
      <c r="V19" s="705" t="s">
        <v>14</v>
      </c>
      <c r="W19" s="706">
        <f>J19</f>
        <v>100</v>
      </c>
      <c r="X19" s="1354"/>
      <c r="Y19" s="3735"/>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35"/>
      <c r="Q20" s="1351"/>
      <c r="R20" s="705"/>
      <c r="S20" s="706"/>
      <c r="T20" s="705"/>
      <c r="U20" s="706"/>
      <c r="V20" s="705"/>
      <c r="W20" s="706"/>
      <c r="X20" s="1354"/>
      <c r="Y20" s="3735"/>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5"/>
      <c r="Q21" s="1351" t="str">
        <f t="shared" si="8"/>
        <v>环境状况</v>
      </c>
      <c r="R21" s="705" t="s">
        <v>14</v>
      </c>
      <c r="S21" s="706">
        <f>F21</f>
        <v>100</v>
      </c>
      <c r="T21" s="705" t="s">
        <v>14</v>
      </c>
      <c r="U21" s="706">
        <f>H21</f>
        <v>100</v>
      </c>
      <c r="V21" s="705" t="s">
        <v>14</v>
      </c>
      <c r="W21" s="706">
        <f>J21</f>
        <v>100</v>
      </c>
      <c r="X21" s="1354"/>
      <c r="Y21" s="3735"/>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35"/>
      <c r="Q22" s="1351"/>
      <c r="R22" s="705"/>
      <c r="S22" s="706"/>
      <c r="T22" s="705"/>
      <c r="U22" s="706"/>
      <c r="V22" s="705"/>
      <c r="W22" s="706"/>
      <c r="X22" s="1354"/>
      <c r="Y22" s="3735"/>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5"/>
      <c r="Q23" s="1342" t="str">
        <f t="shared" si="8"/>
        <v>公共配套设施</v>
      </c>
      <c r="R23" s="701" t="s">
        <v>14</v>
      </c>
      <c r="S23" s="702">
        <f>F23</f>
        <v>100</v>
      </c>
      <c r="T23" s="701" t="s">
        <v>14</v>
      </c>
      <c r="U23" s="702">
        <f>H23</f>
        <v>100</v>
      </c>
      <c r="V23" s="701" t="s">
        <v>14</v>
      </c>
      <c r="W23" s="702">
        <f>J23</f>
        <v>100</v>
      </c>
      <c r="X23" s="703"/>
      <c r="Y23" s="3735"/>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35"/>
      <c r="Q24" s="1342"/>
      <c r="R24" s="701"/>
      <c r="S24" s="702"/>
      <c r="T24" s="701"/>
      <c r="U24" s="702"/>
      <c r="V24" s="701"/>
      <c r="W24" s="702"/>
      <c r="X24" s="703"/>
      <c r="Y24" s="3735"/>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5"/>
      <c r="Q25" s="1342" t="str">
        <f t="shared" ref="Q25" si="9">B25</f>
        <v>基础设施水平</v>
      </c>
      <c r="R25" s="701" t="s">
        <v>14</v>
      </c>
      <c r="S25" s="702">
        <f>F25</f>
        <v>100</v>
      </c>
      <c r="T25" s="701" t="s">
        <v>14</v>
      </c>
      <c r="U25" s="702">
        <f>H25</f>
        <v>100</v>
      </c>
      <c r="V25" s="701" t="s">
        <v>14</v>
      </c>
      <c r="W25" s="702">
        <f>J25</f>
        <v>100</v>
      </c>
      <c r="X25" s="703"/>
      <c r="Y25" s="3735"/>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35"/>
      <c r="Q26" s="1342"/>
      <c r="R26" s="701"/>
      <c r="S26" s="702"/>
      <c r="T26" s="701"/>
      <c r="U26" s="702"/>
      <c r="V26" s="701"/>
      <c r="W26" s="702"/>
      <c r="X26" s="703"/>
      <c r="Y26" s="373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5"/>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5"/>
      <c r="Q28" s="1351" t="str">
        <f t="shared" si="8"/>
        <v>毗邻道路的类型与等级</v>
      </c>
      <c r="R28" s="705" t="s">
        <v>14</v>
      </c>
      <c r="S28" s="706">
        <f t="shared" si="10"/>
        <v>100</v>
      </c>
      <c r="T28" s="705" t="s">
        <v>14</v>
      </c>
      <c r="U28" s="706">
        <f t="shared" si="11"/>
        <v>100</v>
      </c>
      <c r="V28" s="705" t="s">
        <v>14</v>
      </c>
      <c r="W28" s="706">
        <f t="shared" si="12"/>
        <v>100</v>
      </c>
      <c r="X28" s="1354"/>
      <c r="Y28" s="3735"/>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35"/>
      <c r="Q29" s="1351"/>
      <c r="R29" s="705"/>
      <c r="S29" s="706"/>
      <c r="T29" s="705"/>
      <c r="U29" s="706"/>
      <c r="V29" s="705"/>
      <c r="W29" s="706"/>
      <c r="X29" s="1354"/>
      <c r="Y29" s="373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5"/>
      <c r="Q30" s="1351" t="str">
        <f t="shared" si="8"/>
        <v>土地级别</v>
      </c>
      <c r="R30" s="705" t="s">
        <v>14</v>
      </c>
      <c r="S30" s="706">
        <f t="shared" si="10"/>
        <v>100</v>
      </c>
      <c r="T30" s="705" t="s">
        <v>14</v>
      </c>
      <c r="U30" s="706">
        <f t="shared" si="11"/>
        <v>100</v>
      </c>
      <c r="V30" s="705" t="s">
        <v>14</v>
      </c>
      <c r="W30" s="706">
        <f t="shared" si="12"/>
        <v>100</v>
      </c>
      <c r="X30" s="1354"/>
      <c r="Y30" s="3735"/>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5"/>
      <c r="Q31" s="1351">
        <f t="shared" si="8"/>
        <v>111</v>
      </c>
      <c r="R31" s="705" t="s">
        <v>14</v>
      </c>
      <c r="S31" s="706">
        <f t="shared" si="10"/>
        <v>100</v>
      </c>
      <c r="T31" s="705" t="s">
        <v>14</v>
      </c>
      <c r="U31" s="706">
        <f t="shared" si="11"/>
        <v>100</v>
      </c>
      <c r="V31" s="705" t="s">
        <v>14</v>
      </c>
      <c r="W31" s="706">
        <f t="shared" si="12"/>
        <v>100</v>
      </c>
      <c r="X31" s="1354"/>
      <c r="Y31" s="3735"/>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6" t="s">
        <v>1696</v>
      </c>
      <c r="Q32" s="1351">
        <f t="shared" si="8"/>
        <v>111</v>
      </c>
      <c r="R32" s="705" t="s">
        <v>14</v>
      </c>
      <c r="S32" s="706">
        <f t="shared" si="10"/>
        <v>100</v>
      </c>
      <c r="T32" s="705" t="s">
        <v>14</v>
      </c>
      <c r="U32" s="706">
        <f t="shared" si="11"/>
        <v>100</v>
      </c>
      <c r="V32" s="705" t="s">
        <v>14</v>
      </c>
      <c r="W32" s="706">
        <f t="shared" si="12"/>
        <v>100</v>
      </c>
      <c r="X32" s="1354"/>
      <c r="Y32" s="3737"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7"/>
      <c r="Q33" s="1351">
        <f t="shared" si="8"/>
        <v>111</v>
      </c>
      <c r="R33" s="708" t="s">
        <v>14</v>
      </c>
      <c r="S33" s="709">
        <f t="shared" si="10"/>
        <v>100</v>
      </c>
      <c r="T33" s="708" t="s">
        <v>14</v>
      </c>
      <c r="U33" s="709">
        <f t="shared" si="11"/>
        <v>100</v>
      </c>
      <c r="V33" s="708" t="s">
        <v>14</v>
      </c>
      <c r="W33" s="709">
        <f t="shared" si="12"/>
        <v>100</v>
      </c>
      <c r="X33" s="710"/>
      <c r="Y33" s="373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7"/>
      <c r="Q34" s="1351" t="str">
        <f>B34</f>
        <v>宗地面积</v>
      </c>
      <c r="R34" s="705" t="s">
        <v>14</v>
      </c>
      <c r="S34" s="706" t="e">
        <f t="shared" si="10"/>
        <v>#N/A</v>
      </c>
      <c r="T34" s="705" t="s">
        <v>14</v>
      </c>
      <c r="U34" s="706" t="e">
        <f t="shared" si="11"/>
        <v>#N/A</v>
      </c>
      <c r="V34" s="705" t="s">
        <v>14</v>
      </c>
      <c r="W34" s="706" t="e">
        <f t="shared" si="12"/>
        <v>#N/A</v>
      </c>
      <c r="X34" s="1354"/>
      <c r="Y34" s="373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37"/>
      <c r="Q35" s="1351" t="str">
        <f t="shared" ref="Q35:Q40" si="14">B35</f>
        <v>宗地形状</v>
      </c>
      <c r="R35" s="705" t="s">
        <v>14</v>
      </c>
      <c r="S35" s="706">
        <f t="shared" si="10"/>
        <v>100</v>
      </c>
      <c r="T35" s="705" t="s">
        <v>14</v>
      </c>
      <c r="U35" s="706">
        <f t="shared" si="11"/>
        <v>100</v>
      </c>
      <c r="V35" s="705" t="s">
        <v>14</v>
      </c>
      <c r="W35" s="706">
        <f t="shared" si="12"/>
        <v>100</v>
      </c>
      <c r="X35" s="1354"/>
      <c r="Y35" s="3737"/>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7"/>
      <c r="Q36" s="1351"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37" t="s">
        <v>1696</v>
      </c>
      <c r="Q37" s="1351" t="str">
        <f t="shared" si="14"/>
        <v>工程地质条件</v>
      </c>
      <c r="R37" s="705" t="s">
        <v>14</v>
      </c>
      <c r="S37" s="706">
        <f t="shared" si="10"/>
        <v>100</v>
      </c>
      <c r="T37" s="705" t="s">
        <v>14</v>
      </c>
      <c r="U37" s="706">
        <f t="shared" si="11"/>
        <v>100</v>
      </c>
      <c r="V37" s="705" t="s">
        <v>14</v>
      </c>
      <c r="W37" s="706">
        <f t="shared" si="12"/>
        <v>100</v>
      </c>
      <c r="X37" s="1354"/>
      <c r="Y37" s="373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7"/>
      <c r="Q38" s="1351">
        <f t="shared" si="14"/>
        <v>111</v>
      </c>
      <c r="R38" s="705" t="s">
        <v>14</v>
      </c>
      <c r="S38" s="706">
        <f t="shared" si="10"/>
        <v>100</v>
      </c>
      <c r="T38" s="705" t="s">
        <v>14</v>
      </c>
      <c r="U38" s="706">
        <f t="shared" si="11"/>
        <v>100</v>
      </c>
      <c r="V38" s="705" t="s">
        <v>14</v>
      </c>
      <c r="W38" s="706">
        <f t="shared" si="12"/>
        <v>100</v>
      </c>
      <c r="X38" s="1354"/>
      <c r="Y38" s="373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7"/>
      <c r="Q39" s="1351">
        <f t="shared" si="14"/>
        <v>111</v>
      </c>
      <c r="R39" s="705" t="s">
        <v>14</v>
      </c>
      <c r="S39" s="706">
        <f t="shared" si="10"/>
        <v>100</v>
      </c>
      <c r="T39" s="705" t="s">
        <v>14</v>
      </c>
      <c r="U39" s="706">
        <f t="shared" si="11"/>
        <v>100</v>
      </c>
      <c r="V39" s="705" t="s">
        <v>14</v>
      </c>
      <c r="W39" s="706">
        <f t="shared" si="12"/>
        <v>100</v>
      </c>
      <c r="X39" s="1354"/>
      <c r="Y39" s="3737"/>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7"/>
      <c r="Q40" s="1351">
        <f t="shared" si="14"/>
        <v>111</v>
      </c>
      <c r="R40" s="708" t="s">
        <v>14</v>
      </c>
      <c r="S40" s="709">
        <f t="shared" si="10"/>
        <v>100</v>
      </c>
      <c r="T40" s="708" t="s">
        <v>14</v>
      </c>
      <c r="U40" s="709">
        <f t="shared" si="11"/>
        <v>100</v>
      </c>
      <c r="V40" s="708" t="s">
        <v>14</v>
      </c>
      <c r="W40" s="709">
        <f t="shared" si="12"/>
        <v>100</v>
      </c>
      <c r="X40" s="710"/>
      <c r="Y40" s="3737"/>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19" t="str">
        <f>A41</f>
        <v>成交单价</v>
      </c>
      <c r="Q41" s="3719"/>
      <c r="R41" s="3732">
        <f>E41</f>
        <v>0</v>
      </c>
      <c r="S41" s="3732"/>
      <c r="T41" s="3732">
        <f>G41</f>
        <v>0</v>
      </c>
      <c r="U41" s="3732"/>
      <c r="V41" s="3732">
        <f>I41</f>
        <v>0</v>
      </c>
      <c r="W41" s="373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9" t="str">
        <f>A42</f>
        <v>比较价值（元/平方米）</v>
      </c>
      <c r="Q42" s="3719"/>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9" t="str">
        <f>A43</f>
        <v>估价对象XX用房的比较价值（楼面单价，元/平方米）</v>
      </c>
      <c r="Q43" s="3740"/>
      <c r="R43" s="3741" t="e">
        <f>ROUND(IF(D42="简单平均",AVERAGE(R42:W42),R42*F42+T42*H42+V42*J42),0)</f>
        <v>#DIV/0!</v>
      </c>
      <c r="S43" s="3741"/>
      <c r="T43" s="3741"/>
      <c r="U43" s="3741"/>
      <c r="V43" s="3741"/>
      <c r="W43" s="3741"/>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0" t="s">
        <v>1887</v>
      </c>
      <c r="H50" s="3742"/>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42310.899999999994</v>
      </c>
      <c r="F51" s="639" t="e">
        <f t="shared" ref="F51:F60" si="15">ROUND(B51*E51/10000,0)</f>
        <v>#DIV/0!</v>
      </c>
      <c r="G51" s="3743"/>
      <c r="H51" s="371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6138.5999999999922</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21458.77999999997</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22768.44</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1" t="s">
        <v>2084</v>
      </c>
      <c r="D1" s="3802"/>
      <c r="E1" s="3802"/>
      <c r="F1" s="3802"/>
      <c r="G1" s="3802"/>
      <c r="H1" s="3802"/>
      <c r="I1" s="3802"/>
      <c r="J1" s="3802"/>
      <c r="K1" s="3802"/>
      <c r="L1" s="3802"/>
      <c r="M1" s="3802"/>
      <c r="N1" s="3802"/>
      <c r="O1" s="3802"/>
      <c r="P1" s="3802"/>
      <c r="Q1" s="3802"/>
      <c r="R1" s="3802"/>
      <c r="S1" s="380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8" t="s">
        <v>27</v>
      </c>
      <c r="D22" s="3799"/>
      <c r="E22" s="3799"/>
      <c r="F22" s="3799"/>
      <c r="G22" s="3799"/>
      <c r="H22" s="3799"/>
      <c r="I22" s="3799"/>
      <c r="J22" s="3799"/>
      <c r="K22" s="3799"/>
      <c r="L22" s="3799"/>
      <c r="M22" s="3799"/>
      <c r="N22" s="3799"/>
      <c r="O22" s="3799"/>
      <c r="P22" s="3799"/>
      <c r="Q22" s="380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spans="1:5" ht="18">
      <c r="A3" s="3517" t="str">
        <f>IF(项目基本情况!B9="房地产市场价值","估价结果一览表（市场价值不需“结果表-1”）","估价结果一览表")</f>
        <v>估价结果一览表</v>
      </c>
      <c r="B3" s="3517"/>
      <c r="C3" s="3517"/>
      <c r="D3" s="3517"/>
      <c r="E3" s="3517"/>
    </row>
    <row r="4" spans="1:5" ht="19.5" thickBot="1">
      <c r="A4" s="1492"/>
      <c r="B4" s="3515" t="s">
        <v>917</v>
      </c>
      <c r="C4" s="3515"/>
      <c r="D4" s="3515"/>
      <c r="E4" s="1492"/>
    </row>
    <row r="5" spans="1:5" ht="16.5" thickTop="1">
      <c r="A5" s="1490"/>
      <c r="B5" s="3513" t="s">
        <v>909</v>
      </c>
      <c r="C5" s="1493" t="s">
        <v>910</v>
      </c>
      <c r="D5" s="850">
        <f ca="1">结果表!H101</f>
        <v>118239</v>
      </c>
      <c r="E5" s="1490"/>
    </row>
    <row r="6" spans="1:5" ht="15.75">
      <c r="A6" s="1490"/>
      <c r="B6" s="3513"/>
      <c r="C6" s="1493" t="s">
        <v>911</v>
      </c>
      <c r="D6" s="850" t="str">
        <f ca="1">NUMBERSTRING(INT(D5*10000),2)&amp;"元整"</f>
        <v>壹拾壹亿捌仟贰佰叁拾玖万元整</v>
      </c>
      <c r="E6" s="1490"/>
    </row>
    <row r="7" spans="1:5" ht="15.75">
      <c r="A7" s="1490"/>
      <c r="B7" s="3518"/>
      <c r="C7" s="1494" t="s">
        <v>912</v>
      </c>
      <c r="D7" s="851">
        <f ca="1">结果表!H102</f>
        <v>16913</v>
      </c>
      <c r="E7" s="1490"/>
    </row>
    <row r="8" spans="1:5" ht="15.75">
      <c r="A8" s="1490"/>
      <c r="B8" s="3519" t="str">
        <f>结果表!E103</f>
        <v>2.估价师知悉的法定优先受偿款</v>
      </c>
      <c r="C8" s="1495" t="s">
        <v>913</v>
      </c>
      <c r="D8" s="851">
        <f>结果表!H103</f>
        <v>0</v>
      </c>
      <c r="E8" s="1490"/>
    </row>
    <row r="9" spans="1:5" ht="15.75">
      <c r="A9" s="1490"/>
      <c r="B9" s="352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12" t="str">
        <f>结果表!E107</f>
        <v>3.房地产抵押价值</v>
      </c>
      <c r="C13" s="1498" t="s">
        <v>910</v>
      </c>
      <c r="D13" s="853">
        <f ca="1">结果表!H107</f>
        <v>118239</v>
      </c>
      <c r="E13" s="1490"/>
    </row>
    <row r="14" spans="1:5" ht="15.75">
      <c r="A14" s="1490"/>
      <c r="B14" s="3513"/>
      <c r="C14" s="1493" t="s">
        <v>911</v>
      </c>
      <c r="D14" s="850" t="str">
        <f ca="1">NUMBERSTRING(INT(D13*10000),2)&amp;"元整"</f>
        <v>壹拾壹亿捌仟贰佰叁拾玖万元整</v>
      </c>
      <c r="E14" s="1490"/>
    </row>
    <row r="15" spans="1:5" ht="15">
      <c r="A15" s="1490"/>
      <c r="B15" s="3518"/>
      <c r="C15" s="1494" t="s">
        <v>921</v>
      </c>
      <c r="D15" s="859">
        <f ca="1">结果表!H108</f>
        <v>16913</v>
      </c>
      <c r="E15" s="1490"/>
    </row>
    <row r="16" spans="1:5" ht="15">
      <c r="A16" s="1490"/>
      <c r="B16" s="3519" t="str">
        <f>结果表!E109</f>
        <v>——</v>
      </c>
      <c r="C16" s="1498" t="s">
        <v>922</v>
      </c>
      <c r="D16" s="1499" t="str">
        <f>结果表!H109</f>
        <v>——</v>
      </c>
      <c r="E16" s="1490"/>
    </row>
    <row r="17" spans="1:5" ht="15.75">
      <c r="A17" s="1490"/>
      <c r="B17" s="3520"/>
      <c r="C17" s="1493" t="s">
        <v>923</v>
      </c>
      <c r="D17" s="850" t="e">
        <f>NUMBERSTRING(INT(D16*10000),2)&amp;"元整"</f>
        <v>#VALUE!</v>
      </c>
      <c r="E17" s="1490"/>
    </row>
    <row r="18" spans="1:5" ht="15">
      <c r="A18" s="1490"/>
      <c r="B18" s="3521"/>
      <c r="C18" s="1494" t="s">
        <v>912</v>
      </c>
      <c r="D18" s="859" t="str">
        <f>结果表!H110</f>
        <v>——</v>
      </c>
      <c r="E18" s="1490"/>
    </row>
    <row r="19" spans="1:5" ht="15.75">
      <c r="A19" s="1490"/>
      <c r="B19" s="3512" t="str">
        <f>结果表!E111</f>
        <v>4.抵押净值</v>
      </c>
      <c r="C19" s="1498" t="s">
        <v>910</v>
      </c>
      <c r="D19" s="851">
        <f ca="1">结果表!H111</f>
        <v>111987</v>
      </c>
      <c r="E19" s="1490"/>
    </row>
    <row r="20" spans="1:5" ht="15.75">
      <c r="A20" s="1490"/>
      <c r="B20" s="3513"/>
      <c r="C20" s="1493" t="s">
        <v>923</v>
      </c>
      <c r="D20" s="850" t="str">
        <f ca="1">NUMBERSTRING(INT(D19*10000),2)&amp;"元整"</f>
        <v>壹拾壹亿壹仟玖佰捌拾柒万元整</v>
      </c>
      <c r="E20" s="1490"/>
    </row>
    <row r="21" spans="1:5" ht="15.75" thickBot="1">
      <c r="A21" s="1490"/>
      <c r="B21" s="3514"/>
      <c r="C21" s="1500" t="s">
        <v>921</v>
      </c>
      <c r="D21" s="860">
        <f ca="1">结果表!H112</f>
        <v>16019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811"/>
      <c r="B4" s="3812"/>
      <c r="C4" s="3812"/>
      <c r="D4" s="3813"/>
      <c r="E4" s="3813"/>
      <c r="F4" s="3813"/>
      <c r="G4" s="3813"/>
      <c r="H4" s="3813"/>
      <c r="I4" s="3813"/>
      <c r="J4" s="3814"/>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808" t="s">
        <v>1960</v>
      </c>
      <c r="X8" s="380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810"/>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81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3249</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t="e">
        <f>ROUND(G18/I18,2)</f>
        <v>#DIV/0!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815" t="s">
        <v>3259</v>
      </c>
      <c r="B20" s="167" t="s">
        <v>1994</v>
      </c>
      <c r="C20" s="3321" t="e">
        <f>ROUND(IF(F21="与级别开发程度一致",0,(G21-E21)/C21),0)</f>
        <v>#DIV/0!</v>
      </c>
      <c r="D20" s="3337" t="s">
        <v>1998</v>
      </c>
      <c r="E20" s="3338"/>
      <c r="F20" s="3821" t="s">
        <v>1995</v>
      </c>
      <c r="G20" s="3822"/>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5" thickBot="1">
      <c r="A21" s="3816"/>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45063</v>
      </c>
      <c r="H23" s="3339" t="s">
        <v>3261</v>
      </c>
      <c r="I23" s="3340" t="str">
        <f>IF(H23="季度增幅（自定义）",SUMIF(N25:N28,E2,O25:O28),"")</f>
        <v/>
      </c>
      <c r="J23" s="3442" t="s">
        <v>3260</v>
      </c>
      <c r="K23" s="1125"/>
      <c r="L23" s="2051" t="s">
        <v>2004</v>
      </c>
      <c r="M23" s="1327">
        <f>ROUND(SUMIF(地价!B2:G2,E2,地价!B16:G16),0)</f>
        <v>0</v>
      </c>
      <c r="N23" s="2052"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19"/>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20"/>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20"/>
      <c r="B39" s="2037" t="s">
        <v>3264</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7" t="s">
        <v>3299</v>
      </c>
      <c r="B103" s="3817"/>
      <c r="C103" s="3817"/>
      <c r="D103" s="3817"/>
      <c r="E103" s="3817"/>
      <c r="F103" s="3817"/>
      <c r="G103" s="3817"/>
      <c r="H103" s="3817"/>
      <c r="I103" s="3817"/>
      <c r="J103" s="3817"/>
      <c r="K103" s="3386"/>
      <c r="L103" s="3386"/>
      <c r="M103" s="3386"/>
      <c r="N103" s="3386"/>
    </row>
    <row r="104" spans="1:14">
      <c r="A104" s="3818" t="s">
        <v>3300</v>
      </c>
      <c r="B104" s="3818" t="s">
        <v>3301</v>
      </c>
      <c r="C104" s="3387" t="s">
        <v>3302</v>
      </c>
      <c r="D104" s="3388"/>
      <c r="E104" s="3388"/>
      <c r="F104" s="3388"/>
      <c r="G104" s="3388"/>
      <c r="H104" s="3388"/>
      <c r="I104" s="3388"/>
      <c r="J104" s="3389"/>
      <c r="K104" s="3390"/>
      <c r="L104" s="3390"/>
      <c r="M104" s="3390"/>
      <c r="N104" s="3390"/>
    </row>
    <row r="105" spans="1:14">
      <c r="A105" s="3818"/>
      <c r="B105" s="3818"/>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804"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5"/>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7" t="s">
        <v>3316</v>
      </c>
      <c r="B113" s="3807"/>
      <c r="C113" s="3807"/>
      <c r="D113" s="3807"/>
      <c r="E113" s="3807"/>
      <c r="F113" s="3807"/>
      <c r="G113" s="3807"/>
      <c r="H113" s="3807"/>
      <c r="I113" s="3807"/>
      <c r="J113" s="380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0</v>
      </c>
      <c r="C116" s="3396" t="s">
        <v>3318</v>
      </c>
      <c r="D116" s="3397">
        <f>SUMPRODUCT((A118:A122=F116)*(B117:M117=H116)*B118:M122)</f>
        <v>0</v>
      </c>
      <c r="E116" s="1996" t="s">
        <v>3319</v>
      </c>
      <c r="F116" s="3398">
        <f>E2</f>
        <v>0</v>
      </c>
      <c r="G116" s="1996" t="s">
        <v>3320</v>
      </c>
      <c r="H116" s="3398">
        <f>G2</f>
        <v>0</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3334</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3335</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3336</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2615</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7" zoomScale="70" zoomScaleNormal="70" workbookViewId="0">
      <selection activeCell="G63" sqref="G63"/>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30" t="s">
        <v>2610</v>
      </c>
      <c r="B20" s="3823" t="s">
        <v>2631</v>
      </c>
      <c r="C20" s="3099" t="s">
        <v>2442</v>
      </c>
      <c r="D20" s="3100"/>
      <c r="E20" s="3101">
        <v>1</v>
      </c>
      <c r="F20" s="3102" t="s">
        <v>2443</v>
      </c>
      <c r="G20" s="3102"/>
    </row>
    <row r="21" spans="1:13" ht="19.5" customHeight="1">
      <c r="A21" s="3831"/>
      <c r="B21" s="3824"/>
      <c r="C21" s="3103" t="s">
        <v>2444</v>
      </c>
      <c r="D21" s="3104"/>
      <c r="E21" s="3105">
        <v>1</v>
      </c>
      <c r="F21" s="3102" t="s">
        <v>2445</v>
      </c>
      <c r="G21" s="3102"/>
    </row>
    <row r="22" spans="1:13" ht="19.5" customHeight="1">
      <c r="A22" s="3831"/>
      <c r="B22" s="3824"/>
      <c r="C22" s="3103" t="s">
        <v>2446</v>
      </c>
      <c r="D22" s="3104"/>
      <c r="E22" s="3105">
        <v>0.9</v>
      </c>
      <c r="F22" s="3102" t="s">
        <v>2447</v>
      </c>
      <c r="G22" s="3102"/>
    </row>
    <row r="23" spans="1:13" ht="19.5" customHeight="1">
      <c r="A23" s="3831"/>
      <c r="B23" s="3824"/>
      <c r="C23" s="3103" t="s">
        <v>2448</v>
      </c>
      <c r="D23" s="3104"/>
      <c r="E23" s="3105">
        <v>0.9</v>
      </c>
      <c r="F23" s="3102" t="s">
        <v>2449</v>
      </c>
      <c r="G23" s="3102"/>
    </row>
    <row r="24" spans="1:13" ht="19.5" customHeight="1">
      <c r="A24" s="3831"/>
      <c r="B24" s="3824"/>
      <c r="C24" s="3103" t="s">
        <v>2450</v>
      </c>
      <c r="D24" s="3104"/>
      <c r="E24" s="3105">
        <v>0.8</v>
      </c>
      <c r="F24" s="3102" t="s">
        <v>2451</v>
      </c>
      <c r="G24" s="3102"/>
    </row>
    <row r="25" spans="1:13" ht="19.5" customHeight="1" thickBot="1">
      <c r="A25" s="3832"/>
      <c r="B25" s="3825"/>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26" t="s">
        <v>2634</v>
      </c>
      <c r="B27" s="3823" t="s">
        <v>2615</v>
      </c>
      <c r="C27" s="3099" t="s">
        <v>2455</v>
      </c>
      <c r="D27" s="3100"/>
      <c r="E27" s="3101">
        <v>1</v>
      </c>
      <c r="F27" s="3102" t="s">
        <v>2456</v>
      </c>
      <c r="G27" s="3102"/>
    </row>
    <row r="28" spans="1:13" ht="19.5" customHeight="1">
      <c r="A28" s="3827"/>
      <c r="B28" s="3824"/>
      <c r="C28" s="3103" t="s">
        <v>2457</v>
      </c>
      <c r="D28" s="3104"/>
      <c r="E28" s="3105">
        <v>1</v>
      </c>
      <c r="F28" s="3102" t="s">
        <v>2458</v>
      </c>
      <c r="G28" s="3102"/>
    </row>
    <row r="29" spans="1:13" ht="19.5" customHeight="1">
      <c r="A29" s="3827"/>
      <c r="B29" s="3824"/>
      <c r="C29" s="3103" t="s">
        <v>2459</v>
      </c>
      <c r="D29" s="3104"/>
      <c r="E29" s="3105">
        <v>0.8</v>
      </c>
      <c r="F29" s="3102" t="s">
        <v>2460</v>
      </c>
      <c r="G29" s="3102"/>
    </row>
    <row r="30" spans="1:13" ht="19.5" customHeight="1">
      <c r="A30" s="3827"/>
      <c r="B30" s="3824"/>
      <c r="C30" s="3103" t="s">
        <v>2461</v>
      </c>
      <c r="D30" s="3104"/>
      <c r="E30" s="3105">
        <v>0.8</v>
      </c>
      <c r="F30" s="3102" t="s">
        <v>2462</v>
      </c>
      <c r="G30" s="3102"/>
    </row>
    <row r="31" spans="1:13" ht="19.5" customHeight="1">
      <c r="A31" s="3827"/>
      <c r="B31" s="3824"/>
      <c r="C31" s="3103" t="s">
        <v>2463</v>
      </c>
      <c r="D31" s="3104"/>
      <c r="E31" s="3105">
        <v>0.8</v>
      </c>
      <c r="F31" s="3102" t="s">
        <v>2464</v>
      </c>
      <c r="G31" s="3102"/>
    </row>
    <row r="32" spans="1:13" ht="19.5" customHeight="1">
      <c r="A32" s="3827"/>
      <c r="B32" s="3824"/>
      <c r="C32" s="3103" t="s">
        <v>2465</v>
      </c>
      <c r="D32" s="3104"/>
      <c r="E32" s="3105">
        <v>0.7</v>
      </c>
      <c r="F32" s="3102" t="s">
        <v>2466</v>
      </c>
      <c r="G32" s="3102"/>
    </row>
    <row r="33" spans="1:7" ht="19.5" customHeight="1">
      <c r="A33" s="3827"/>
      <c r="B33" s="3824"/>
      <c r="C33" s="3103" t="s">
        <v>2467</v>
      </c>
      <c r="D33" s="3104"/>
      <c r="E33" s="3105">
        <v>0.8</v>
      </c>
      <c r="F33" s="3102" t="s">
        <v>2468</v>
      </c>
      <c r="G33" s="3102"/>
    </row>
    <row r="34" spans="1:7" ht="19.5" customHeight="1">
      <c r="A34" s="3827"/>
      <c r="B34" s="3824"/>
      <c r="C34" s="3103" t="s">
        <v>2469</v>
      </c>
      <c r="D34" s="3104"/>
      <c r="E34" s="3105">
        <v>0.6</v>
      </c>
      <c r="F34" s="3102" t="s">
        <v>2470</v>
      </c>
      <c r="G34" s="3102"/>
    </row>
    <row r="35" spans="1:7" ht="19.5" customHeight="1">
      <c r="A35" s="3827"/>
      <c r="B35" s="3824"/>
      <c r="C35" s="3103" t="s">
        <v>2471</v>
      </c>
      <c r="D35" s="3104"/>
      <c r="E35" s="3105">
        <v>0.2</v>
      </c>
      <c r="F35" s="3102" t="s">
        <v>2472</v>
      </c>
      <c r="G35" s="3102"/>
    </row>
    <row r="36" spans="1:7" ht="19.5" customHeight="1">
      <c r="A36" s="3827"/>
      <c r="B36" s="3824"/>
      <c r="C36" s="3103" t="s">
        <v>2473</v>
      </c>
      <c r="D36" s="3104"/>
      <c r="E36" s="3105">
        <v>0.2</v>
      </c>
      <c r="F36" s="3102" t="s">
        <v>2474</v>
      </c>
      <c r="G36" s="3102"/>
    </row>
    <row r="37" spans="1:7" ht="19.5" customHeight="1">
      <c r="A37" s="3827"/>
      <c r="B37" s="3829" t="s">
        <v>2635</v>
      </c>
      <c r="C37" s="3103" t="s">
        <v>2475</v>
      </c>
      <c r="D37" s="3104"/>
      <c r="E37" s="3105">
        <v>0.6</v>
      </c>
      <c r="F37" s="3102" t="s">
        <v>2476</v>
      </c>
      <c r="G37" s="3102"/>
    </row>
    <row r="38" spans="1:7" ht="19.5" customHeight="1">
      <c r="A38" s="3827"/>
      <c r="B38" s="3824"/>
      <c r="C38" s="3103" t="s">
        <v>2477</v>
      </c>
      <c r="D38" s="3104"/>
      <c r="E38" s="3105">
        <v>0.6</v>
      </c>
      <c r="F38" s="3102" t="s">
        <v>2478</v>
      </c>
      <c r="G38" s="3102"/>
    </row>
    <row r="39" spans="1:7" ht="19.5" customHeight="1" thickBot="1">
      <c r="A39" s="3828"/>
      <c r="B39" s="3825"/>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30" t="s">
        <v>2613</v>
      </c>
      <c r="B41" s="3823" t="s">
        <v>2637</v>
      </c>
      <c r="C41" s="3099" t="s">
        <v>2482</v>
      </c>
      <c r="D41" s="3100"/>
      <c r="E41" s="3101">
        <v>1</v>
      </c>
      <c r="F41" s="3102" t="s">
        <v>2483</v>
      </c>
      <c r="G41" s="3102"/>
    </row>
    <row r="42" spans="1:7" ht="19.5" customHeight="1">
      <c r="A42" s="3831"/>
      <c r="B42" s="3824"/>
      <c r="C42" s="3103" t="s">
        <v>2484</v>
      </c>
      <c r="D42" s="3104"/>
      <c r="E42" s="3105">
        <v>1</v>
      </c>
      <c r="F42" s="3102" t="s">
        <v>2485</v>
      </c>
      <c r="G42" s="3102"/>
    </row>
    <row r="43" spans="1:7" ht="19.5" customHeight="1">
      <c r="A43" s="3831"/>
      <c r="B43" s="3833"/>
      <c r="C43" s="3103" t="s">
        <v>2486</v>
      </c>
      <c r="D43" s="3104"/>
      <c r="E43" s="3105">
        <v>1.5</v>
      </c>
      <c r="F43" s="3102" t="s">
        <v>2487</v>
      </c>
      <c r="G43" s="3102"/>
    </row>
    <row r="44" spans="1:7" ht="19.5" customHeight="1">
      <c r="A44" s="3831"/>
      <c r="B44" s="3114" t="s">
        <v>2638</v>
      </c>
      <c r="C44" s="3103" t="s">
        <v>2639</v>
      </c>
      <c r="D44" s="3104"/>
      <c r="E44" s="3105">
        <v>2</v>
      </c>
      <c r="F44" s="3102" t="s">
        <v>2488</v>
      </c>
      <c r="G44" s="3102"/>
    </row>
    <row r="45" spans="1:7" ht="19.5" customHeight="1">
      <c r="A45" s="3831"/>
      <c r="B45" s="3829" t="s">
        <v>2640</v>
      </c>
      <c r="C45" s="3103" t="s">
        <v>2489</v>
      </c>
      <c r="D45" s="3104"/>
      <c r="E45" s="3105">
        <v>1</v>
      </c>
      <c r="F45" s="3102" t="s">
        <v>2490</v>
      </c>
      <c r="G45" s="3102"/>
    </row>
    <row r="46" spans="1:7" ht="19.5" customHeight="1">
      <c r="A46" s="3831"/>
      <c r="B46" s="3824"/>
      <c r="C46" s="3103" t="s">
        <v>2491</v>
      </c>
      <c r="D46" s="3104"/>
      <c r="E46" s="3105">
        <v>1</v>
      </c>
      <c r="F46" s="3102" t="s">
        <v>2492</v>
      </c>
      <c r="G46" s="3102"/>
    </row>
    <row r="47" spans="1:7" ht="19.5" customHeight="1">
      <c r="A47" s="3831"/>
      <c r="B47" s="3824"/>
      <c r="C47" s="3103" t="s">
        <v>2493</v>
      </c>
      <c r="D47" s="3104"/>
      <c r="E47" s="3105">
        <v>1</v>
      </c>
      <c r="F47" s="3102" t="s">
        <v>2494</v>
      </c>
      <c r="G47" s="3102"/>
    </row>
    <row r="48" spans="1:7" ht="19.5" customHeight="1">
      <c r="A48" s="3831"/>
      <c r="B48" s="3824"/>
      <c r="C48" s="3103" t="s">
        <v>2495</v>
      </c>
      <c r="D48" s="3104"/>
      <c r="E48" s="3105">
        <v>1</v>
      </c>
      <c r="F48" s="3102" t="s">
        <v>2496</v>
      </c>
      <c r="G48" s="3102"/>
    </row>
    <row r="49" spans="1:7" ht="19.5" customHeight="1">
      <c r="A49" s="3831"/>
      <c r="B49" s="3824"/>
      <c r="C49" s="3103" t="s">
        <v>2497</v>
      </c>
      <c r="D49" s="3104"/>
      <c r="E49" s="3105">
        <v>1</v>
      </c>
      <c r="F49" s="3102" t="s">
        <v>2498</v>
      </c>
      <c r="G49" s="3102"/>
    </row>
    <row r="50" spans="1:7" ht="19.5" customHeight="1">
      <c r="A50" s="3831"/>
      <c r="B50" s="3824"/>
      <c r="C50" s="3103" t="s">
        <v>2499</v>
      </c>
      <c r="D50" s="3104"/>
      <c r="E50" s="3105">
        <v>1</v>
      </c>
      <c r="F50" s="3102" t="s">
        <v>2500</v>
      </c>
      <c r="G50" s="3102"/>
    </row>
    <row r="51" spans="1:7" ht="19.5" customHeight="1" thickBot="1">
      <c r="A51" s="3832"/>
      <c r="B51" s="3825"/>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29" t="s">
        <v>2654</v>
      </c>
      <c r="C73" s="3088" t="s">
        <v>2655</v>
      </c>
      <c r="D73" s="3088" t="s">
        <v>2656</v>
      </c>
      <c r="E73" s="3114">
        <v>0.2</v>
      </c>
      <c r="F73" s="3114">
        <v>25</v>
      </c>
    </row>
    <row r="74" spans="1:7" ht="24">
      <c r="A74" s="3114">
        <v>2</v>
      </c>
      <c r="B74" s="3824"/>
      <c r="C74" s="3088" t="s">
        <v>2657</v>
      </c>
      <c r="D74" s="3088" t="s">
        <v>2658</v>
      </c>
      <c r="E74" s="3114">
        <v>0.2</v>
      </c>
      <c r="F74" s="3114">
        <v>25</v>
      </c>
    </row>
    <row r="75" spans="1:7" ht="24">
      <c r="A75" s="3114">
        <v>3</v>
      </c>
      <c r="B75" s="3824"/>
      <c r="C75" s="3088" t="s">
        <v>2659</v>
      </c>
      <c r="D75" s="3088" t="s">
        <v>2660</v>
      </c>
      <c r="E75" s="3114">
        <v>0.2</v>
      </c>
      <c r="F75" s="3114">
        <v>25</v>
      </c>
    </row>
    <row r="76" spans="1:7" ht="13.5">
      <c r="A76" s="3114">
        <v>4</v>
      </c>
      <c r="B76" s="3824"/>
      <c r="C76" s="3088" t="s">
        <v>2661</v>
      </c>
      <c r="D76" s="3088" t="s">
        <v>2662</v>
      </c>
      <c r="E76" s="3114">
        <v>0.15</v>
      </c>
      <c r="F76" s="3114">
        <v>20</v>
      </c>
    </row>
    <row r="77" spans="1:7" ht="24">
      <c r="A77" s="3114">
        <v>5</v>
      </c>
      <c r="B77" s="3824"/>
      <c r="C77" s="3088" t="s">
        <v>2663</v>
      </c>
      <c r="D77" s="3088" t="s">
        <v>2664</v>
      </c>
      <c r="E77" s="3114">
        <v>0.15</v>
      </c>
      <c r="F77" s="3114">
        <v>20</v>
      </c>
    </row>
    <row r="78" spans="1:7" ht="24">
      <c r="A78" s="3114">
        <v>6</v>
      </c>
      <c r="B78" s="3824"/>
      <c r="C78" s="3088" t="s">
        <v>2665</v>
      </c>
      <c r="D78" s="3088" t="s">
        <v>2666</v>
      </c>
      <c r="E78" s="3114">
        <v>0.15</v>
      </c>
      <c r="F78" s="3114">
        <v>20</v>
      </c>
    </row>
    <row r="79" spans="1:7" ht="24">
      <c r="A79" s="3114">
        <v>7</v>
      </c>
      <c r="B79" s="3824"/>
      <c r="C79" s="3088" t="s">
        <v>2667</v>
      </c>
      <c r="D79" s="3088" t="s">
        <v>2668</v>
      </c>
      <c r="E79" s="3114">
        <v>0.15</v>
      </c>
      <c r="F79" s="3114">
        <v>20</v>
      </c>
    </row>
    <row r="80" spans="1:7" ht="24">
      <c r="A80" s="3114">
        <v>8</v>
      </c>
      <c r="B80" s="3824"/>
      <c r="C80" s="3088" t="s">
        <v>2669</v>
      </c>
      <c r="D80" s="3088" t="s">
        <v>2670</v>
      </c>
      <c r="E80" s="3114">
        <v>0.1</v>
      </c>
      <c r="F80" s="3114">
        <v>15</v>
      </c>
    </row>
    <row r="81" spans="1:6" ht="24">
      <c r="A81" s="3114">
        <v>9</v>
      </c>
      <c r="B81" s="3824"/>
      <c r="C81" s="3088" t="s">
        <v>2671</v>
      </c>
      <c r="D81" s="3088" t="s">
        <v>2672</v>
      </c>
      <c r="E81" s="3114">
        <v>0.1</v>
      </c>
      <c r="F81" s="3114">
        <v>15</v>
      </c>
    </row>
    <row r="82" spans="1:6" ht="24">
      <c r="A82" s="3114">
        <v>10</v>
      </c>
      <c r="B82" s="3824"/>
      <c r="C82" s="3088" t="s">
        <v>2673</v>
      </c>
      <c r="D82" s="3088" t="s">
        <v>2674</v>
      </c>
      <c r="E82" s="3114">
        <v>0.1</v>
      </c>
      <c r="F82" s="3114">
        <v>15</v>
      </c>
    </row>
    <row r="83" spans="1:6" ht="24">
      <c r="A83" s="3114">
        <v>11</v>
      </c>
      <c r="B83" s="3824"/>
      <c r="C83" s="3088" t="s">
        <v>2675</v>
      </c>
      <c r="D83" s="3088" t="s">
        <v>2676</v>
      </c>
      <c r="E83" s="3114">
        <v>0.1</v>
      </c>
      <c r="F83" s="3114">
        <v>15</v>
      </c>
    </row>
    <row r="84" spans="1:6" ht="24">
      <c r="A84" s="3114">
        <v>12</v>
      </c>
      <c r="B84" s="3824"/>
      <c r="C84" s="3088" t="s">
        <v>2677</v>
      </c>
      <c r="D84" s="3088" t="s">
        <v>2678</v>
      </c>
      <c r="E84" s="3114">
        <v>0.1</v>
      </c>
      <c r="F84" s="3114">
        <v>15</v>
      </c>
    </row>
    <row r="85" spans="1:6" ht="13.5">
      <c r="A85" s="3114">
        <v>13</v>
      </c>
      <c r="B85" s="3824"/>
      <c r="C85" s="3088" t="s">
        <v>2679</v>
      </c>
      <c r="D85" s="3088" t="s">
        <v>2680</v>
      </c>
      <c r="E85" s="3114">
        <v>0.1</v>
      </c>
      <c r="F85" s="3114">
        <v>15</v>
      </c>
    </row>
    <row r="86" spans="1:6" ht="13.5">
      <c r="A86" s="3114">
        <v>14</v>
      </c>
      <c r="B86" s="3824"/>
      <c r="C86" s="3088" t="s">
        <v>2681</v>
      </c>
      <c r="D86" s="3088" t="s">
        <v>2682</v>
      </c>
      <c r="E86" s="3114">
        <v>0.1</v>
      </c>
      <c r="F86" s="3114">
        <v>15</v>
      </c>
    </row>
    <row r="87" spans="1:6" ht="13.5">
      <c r="A87" s="3114">
        <v>15</v>
      </c>
      <c r="B87" s="3824"/>
      <c r="C87" s="3088" t="s">
        <v>2683</v>
      </c>
      <c r="D87" s="3088" t="s">
        <v>2684</v>
      </c>
      <c r="E87" s="3114">
        <v>0.1</v>
      </c>
      <c r="F87" s="3114">
        <v>15</v>
      </c>
    </row>
    <row r="88" spans="1:6" ht="24">
      <c r="A88" s="3114">
        <v>16</v>
      </c>
      <c r="B88" s="3824"/>
      <c r="C88" s="3088" t="s">
        <v>2685</v>
      </c>
      <c r="D88" s="3088" t="s">
        <v>2686</v>
      </c>
      <c r="E88" s="3114">
        <v>0.1</v>
      </c>
      <c r="F88" s="3114">
        <v>15</v>
      </c>
    </row>
    <row r="89" spans="1:6" ht="24">
      <c r="A89" s="3114">
        <v>17</v>
      </c>
      <c r="B89" s="3833"/>
      <c r="C89" s="3088" t="s">
        <v>2687</v>
      </c>
      <c r="D89" s="3088" t="s">
        <v>2688</v>
      </c>
      <c r="E89" s="3114">
        <v>0.1</v>
      </c>
      <c r="F89" s="3114">
        <v>15</v>
      </c>
    </row>
    <row r="90" spans="1:6" ht="13.5">
      <c r="A90" s="3114">
        <v>18</v>
      </c>
      <c r="B90" s="3829" t="s">
        <v>2689</v>
      </c>
      <c r="C90" s="3088" t="s">
        <v>2690</v>
      </c>
      <c r="D90" s="3088" t="s">
        <v>2691</v>
      </c>
      <c r="E90" s="3114">
        <v>0.2</v>
      </c>
      <c r="F90" s="3114">
        <v>25</v>
      </c>
    </row>
    <row r="91" spans="1:6" ht="24">
      <c r="A91" s="3114">
        <v>19</v>
      </c>
      <c r="B91" s="3824"/>
      <c r="C91" s="3088" t="s">
        <v>2692</v>
      </c>
      <c r="D91" s="3088" t="s">
        <v>2693</v>
      </c>
      <c r="E91" s="3114">
        <v>0.2</v>
      </c>
      <c r="F91" s="3114">
        <v>25</v>
      </c>
    </row>
    <row r="92" spans="1:6" ht="13.5">
      <c r="A92" s="3114">
        <v>20</v>
      </c>
      <c r="B92" s="3824"/>
      <c r="C92" s="3088" t="s">
        <v>2694</v>
      </c>
      <c r="D92" s="3088" t="s">
        <v>2695</v>
      </c>
      <c r="E92" s="3114">
        <v>0.15</v>
      </c>
      <c r="F92" s="3114">
        <v>20</v>
      </c>
    </row>
    <row r="93" spans="1:6" ht="13.5">
      <c r="A93" s="3114">
        <v>21</v>
      </c>
      <c r="B93" s="3824"/>
      <c r="C93" s="3088" t="s">
        <v>2696</v>
      </c>
      <c r="D93" s="3088" t="s">
        <v>2697</v>
      </c>
      <c r="E93" s="3114">
        <v>0.15</v>
      </c>
      <c r="F93" s="3114">
        <v>20</v>
      </c>
    </row>
    <row r="94" spans="1:6" ht="13.5">
      <c r="A94" s="3114">
        <v>22</v>
      </c>
      <c r="B94" s="3824"/>
      <c r="C94" s="3088" t="s">
        <v>2698</v>
      </c>
      <c r="D94" s="3088" t="s">
        <v>2699</v>
      </c>
      <c r="E94" s="3114">
        <v>0.15</v>
      </c>
      <c r="F94" s="3114">
        <v>20</v>
      </c>
    </row>
    <row r="95" spans="1:6" ht="36">
      <c r="A95" s="3114">
        <v>23</v>
      </c>
      <c r="B95" s="3824"/>
      <c r="C95" s="3088" t="s">
        <v>2700</v>
      </c>
      <c r="D95" s="3088" t="s">
        <v>2701</v>
      </c>
      <c r="E95" s="3114">
        <v>0.15</v>
      </c>
      <c r="F95" s="3114">
        <v>20</v>
      </c>
    </row>
    <row r="96" spans="1:6" ht="13.5">
      <c r="A96" s="3114">
        <v>24</v>
      </c>
      <c r="B96" s="3824"/>
      <c r="C96" s="3088" t="s">
        <v>2702</v>
      </c>
      <c r="D96" s="3088" t="s">
        <v>2703</v>
      </c>
      <c r="E96" s="3114">
        <v>0.1</v>
      </c>
      <c r="F96" s="3114">
        <v>15</v>
      </c>
    </row>
    <row r="97" spans="1:6" ht="13.5">
      <c r="A97" s="3114">
        <v>25</v>
      </c>
      <c r="B97" s="3824"/>
      <c r="C97" s="3088" t="s">
        <v>2704</v>
      </c>
      <c r="D97" s="3088" t="s">
        <v>2705</v>
      </c>
      <c r="E97" s="3114">
        <v>0.1</v>
      </c>
      <c r="F97" s="3114">
        <v>15</v>
      </c>
    </row>
    <row r="98" spans="1:6" ht="24">
      <c r="A98" s="3114">
        <v>26</v>
      </c>
      <c r="B98" s="3824"/>
      <c r="C98" s="3088" t="s">
        <v>2706</v>
      </c>
      <c r="D98" s="3088" t="s">
        <v>2707</v>
      </c>
      <c r="E98" s="3114">
        <v>0.1</v>
      </c>
      <c r="F98" s="3114">
        <v>15</v>
      </c>
    </row>
    <row r="99" spans="1:6" ht="24">
      <c r="A99" s="3114">
        <v>27</v>
      </c>
      <c r="B99" s="3824"/>
      <c r="C99" s="3088" t="s">
        <v>2708</v>
      </c>
      <c r="D99" s="3088" t="s">
        <v>2709</v>
      </c>
      <c r="E99" s="3114">
        <v>0.1</v>
      </c>
      <c r="F99" s="3114">
        <v>15</v>
      </c>
    </row>
    <row r="100" spans="1:6" ht="13.5">
      <c r="A100" s="3114">
        <v>28</v>
      </c>
      <c r="B100" s="3824"/>
      <c r="C100" s="3088" t="s">
        <v>2710</v>
      </c>
      <c r="D100" s="3088" t="s">
        <v>2711</v>
      </c>
      <c r="E100" s="3114">
        <v>0.1</v>
      </c>
      <c r="F100" s="3114">
        <v>15</v>
      </c>
    </row>
    <row r="101" spans="1:6" ht="13.5">
      <c r="A101" s="3114">
        <v>29</v>
      </c>
      <c r="B101" s="3824"/>
      <c r="C101" s="3088" t="s">
        <v>2712</v>
      </c>
      <c r="D101" s="3088" t="s">
        <v>2713</v>
      </c>
      <c r="E101" s="3114">
        <v>0.1</v>
      </c>
      <c r="F101" s="3114">
        <v>15</v>
      </c>
    </row>
    <row r="102" spans="1:6" ht="13.5">
      <c r="A102" s="3114">
        <v>30</v>
      </c>
      <c r="B102" s="3824"/>
      <c r="C102" s="3088" t="s">
        <v>2714</v>
      </c>
      <c r="D102" s="3088" t="s">
        <v>2715</v>
      </c>
      <c r="E102" s="3114">
        <v>0.1</v>
      </c>
      <c r="F102" s="3114">
        <v>15</v>
      </c>
    </row>
    <row r="103" spans="1:6" ht="24">
      <c r="A103" s="3114">
        <v>31</v>
      </c>
      <c r="B103" s="3824"/>
      <c r="C103" s="3088" t="s">
        <v>2716</v>
      </c>
      <c r="D103" s="3088" t="s">
        <v>2717</v>
      </c>
      <c r="E103" s="3114">
        <v>0.1</v>
      </c>
      <c r="F103" s="3114">
        <v>15</v>
      </c>
    </row>
    <row r="104" spans="1:6" ht="24">
      <c r="A104" s="3114">
        <v>32</v>
      </c>
      <c r="B104" s="3824"/>
      <c r="C104" s="3088" t="s">
        <v>2718</v>
      </c>
      <c r="D104" s="3088" t="s">
        <v>2719</v>
      </c>
      <c r="E104" s="3114">
        <v>0.1</v>
      </c>
      <c r="F104" s="3114">
        <v>15</v>
      </c>
    </row>
    <row r="105" spans="1:6" ht="24">
      <c r="A105" s="3114">
        <v>33</v>
      </c>
      <c r="B105" s="3824"/>
      <c r="C105" s="3088" t="s">
        <v>2720</v>
      </c>
      <c r="D105" s="3088" t="s">
        <v>2721</v>
      </c>
      <c r="E105" s="3114">
        <v>0.1</v>
      </c>
      <c r="F105" s="3114">
        <v>15</v>
      </c>
    </row>
    <row r="106" spans="1:6" ht="24">
      <c r="A106" s="3114">
        <v>34</v>
      </c>
      <c r="B106" s="3833"/>
      <c r="C106" s="3088" t="s">
        <v>2722</v>
      </c>
      <c r="D106" s="3088" t="s">
        <v>2723</v>
      </c>
      <c r="E106" s="3114">
        <v>0.1</v>
      </c>
      <c r="F106" s="3114">
        <v>15</v>
      </c>
    </row>
    <row r="107" spans="1:6" ht="24">
      <c r="A107" s="3114">
        <v>35</v>
      </c>
      <c r="B107" s="3829" t="s">
        <v>2724</v>
      </c>
      <c r="C107" s="3114" t="s">
        <v>2725</v>
      </c>
      <c r="D107" s="3088" t="s">
        <v>2726</v>
      </c>
      <c r="E107" s="3114">
        <v>0.15</v>
      </c>
      <c r="F107" s="3114">
        <v>20</v>
      </c>
    </row>
    <row r="108" spans="1:6" ht="13.5">
      <c r="A108" s="3114">
        <v>36</v>
      </c>
      <c r="B108" s="3824"/>
      <c r="C108" s="3114" t="s">
        <v>2727</v>
      </c>
      <c r="D108" s="3088" t="s">
        <v>2728</v>
      </c>
      <c r="E108" s="3114">
        <v>0.15</v>
      </c>
      <c r="F108" s="3114">
        <v>20</v>
      </c>
    </row>
    <row r="109" spans="1:6" ht="13.5">
      <c r="A109" s="3114">
        <v>37</v>
      </c>
      <c r="B109" s="3824"/>
      <c r="C109" s="3114" t="s">
        <v>2729</v>
      </c>
      <c r="D109" s="3088" t="s">
        <v>2730</v>
      </c>
      <c r="E109" s="3114">
        <v>0.15</v>
      </c>
      <c r="F109" s="3114">
        <v>20</v>
      </c>
    </row>
    <row r="110" spans="1:6" ht="13.5">
      <c r="A110" s="3114">
        <v>38</v>
      </c>
      <c r="B110" s="3824"/>
      <c r="C110" s="3114" t="s">
        <v>2731</v>
      </c>
      <c r="D110" s="3088" t="s">
        <v>2732</v>
      </c>
      <c r="E110" s="3114">
        <v>0.1</v>
      </c>
      <c r="F110" s="3114">
        <v>15</v>
      </c>
    </row>
    <row r="111" spans="1:6" ht="24">
      <c r="A111" s="3114">
        <v>39</v>
      </c>
      <c r="B111" s="3824"/>
      <c r="C111" s="3114" t="s">
        <v>2733</v>
      </c>
      <c r="D111" s="3088" t="s">
        <v>2734</v>
      </c>
      <c r="E111" s="3114">
        <v>0.1</v>
      </c>
      <c r="F111" s="3114">
        <v>15</v>
      </c>
    </row>
    <row r="112" spans="1:6" ht="24">
      <c r="A112" s="3114">
        <v>40</v>
      </c>
      <c r="B112" s="3833"/>
      <c r="C112" s="3114" t="s">
        <v>2735</v>
      </c>
      <c r="D112" s="3088" t="s">
        <v>2736</v>
      </c>
      <c r="E112" s="3114">
        <v>0.1</v>
      </c>
      <c r="F112" s="3114">
        <v>15</v>
      </c>
    </row>
    <row r="113" spans="1:6" ht="13.5">
      <c r="A113" s="3114">
        <v>41</v>
      </c>
      <c r="B113" s="3834" t="s">
        <v>2737</v>
      </c>
      <c r="C113" s="3114" t="s">
        <v>2738</v>
      </c>
      <c r="D113" s="3088" t="s">
        <v>2739</v>
      </c>
      <c r="E113" s="3114">
        <v>0.1</v>
      </c>
      <c r="F113" s="3114">
        <v>15</v>
      </c>
    </row>
    <row r="114" spans="1:6" ht="13.5">
      <c r="A114" s="3114">
        <v>42</v>
      </c>
      <c r="B114" s="3834"/>
      <c r="C114" s="3114" t="s">
        <v>2740</v>
      </c>
      <c r="D114" s="3088" t="s">
        <v>2741</v>
      </c>
      <c r="E114" s="3114">
        <v>0.1</v>
      </c>
      <c r="F114" s="3114">
        <v>15</v>
      </c>
    </row>
    <row r="115" spans="1:6" ht="24">
      <c r="A115" s="3114">
        <v>43</v>
      </c>
      <c r="B115" s="3834"/>
      <c r="C115" s="3114" t="s">
        <v>2742</v>
      </c>
      <c r="D115" s="3088" t="s">
        <v>2743</v>
      </c>
      <c r="E115" s="3114">
        <v>0.1</v>
      </c>
      <c r="F115" s="3114">
        <v>15</v>
      </c>
    </row>
    <row r="116" spans="1:6" ht="13.5">
      <c r="A116" s="3114">
        <v>44</v>
      </c>
      <c r="B116" s="3829" t="s">
        <v>2744</v>
      </c>
      <c r="C116" s="3114" t="s">
        <v>2745</v>
      </c>
      <c r="D116" s="3088" t="s">
        <v>2746</v>
      </c>
      <c r="E116" s="3114">
        <v>0.1</v>
      </c>
      <c r="F116" s="3114">
        <v>15</v>
      </c>
    </row>
    <row r="117" spans="1:6" ht="24">
      <c r="A117" s="3114">
        <v>45</v>
      </c>
      <c r="B117" s="3833"/>
      <c r="C117" s="3088" t="s">
        <v>2747</v>
      </c>
      <c r="D117" s="3088" t="s">
        <v>2748</v>
      </c>
      <c r="E117" s="3114">
        <v>0.1</v>
      </c>
      <c r="F117" s="3114">
        <v>15</v>
      </c>
    </row>
    <row r="118" spans="1:6" ht="24">
      <c r="A118" s="3114">
        <v>46</v>
      </c>
      <c r="B118" s="3829" t="s">
        <v>2749</v>
      </c>
      <c r="C118" s="3114" t="s">
        <v>2750</v>
      </c>
      <c r="D118" s="3088" t="s">
        <v>2751</v>
      </c>
      <c r="E118" s="3114">
        <v>0.1</v>
      </c>
      <c r="F118" s="3114">
        <v>15</v>
      </c>
    </row>
    <row r="119" spans="1:6" ht="24">
      <c r="A119" s="3114">
        <v>47</v>
      </c>
      <c r="B119" s="3833"/>
      <c r="C119" s="3114" t="s">
        <v>2752</v>
      </c>
      <c r="D119" s="3088" t="s">
        <v>2753</v>
      </c>
      <c r="E119" s="3114">
        <v>0.1</v>
      </c>
      <c r="F119" s="3114">
        <v>15</v>
      </c>
    </row>
    <row r="120" spans="1:6" ht="13.5">
      <c r="A120" s="3114">
        <v>48</v>
      </c>
      <c r="B120" s="3829" t="s">
        <v>2754</v>
      </c>
      <c r="C120" s="3114" t="s">
        <v>2755</v>
      </c>
      <c r="D120" s="3088" t="s">
        <v>2756</v>
      </c>
      <c r="E120" s="3114">
        <v>0.1</v>
      </c>
      <c r="F120" s="3114">
        <v>15</v>
      </c>
    </row>
    <row r="121" spans="1:6" ht="13.5">
      <c r="A121" s="3114">
        <v>49</v>
      </c>
      <c r="B121" s="3833"/>
      <c r="C121" s="3114" t="s">
        <v>2757</v>
      </c>
      <c r="D121" s="3088" t="s">
        <v>2758</v>
      </c>
      <c r="E121" s="3114">
        <v>0.1</v>
      </c>
      <c r="F121" s="3114">
        <v>15</v>
      </c>
    </row>
    <row r="122" spans="1:6" ht="24">
      <c r="A122" s="3114">
        <v>50</v>
      </c>
      <c r="B122" s="3834" t="s">
        <v>2759</v>
      </c>
      <c r="C122" s="3114" t="s">
        <v>2760</v>
      </c>
      <c r="D122" s="3088" t="s">
        <v>2761</v>
      </c>
      <c r="E122" s="3114">
        <v>0.1</v>
      </c>
      <c r="F122" s="3114">
        <v>15</v>
      </c>
    </row>
    <row r="123" spans="1:6" ht="24">
      <c r="A123" s="3114">
        <v>51</v>
      </c>
      <c r="B123" s="3834"/>
      <c r="C123" s="3114" t="s">
        <v>2762</v>
      </c>
      <c r="D123" s="3088" t="s">
        <v>2763</v>
      </c>
      <c r="E123" s="3114">
        <v>0.1</v>
      </c>
      <c r="F123" s="3114">
        <v>15</v>
      </c>
    </row>
    <row r="124" spans="1:6" ht="24">
      <c r="A124" s="3114">
        <v>52</v>
      </c>
      <c r="B124" s="3834" t="s">
        <v>2764</v>
      </c>
      <c r="C124" s="3114" t="s">
        <v>2765</v>
      </c>
      <c r="D124" s="3088" t="s">
        <v>2766</v>
      </c>
      <c r="E124" s="3114">
        <v>0.1</v>
      </c>
      <c r="F124" s="3114">
        <v>15</v>
      </c>
    </row>
    <row r="125" spans="1:6" ht="24">
      <c r="A125" s="3114">
        <v>53</v>
      </c>
      <c r="B125" s="3834"/>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34" t="s">
        <v>2772</v>
      </c>
      <c r="C127" s="3114" t="s">
        <v>2773</v>
      </c>
      <c r="D127" s="3088" t="s">
        <v>2774</v>
      </c>
      <c r="E127" s="3114">
        <v>0.1</v>
      </c>
      <c r="F127" s="3114">
        <v>15</v>
      </c>
    </row>
    <row r="128" spans="1:6" ht="13.5">
      <c r="A128" s="3114">
        <v>56</v>
      </c>
      <c r="B128" s="3834"/>
      <c r="C128" s="3114" t="s">
        <v>2775</v>
      </c>
      <c r="D128" s="3088" t="s">
        <v>2776</v>
      </c>
      <c r="E128" s="3114">
        <v>0.1</v>
      </c>
      <c r="F128" s="3114">
        <v>15</v>
      </c>
    </row>
    <row r="129" spans="1:6" ht="24">
      <c r="A129" s="3114">
        <v>57</v>
      </c>
      <c r="B129" s="3834"/>
      <c r="C129" s="3114" t="s">
        <v>2777</v>
      </c>
      <c r="D129" s="3088" t="s">
        <v>2778</v>
      </c>
      <c r="E129" s="3114">
        <v>0.1</v>
      </c>
      <c r="F129" s="3114">
        <v>15</v>
      </c>
    </row>
    <row r="130" spans="1:6" ht="24">
      <c r="A130" s="3114">
        <v>58</v>
      </c>
      <c r="B130" s="3834" t="s">
        <v>2779</v>
      </c>
      <c r="C130" s="3114" t="s">
        <v>2780</v>
      </c>
      <c r="D130" s="3088" t="s">
        <v>2781</v>
      </c>
      <c r="E130" s="3114">
        <v>0.1</v>
      </c>
      <c r="F130" s="3114">
        <v>15</v>
      </c>
    </row>
    <row r="131" spans="1:6" ht="13.5">
      <c r="A131" s="3114">
        <v>59</v>
      </c>
      <c r="B131" s="3834"/>
      <c r="C131" s="3114" t="s">
        <v>2782</v>
      </c>
      <c r="D131" s="3088" t="s">
        <v>2783</v>
      </c>
      <c r="E131" s="3114">
        <v>0.1</v>
      </c>
      <c r="F131" s="3114">
        <v>15</v>
      </c>
    </row>
    <row r="132" spans="1:6" ht="13.5">
      <c r="A132" s="3114">
        <v>60</v>
      </c>
      <c r="B132" s="3829" t="s">
        <v>2784</v>
      </c>
      <c r="C132" s="3114" t="s">
        <v>2785</v>
      </c>
      <c r="D132" s="3088" t="s">
        <v>2786</v>
      </c>
      <c r="E132" s="3114">
        <v>0.1</v>
      </c>
      <c r="F132" s="3114">
        <v>15</v>
      </c>
    </row>
    <row r="133" spans="1:6" ht="13.5">
      <c r="A133" s="3114">
        <v>61</v>
      </c>
      <c r="B133" s="3833"/>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34" t="s">
        <v>2792</v>
      </c>
      <c r="C135" s="3114" t="s">
        <v>2793</v>
      </c>
      <c r="D135" s="3088" t="s">
        <v>2794</v>
      </c>
      <c r="E135" s="3114">
        <v>0.1</v>
      </c>
      <c r="F135" s="3114">
        <v>15</v>
      </c>
    </row>
    <row r="136" spans="1:6" ht="13.5">
      <c r="A136" s="3114">
        <v>64</v>
      </c>
      <c r="B136" s="3834"/>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0</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43297</v>
      </c>
      <c r="C2" s="2" t="s">
        <v>106</v>
      </c>
      <c r="D2" s="199"/>
      <c r="E2" s="199"/>
      <c r="F2" s="199"/>
      <c r="G2" s="199"/>
    </row>
    <row r="3" spans="1:7" s="200" customFormat="1" ht="18" customHeight="1" thickBot="1">
      <c r="A3" s="203" t="s">
        <v>58</v>
      </c>
      <c r="B3" s="204">
        <f ca="1">ROUND(B2*10000/'数据-汇总表'!E3,0)</f>
        <v>6193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42310.899999999994</v>
      </c>
      <c r="E9" s="225">
        <f>'数据-取费表'!B27</f>
        <v>0</v>
      </c>
      <c r="F9" s="221"/>
      <c r="G9" s="226"/>
    </row>
    <row r="10" spans="1:7" s="214" customFormat="1" ht="13.5" customHeight="1">
      <c r="A10" s="779" t="s">
        <v>356</v>
      </c>
      <c r="B10" s="224" t="s">
        <v>67</v>
      </c>
      <c r="C10" s="225">
        <f>ROUND(D10*E10/10000,0)</f>
        <v>0</v>
      </c>
      <c r="D10" s="845">
        <f>'数据-汇总表'!E6</f>
        <v>27597.379999999961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699</v>
      </c>
      <c r="D19" s="849">
        <f>'数据-汇总表'!E3</f>
        <v>69908.279999999955</v>
      </c>
      <c r="E19" s="211">
        <f>'数据-取费表'!B31</f>
        <v>100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657</v>
      </c>
      <c r="D22" s="235">
        <f ca="1">C26</f>
        <v>2.9999999999999997E-4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630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885</v>
      </c>
      <c r="D27" s="235">
        <f>C29</f>
        <v>8.0000000000000004E-4</v>
      </c>
      <c r="E27" s="236" t="s">
        <v>99</v>
      </c>
      <c r="F27" s="246">
        <f>'数据-取费表'!Q16</f>
        <v>0.11</v>
      </c>
      <c r="G27" s="247" t="s">
        <v>431</v>
      </c>
    </row>
    <row r="28" spans="1:7" s="214" customFormat="1" ht="13.5" customHeight="1">
      <c r="A28" s="780" t="s">
        <v>349</v>
      </c>
      <c r="B28" s="248" t="s">
        <v>424</v>
      </c>
      <c r="C28" s="249">
        <f>ROUND((C5+C19+C20)*F27*'数据-取费表'!B21/'数据-取费表'!B20,0)</f>
        <v>885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25123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14650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13190</v>
      </c>
      <c r="D34" s="217"/>
      <c r="E34" s="220"/>
      <c r="F34" s="257">
        <f>IF('数据-取费表'!B24=0,1,'数据-取费表'!N16)</f>
        <v>0.37</v>
      </c>
      <c r="G34" s="219" t="s">
        <v>89</v>
      </c>
    </row>
    <row r="35" spans="1:7" ht="13.5" customHeight="1">
      <c r="A35" s="780" t="s">
        <v>351</v>
      </c>
      <c r="B35" s="215" t="s">
        <v>33</v>
      </c>
      <c r="C35" s="220">
        <f>ROUND(C34*F35,0)</f>
        <v>396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349</v>
      </c>
      <c r="D36" s="220"/>
      <c r="E36" s="220"/>
      <c r="F36" s="259">
        <f>'数据-取费表'!B34</f>
        <v>0.05</v>
      </c>
      <c r="G36" s="260" t="s">
        <v>35</v>
      </c>
    </row>
    <row r="37" spans="1:7" s="258" customFormat="1" ht="13.5" customHeight="1">
      <c r="A37" s="780" t="s">
        <v>353</v>
      </c>
      <c r="B37" s="215" t="s">
        <v>91</v>
      </c>
      <c r="C37" s="249">
        <f>ROUND(E37*D37*F34/10000,0)</f>
        <v>517</v>
      </c>
      <c r="D37" s="217">
        <f>'数据-汇总表'!E3</f>
        <v>69908.279999999955</v>
      </c>
      <c r="E37" s="249">
        <f>'数据-取费表'!B35</f>
        <v>200</v>
      </c>
      <c r="F37" s="259"/>
      <c r="G37" s="261" t="s">
        <v>92</v>
      </c>
    </row>
    <row r="38" spans="1:7" ht="13.5" customHeight="1">
      <c r="A38" s="780" t="s">
        <v>354</v>
      </c>
      <c r="B38" s="215" t="s">
        <v>36</v>
      </c>
      <c r="C38" s="220">
        <f>ROUND(C34*F38,0)</f>
        <v>198</v>
      </c>
      <c r="D38" s="220"/>
      <c r="E38" s="220"/>
      <c r="F38" s="259">
        <f>'数据-取费表'!B36</f>
        <v>1.4999999999999999E-2</v>
      </c>
      <c r="G38" s="219" t="s">
        <v>90</v>
      </c>
    </row>
    <row r="39" spans="1:7" s="214" customFormat="1" ht="13.5" customHeight="1">
      <c r="A39" s="777" t="s">
        <v>338</v>
      </c>
      <c r="B39" s="210" t="s">
        <v>77</v>
      </c>
      <c r="C39" s="232">
        <f>ROUND(C33*F20,0)</f>
        <v>293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226</v>
      </c>
      <c r="D41" s="235">
        <f ca="1">C44</f>
        <v>2.9999999999999997E-4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222</v>
      </c>
      <c r="D42" s="238"/>
      <c r="E42" s="238"/>
      <c r="F42" s="239"/>
      <c r="G42" s="3699" t="s">
        <v>94</v>
      </c>
    </row>
    <row r="43" spans="1:7" ht="13.5" customHeight="1">
      <c r="A43" s="780" t="s">
        <v>347</v>
      </c>
      <c r="B43" s="215" t="s">
        <v>426</v>
      </c>
      <c r="C43" s="238">
        <f ca="1">ROUND(IF('数据-取费表'!B22&lt;=1,C39*F22*'数据-取费表'!B21/2,C39*(POWER((1+F22),'数据-取费表'!B21/2)-1)),0)</f>
        <v>4</v>
      </c>
      <c r="D43" s="238"/>
      <c r="E43" s="238"/>
      <c r="F43" s="239"/>
      <c r="G43" s="3700"/>
    </row>
    <row r="44" spans="1:7" ht="13.5" customHeight="1">
      <c r="A44" s="780" t="s">
        <v>348</v>
      </c>
      <c r="B44" s="215" t="s">
        <v>428</v>
      </c>
      <c r="C44" s="238">
        <f ca="1">ROUND(IF('数据-取费表'!B22&lt;=1,C40*F22*'数据-取费表'!B21/2,C40*(POWER((1+F22),'数据-取费表'!B21/2)-1)),4)</f>
        <v>2.9999999999999997E-4</v>
      </c>
      <c r="D44" s="238"/>
      <c r="E44" s="238"/>
      <c r="F44" s="239"/>
      <c r="G44" s="3701"/>
    </row>
    <row r="45" spans="1:7" s="214" customFormat="1" ht="13.5" customHeight="1">
      <c r="A45" s="777" t="s">
        <v>341</v>
      </c>
      <c r="B45" s="244" t="s">
        <v>85</v>
      </c>
      <c r="C45" s="245">
        <f>C46</f>
        <v>1644</v>
      </c>
      <c r="D45" s="235">
        <f>C47</f>
        <v>2.2000000000000001E-3</v>
      </c>
      <c r="E45" s="236" t="s">
        <v>102</v>
      </c>
      <c r="F45" s="246"/>
      <c r="G45" s="247" t="s">
        <v>434</v>
      </c>
    </row>
    <row r="46" spans="1:7" s="214" customFormat="1" ht="13.5" customHeight="1">
      <c r="A46" s="780" t="s">
        <v>349</v>
      </c>
      <c r="B46" s="248" t="s">
        <v>427</v>
      </c>
      <c r="C46" s="249">
        <f>ROUND((C33+C39)*F27,0)</f>
        <v>1644</v>
      </c>
      <c r="D46" s="263"/>
      <c r="E46" s="236"/>
      <c r="F46" s="246"/>
      <c r="G46" s="247"/>
    </row>
    <row r="47" spans="1:7" s="214" customFormat="1" ht="13.5" customHeight="1">
      <c r="A47" s="780" t="s">
        <v>347</v>
      </c>
      <c r="B47" s="248" t="s">
        <v>429</v>
      </c>
      <c r="C47" s="238">
        <f>ROUND(C40*F27,4)</f>
        <v>2.2000000000000001E-3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18174</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18174</v>
      </c>
      <c r="D51" s="232"/>
      <c r="E51" s="232"/>
      <c r="F51" s="264"/>
      <c r="G51" s="234" t="s">
        <v>37</v>
      </c>
    </row>
    <row r="52" spans="1:7" s="208" customFormat="1" ht="16.5" thickBot="1">
      <c r="A52" s="265" t="s">
        <v>38</v>
      </c>
      <c r="B52" s="266"/>
      <c r="C52" s="267">
        <f ca="1">C31+C51</f>
        <v>43297</v>
      </c>
      <c r="D52" s="266"/>
      <c r="E52" s="266"/>
      <c r="F52" s="266"/>
      <c r="G52" s="268"/>
    </row>
    <row r="55" spans="1:7" ht="15">
      <c r="B55" s="270" t="s">
        <v>39</v>
      </c>
      <c r="C55" s="271"/>
    </row>
    <row r="56" spans="1:7">
      <c r="B56" s="273" t="s">
        <v>40</v>
      </c>
      <c r="C56" s="274">
        <f ca="1">ROUND(C51/C52,3)</f>
        <v>0.42</v>
      </c>
    </row>
    <row r="57" spans="1:7">
      <c r="B57" s="273" t="s">
        <v>41</v>
      </c>
      <c r="C57" s="275">
        <f ca="1">1-C56</f>
        <v>0.58000000000000007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7" t="s">
        <v>2844</v>
      </c>
      <c r="B1" s="3837"/>
      <c r="C1" s="3837"/>
      <c r="D1" s="3837"/>
      <c r="E1" s="3837"/>
      <c r="F1" s="3837"/>
      <c r="G1" s="3838"/>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35"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36"/>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9" t="s">
        <v>3186</v>
      </c>
      <c r="B1" s="3839"/>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40" t="s">
        <v>3237</v>
      </c>
      <c r="B1" s="3840"/>
      <c r="C1" s="3840"/>
      <c r="D1" s="3840"/>
      <c r="E1" s="3840"/>
      <c r="F1" s="3841"/>
    </row>
    <row r="2" spans="1:6" ht="15">
      <c r="A2" s="3287" t="s">
        <v>3238</v>
      </c>
      <c r="B2" s="3288"/>
      <c r="C2" s="3288"/>
      <c r="D2" s="3288"/>
      <c r="E2" s="3288"/>
      <c r="F2" s="3288"/>
    </row>
    <row r="3" spans="1:6" ht="15">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45063</v>
      </c>
      <c r="B1" s="3206" t="s">
        <v>2843</v>
      </c>
      <c r="C1" s="3207"/>
      <c r="D1" s="3207"/>
      <c r="E1" s="3207"/>
      <c r="F1" s="3207"/>
      <c r="G1" s="3207"/>
      <c r="H1" s="3207"/>
      <c r="I1" s="3207"/>
      <c r="J1" s="3161"/>
      <c r="K1" s="3207" t="s">
        <v>454</v>
      </c>
      <c r="L1" s="3207"/>
      <c r="M1" s="3207"/>
      <c r="N1" s="3207"/>
      <c r="O1" s="3207"/>
      <c r="P1" s="3207"/>
      <c r="Q1" s="3161"/>
      <c r="R1" s="3842" t="s">
        <v>456</v>
      </c>
      <c r="S1" s="3843"/>
      <c r="T1" s="3843"/>
      <c r="U1" s="3843"/>
      <c r="V1" s="3843"/>
      <c r="W1" s="3843"/>
      <c r="X1" s="3161"/>
      <c r="Y1" s="3842" t="s">
        <v>457</v>
      </c>
      <c r="Z1" s="3843"/>
      <c r="AA1" s="3843"/>
      <c r="AB1" s="3843"/>
      <c r="AC1" s="3843"/>
      <c r="AD1" s="3843"/>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42" t="s">
        <v>2831</v>
      </c>
      <c r="S21" s="3843"/>
      <c r="T21" s="3843"/>
      <c r="U21" s="3843"/>
      <c r="V21" s="3843"/>
      <c r="W21" s="3843"/>
      <c r="X21" s="3161"/>
      <c r="Y21" s="3842" t="s">
        <v>2832</v>
      </c>
      <c r="Z21" s="3843"/>
      <c r="AA21" s="3843"/>
      <c r="AB21" s="3843"/>
      <c r="AC21" s="3843"/>
      <c r="AD21" s="3843"/>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9" t="s">
        <v>452</v>
      </c>
      <c r="C1" s="3849"/>
      <c r="D1" s="3849"/>
      <c r="E1" s="3849"/>
      <c r="F1" s="3849"/>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5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2" t="str">
        <f>IF(项目基本情况!B9="房地产市场价值","估价结果一览表","结果表-2")</f>
        <v>结果表-2</v>
      </c>
      <c r="B1" s="3522"/>
      <c r="C1" s="3522"/>
      <c r="D1" s="3522"/>
      <c r="E1" s="3522"/>
      <c r="F1" s="3522"/>
      <c r="G1" s="3522"/>
      <c r="H1" s="3522"/>
      <c r="I1" s="3522"/>
    </row>
    <row r="2" spans="1:9" ht="30" customHeight="1" thickTop="1">
      <c r="A2" s="3523" t="s">
        <v>928</v>
      </c>
      <c r="B2" s="3523" t="s">
        <v>929</v>
      </c>
      <c r="C2" s="3523" t="s">
        <v>930</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spans="1:9" ht="15">
      <c r="A3" s="3524"/>
      <c r="B3" s="3524"/>
      <c r="C3" s="3524"/>
      <c r="D3" s="854" t="s">
        <v>925</v>
      </c>
      <c r="E3" s="854" t="s">
        <v>931</v>
      </c>
      <c r="F3" s="854" t="s">
        <v>925</v>
      </c>
      <c r="G3" s="854" t="s">
        <v>926</v>
      </c>
      <c r="H3" s="854" t="s">
        <v>925</v>
      </c>
      <c r="I3" s="854" t="s">
        <v>926</v>
      </c>
    </row>
    <row r="4" spans="1:9" ht="15">
      <c r="A4" s="1504" t="str">
        <f>项目基本情况!S2</f>
        <v>北京市房地产</v>
      </c>
      <c r="B4" s="854">
        <f>项目基本情况!C17</f>
        <v>69908.279999999955</v>
      </c>
      <c r="C4" s="854">
        <f>项目基本情况!C18</f>
        <v>22768.44</v>
      </c>
      <c r="D4" s="854">
        <f ca="1">结果表!D118</f>
        <v>100148</v>
      </c>
      <c r="E4" s="854">
        <f ca="1">结果表!E118</f>
        <v>14325</v>
      </c>
      <c r="F4" s="854">
        <f ca="1">结果表!F118</f>
        <v>18091</v>
      </c>
      <c r="G4" s="854">
        <f ca="1">结果表!G118</f>
        <v>2588</v>
      </c>
      <c r="H4" s="854">
        <f ca="1">结果表!H118</f>
        <v>118239</v>
      </c>
      <c r="I4" s="854">
        <f ca="1">结果表!I118</f>
        <v>16913</v>
      </c>
    </row>
    <row r="5" spans="1:9" ht="30" customHeight="1">
      <c r="A5" s="3524" t="s">
        <v>927</v>
      </c>
      <c r="B5" s="3524"/>
      <c r="C5" s="3524"/>
      <c r="D5" s="3524" t="str">
        <f ca="1">结果表!D119</f>
        <v>壹拾亿零壹佰肆拾捌万元整</v>
      </c>
      <c r="E5" s="3524"/>
      <c r="F5" s="3524" t="str">
        <f ca="1">结果表!F119</f>
        <v>壹亿捌仟零玖拾壹万元整</v>
      </c>
      <c r="G5" s="3524"/>
      <c r="H5" s="3524" t="str">
        <f ca="1">结果表!H119</f>
        <v>壹拾壹亿捌仟贰佰叁拾玖万元整</v>
      </c>
      <c r="I5" s="3524"/>
    </row>
    <row r="6" spans="1:9" ht="15.75">
      <c r="A6" s="3525" t="str">
        <f>结果表!A120</f>
        <v>估价师知悉的法定优先受偿款</v>
      </c>
      <c r="B6" s="3525"/>
      <c r="C6" s="3525"/>
      <c r="D6" s="3525">
        <f>结果表!D120</f>
        <v>0</v>
      </c>
      <c r="E6" s="3525"/>
      <c r="F6" s="3525"/>
      <c r="G6" s="3525"/>
      <c r="H6" s="3525"/>
      <c r="I6" s="3525"/>
    </row>
    <row r="7" spans="1:9" ht="15">
      <c r="A7" s="3524" t="s">
        <v>927</v>
      </c>
      <c r="B7" s="3524"/>
      <c r="C7" s="3524"/>
      <c r="D7" s="3526" t="str">
        <f>结果表!D121</f>
        <v>零元整</v>
      </c>
      <c r="E7" s="3527"/>
      <c r="F7" s="3527"/>
      <c r="G7" s="3527"/>
      <c r="H7" s="3527"/>
      <c r="I7" s="3528"/>
    </row>
    <row r="8" spans="1:9" ht="15.75">
      <c r="A8" s="3525" t="str">
        <f>结果表!A122</f>
        <v>房地产抵押价值</v>
      </c>
      <c r="B8" s="3525"/>
      <c r="C8" s="3525"/>
      <c r="D8" s="3525">
        <f ca="1">结果表!D122</f>
        <v>118239</v>
      </c>
      <c r="E8" s="3525"/>
      <c r="F8" s="3525"/>
      <c r="G8" s="3525"/>
      <c r="H8" s="3525"/>
      <c r="I8" s="3525"/>
    </row>
    <row r="9" spans="1:9" ht="15">
      <c r="A9" s="3524" t="s">
        <v>927</v>
      </c>
      <c r="B9" s="3524"/>
      <c r="C9" s="3524"/>
      <c r="D9" s="3524" t="str">
        <f ca="1">结果表!D123</f>
        <v>壹拾壹亿捌仟贰佰叁拾玖万元整</v>
      </c>
      <c r="E9" s="3524"/>
      <c r="F9" s="3524"/>
      <c r="G9" s="3524"/>
      <c r="H9" s="3524"/>
      <c r="I9" s="3524"/>
    </row>
    <row r="10" spans="1:9" ht="15.75">
      <c r="A10" s="3525" t="str">
        <f>结果表!A124</f>
        <v/>
      </c>
      <c r="B10" s="3525"/>
      <c r="C10" s="3525"/>
      <c r="D10" s="3525" t="str">
        <f>结果表!D124</f>
        <v>——</v>
      </c>
      <c r="E10" s="3525"/>
      <c r="F10" s="3525"/>
      <c r="G10" s="3525"/>
      <c r="H10" s="3525"/>
      <c r="I10" s="3525"/>
    </row>
    <row r="11" spans="1:9" ht="15">
      <c r="A11" s="3524" t="s">
        <v>927</v>
      </c>
      <c r="B11" s="3524"/>
      <c r="C11" s="3524"/>
      <c r="D11" s="3524" t="e">
        <f>结果表!D125</f>
        <v>#VALUE!</v>
      </c>
      <c r="E11" s="3524"/>
      <c r="F11" s="3524"/>
      <c r="G11" s="3524"/>
      <c r="H11" s="3524"/>
      <c r="I11" s="3524"/>
    </row>
    <row r="12" spans="1:9" ht="15.75">
      <c r="A12" s="3525" t="str">
        <f>结果表!A126</f>
        <v>抵押净值</v>
      </c>
      <c r="B12" s="3525"/>
      <c r="C12" s="3525"/>
      <c r="D12" s="3525">
        <f ca="1">结果表!D126</f>
        <v>111987</v>
      </c>
      <c r="E12" s="3525"/>
      <c r="F12" s="3525"/>
      <c r="G12" s="3525"/>
      <c r="H12" s="3525"/>
      <c r="I12" s="3525"/>
    </row>
    <row r="13" spans="1:9" ht="15.75" thickBot="1">
      <c r="A13" s="3529" t="s">
        <v>927</v>
      </c>
      <c r="B13" s="3529"/>
      <c r="C13" s="3529"/>
      <c r="D13" s="3529" t="str">
        <f ca="1">结果表!D127</f>
        <v>壹拾壹亿壹仟玖佰捌拾柒万元整</v>
      </c>
      <c r="E13" s="3529"/>
      <c r="F13" s="3529"/>
      <c r="G13" s="3529"/>
      <c r="H13" s="3529"/>
      <c r="I13" s="3529"/>
    </row>
    <row r="14" spans="1:9" ht="15" thickTop="1">
      <c r="A14" s="3530" t="s">
        <v>932</v>
      </c>
      <c r="B14" s="3530"/>
      <c r="C14" s="3530"/>
      <c r="D14" s="3530"/>
      <c r="E14" s="3530"/>
      <c r="F14" s="3530"/>
      <c r="G14" s="3530"/>
      <c r="H14" s="3530"/>
      <c r="I14" s="353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7"/>
  <sheetViews>
    <sheetView topLeftCell="A16" workbookViewId="0">
      <selection activeCell="H30" sqref="H30"/>
    </sheetView>
  </sheetViews>
  <sheetFormatPr defaultRowHeight="13.5"/>
  <sheetData>
    <row r="2" spans="1:1" ht="20.25">
      <c r="A2" s="3451" t="s">
        <v>3464</v>
      </c>
    </row>
    <row r="30" spans="1:1" ht="20.25">
      <c r="A30" s="3451" t="s">
        <v>3465</v>
      </c>
    </row>
    <row r="57" spans="1:1" ht="20.25">
      <c r="A57" s="3451" t="s">
        <v>3466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9"/>
  <sheetViews>
    <sheetView workbookViewId="0">
      <selection activeCell="Q19" sqref="Q19"/>
    </sheetView>
  </sheetViews>
  <sheetFormatPr defaultRowHeight="13.5"/>
  <sheetData>
    <row r="2" spans="1:13">
      <c r="A2" t="str">
        <f>住宅案例!$A$2</f>
        <v>路劲御和府</v>
      </c>
    </row>
    <row r="6" spans="1:13">
      <c r="M6">
        <v>1703.62</v>
      </c>
    </row>
    <row r="7" spans="1:13">
      <c r="M7">
        <v>94</v>
      </c>
    </row>
    <row r="8" spans="1:13">
      <c r="M8">
        <f>M6/M7</f>
        <v>18.123617021276594</v>
      </c>
    </row>
    <row r="28" spans="1:13">
      <c r="A28" t="str">
        <f>住宅案例!$A$30</f>
        <v>公园都会</v>
      </c>
    </row>
    <row r="31" spans="1:13">
      <c r="M31">
        <f>8063.98</f>
        <v>8063.98</v>
      </c>
    </row>
    <row r="32" spans="1:13">
      <c r="M32">
        <v>448</v>
      </c>
    </row>
    <row r="33" spans="13:13">
      <c r="M33">
        <f>M31/M32</f>
        <v>17.999955357142856</v>
      </c>
    </row>
    <row r="53" spans="1:13">
      <c r="A53" t="str">
        <f>住宅案例!$A$57</f>
        <v>和锦华宸</v>
      </c>
    </row>
    <row r="57" spans="1:13">
      <c r="M57">
        <v>7712</v>
      </c>
    </row>
    <row r="58" spans="1:13">
      <c r="M58">
        <v>477</v>
      </c>
    </row>
    <row r="59" spans="1:13">
      <c r="M59">
        <f>M57/M58</f>
        <v>16.167714884696018</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topLeftCell="A7" workbookViewId="0">
      <selection activeCell="Q35" sqref="Q35"/>
    </sheetView>
  </sheetViews>
  <sheetFormatPr defaultRowHeight="13.5"/>
  <sheetData>
    <row r="2" spans="1:13">
      <c r="A2" t="str">
        <f>住宅案例!$A$57</f>
        <v>和锦华宸</v>
      </c>
    </row>
    <row r="6" spans="1:13">
      <c r="M6" s="3452" t="s">
        <v>4996</v>
      </c>
    </row>
    <row r="7" spans="1:13">
      <c r="M7">
        <f>1530/39</f>
        <v>39.230769230769234</v>
      </c>
    </row>
    <row r="21" spans="1:13">
      <c r="A21" s="3452" t="s">
        <v>3467</v>
      </c>
    </row>
    <row r="25" spans="1:13">
      <c r="M25">
        <v>118</v>
      </c>
    </row>
    <row r="37" spans="1:13">
      <c r="A37" s="3452" t="s">
        <v>3468</v>
      </c>
    </row>
    <row r="40" spans="1:13">
      <c r="M40">
        <f>171/3</f>
        <v>57</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1" t="s">
        <v>949</v>
      </c>
      <c r="B1" s="3531"/>
      <c r="C1" s="3531"/>
      <c r="D1" s="3531"/>
    </row>
    <row r="2" spans="1:4" ht="18">
      <c r="A2" s="3532" t="s">
        <v>933</v>
      </c>
      <c r="B2" s="3532"/>
      <c r="C2" s="3532"/>
      <c r="D2" s="3532"/>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32" t="s">
        <v>939</v>
      </c>
      <c r="B6" s="3532"/>
      <c r="C6" s="3532"/>
      <c r="D6" s="353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33" t="s">
        <v>942</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5"/>
      <c r="C12" s="3535"/>
      <c r="D12" s="3535"/>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5"/>
      <c r="C13" s="3535"/>
      <c r="D13" s="3535"/>
    </row>
    <row r="14" spans="1:4" ht="15.75" customHeight="1">
      <c r="A14" s="3534" t="str">
        <f>IF(项目基本情况!B8="抵押","4.本次评估估价师所知悉的法定优先受偿款情况说明如下：","——")</f>
        <v>4.本次评估估价师所知悉的法定优先受偿款情况说明如下：</v>
      </c>
      <c r="B14" s="3535"/>
      <c r="C14" s="3535"/>
      <c r="D14" s="3535"/>
    </row>
    <row r="15" spans="1:4" ht="42" customHeight="1">
      <c r="A15" s="3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7" t="s">
        <v>943</v>
      </c>
      <c r="B16" s="3537"/>
      <c r="C16" s="3537"/>
      <c r="D16" s="3537"/>
    </row>
    <row r="17" spans="1:4" ht="144" customHeight="1">
      <c r="A17" s="3537" t="s">
        <v>944</v>
      </c>
      <c r="B17" s="3537"/>
      <c r="C17" s="3537"/>
      <c r="D17" s="3537"/>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4"/>
      <c r="C20" s="3534"/>
      <c r="D20" s="3534"/>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945</v>
      </c>
      <c r="B22" s="3539"/>
      <c r="C22" s="3539"/>
      <c r="D22" s="353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6">
        <v>42551</v>
      </c>
      <c r="D31" s="35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5" t="s">
        <v>956</v>
      </c>
      <c r="B15" s="3540" t="s">
        <v>109</v>
      </c>
      <c r="C15" s="3541"/>
    </row>
    <row r="16" spans="1:7" ht="13.5">
      <c r="A16" s="3546"/>
      <c r="B16" s="3540" t="s">
        <v>42</v>
      </c>
      <c r="C16" s="3541"/>
    </row>
    <row r="17" spans="1:3" ht="13.5">
      <c r="A17" s="3546"/>
      <c r="B17" s="3543" t="s">
        <v>957</v>
      </c>
      <c r="C17" s="1531" t="s">
        <v>956</v>
      </c>
    </row>
    <row r="18" spans="1:3" ht="13.5">
      <c r="A18" s="3546"/>
      <c r="B18" s="3543"/>
      <c r="C18" s="1531" t="s">
        <v>958</v>
      </c>
    </row>
    <row r="19" spans="1:3" ht="13.5">
      <c r="A19" s="3546"/>
      <c r="B19" s="3543"/>
      <c r="C19" s="1531" t="s">
        <v>959</v>
      </c>
    </row>
    <row r="20" spans="1:3" ht="13.5">
      <c r="A20" s="3547"/>
      <c r="B20" s="3542" t="s">
        <v>960</v>
      </c>
      <c r="C20" s="3541"/>
    </row>
    <row r="21" spans="1:3" ht="13.5">
      <c r="A21" s="1532" t="s">
        <v>961</v>
      </c>
      <c r="B21" s="1533"/>
      <c r="C21" s="1534"/>
    </row>
    <row r="22" spans="1:3" ht="13.5">
      <c r="A22" s="3544" t="s">
        <v>962</v>
      </c>
      <c r="B22" s="3542" t="s">
        <v>963</v>
      </c>
      <c r="C22" s="3541"/>
    </row>
    <row r="23" spans="1:3" ht="13.5">
      <c r="A23" s="3544"/>
      <c r="B23" s="3542" t="s">
        <v>964</v>
      </c>
      <c r="C23" s="3541"/>
    </row>
    <row r="24" spans="1:3" ht="13.5">
      <c r="A24" s="3544"/>
      <c r="B24" s="3542" t="s">
        <v>965</v>
      </c>
      <c r="C24" s="3541"/>
    </row>
    <row r="25" spans="1:3" ht="13.5">
      <c r="A25" s="3544"/>
      <c r="B25" s="3543" t="s">
        <v>966</v>
      </c>
      <c r="C25" s="1531" t="s">
        <v>967</v>
      </c>
    </row>
    <row r="26" spans="1:3" ht="13.5">
      <c r="A26" s="3544"/>
      <c r="B26" s="3543"/>
      <c r="C26" s="1531" t="s">
        <v>968</v>
      </c>
    </row>
    <row r="27" spans="1:3" ht="13.5">
      <c r="A27" s="3544"/>
      <c r="B27" s="3543"/>
      <c r="C27" s="1531" t="s">
        <v>969</v>
      </c>
    </row>
    <row r="28" spans="1:3" ht="13.5">
      <c r="A28" s="3544"/>
      <c r="B28" s="3543"/>
      <c r="C28" s="1531" t="s">
        <v>970</v>
      </c>
    </row>
    <row r="29" spans="1:3" ht="13.5">
      <c r="A29" s="3544"/>
      <c r="B29" s="3543"/>
      <c r="C29" s="1531" t="s">
        <v>971</v>
      </c>
    </row>
    <row r="30" spans="1:3" ht="13.5">
      <c r="A30" s="3544"/>
      <c r="B30" s="3543"/>
      <c r="C30" s="1531" t="s">
        <v>972</v>
      </c>
    </row>
    <row r="31" spans="1:3" ht="13.5">
      <c r="A31" s="3544"/>
      <c r="B31" s="3543"/>
      <c r="C31" s="1531" t="s">
        <v>973</v>
      </c>
    </row>
    <row r="32" spans="1:3" ht="13.5">
      <c r="A32" s="3544"/>
      <c r="B32" s="3543"/>
      <c r="C32" s="1531" t="s">
        <v>974</v>
      </c>
    </row>
    <row r="33" spans="1:3" ht="13.5">
      <c r="A33" s="3544"/>
      <c r="B33" s="354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45069</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48" t="s">
        <v>2160</v>
      </c>
      <c r="B17" s="3548"/>
      <c r="C17" s="3548"/>
      <c r="D17" s="3548"/>
      <c r="E17" s="3548"/>
      <c r="F17" s="3548"/>
      <c r="G17" s="3548"/>
      <c r="H17" s="3548"/>
    </row>
    <row r="18" spans="1:8" ht="24" customHeight="1">
      <c r="A18" s="3549" t="s">
        <v>2161</v>
      </c>
      <c r="B18" s="3549"/>
      <c r="C18" s="3549"/>
      <c r="D18" s="2339"/>
      <c r="E18" s="3550" t="s">
        <v>2162</v>
      </c>
      <c r="F18" s="3549"/>
      <c r="G18" s="354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分楼宇面积</vt:lpstr>
      <vt:lpstr>土地分摊表</vt:lpstr>
      <vt:lpstr>数据-汇总表</vt:lpstr>
      <vt:lpstr>数据-取费表</vt:lpstr>
      <vt:lpstr>估价对象房地状况</vt:lpstr>
      <vt:lpstr>系统读取表</vt:lpstr>
      <vt:lpstr>结果表</vt:lpstr>
      <vt:lpstr>合同地下补缴标准</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住宅案例</vt:lpstr>
      <vt:lpstr>车位案例</vt:lpstr>
      <vt:lpstr>仓储案例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2023-05-17T04:47:41Z</cp:lastPrinted>
  <dcterms:created xsi:type="dcterms:W3CDTF">2015-07-13T07:17:23Z</dcterms:created>
  <dcterms:modified xsi:type="dcterms:W3CDTF">2023-05-23T01:23:53Z</dcterms:modified>
</cp:coreProperties>
</file>