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20490" windowHeight="895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20" i="39" l="1"/>
  <c r="E120" i="39" s="1"/>
  <c r="F120" i="39" s="1"/>
  <c r="G120" i="39" s="1"/>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A3" i="3"/>
  <c r="C40" i="39" s="1"/>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s="1"/>
  <c r="F105" i="39" s="1"/>
  <c r="G105" i="39" s="1"/>
  <c r="F31" i="39"/>
  <c r="AA31" i="39" s="1"/>
  <c r="G20" i="20"/>
  <c r="B85" i="46"/>
  <c r="C22" i="20"/>
  <c r="B74" i="46" s="1"/>
  <c r="B65" i="46"/>
  <c r="S21" i="34"/>
  <c r="C27" i="40"/>
  <c r="C31" i="39"/>
  <c r="B54" i="46"/>
  <c r="E66" i="36"/>
  <c r="H18" i="35"/>
  <c r="J18" i="35"/>
  <c r="H21" i="37"/>
  <c r="J21" i="37"/>
  <c r="E84" i="34"/>
  <c r="F84" i="34"/>
  <c r="G84" i="34" s="1"/>
  <c r="J21" i="34"/>
  <c r="H21" i="34"/>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E128" i="39"/>
  <c r="F46" i="39"/>
  <c r="S46" i="39"/>
  <c r="H46" i="39"/>
  <c r="U46" i="39"/>
  <c r="J46" i="39"/>
  <c r="W46" i="39"/>
  <c r="E103" i="39"/>
  <c r="F103" i="39"/>
  <c r="F29" i="39" s="1"/>
  <c r="AA29" i="39" s="1"/>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E97" i="39"/>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F97" i="39"/>
  <c r="J23" i="39" s="1"/>
  <c r="AC23" i="39" s="1"/>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I4" i="6"/>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K6" i="1"/>
  <c r="M6" i="1" s="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E5" i="6"/>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F101" i="46"/>
  <c r="F106" i="46" s="1"/>
  <c r="O13" i="1"/>
  <c r="P13" i="1" s="1"/>
  <c r="G13" i="1"/>
  <c r="D46" i="36"/>
  <c r="E46" i="36" s="1"/>
  <c r="F46" i="36" s="1"/>
  <c r="G46" i="36" s="1"/>
  <c r="H46" i="36" s="1"/>
  <c r="H73" i="46"/>
  <c r="F35" i="46"/>
  <c r="I17" i="46"/>
  <c r="G17" i="46" s="1"/>
  <c r="C16" i="46" s="1"/>
  <c r="H63" i="46"/>
  <c r="I101" i="46"/>
  <c r="I102" i="46" s="1"/>
  <c r="N101" i="46"/>
  <c r="N105" i="46" s="1"/>
  <c r="H64" i="46"/>
  <c r="H66" i="46"/>
  <c r="D100" i="46"/>
  <c r="H62" i="46"/>
  <c r="AF12" i="46"/>
  <c r="K100" i="46"/>
  <c r="AB12" i="46"/>
  <c r="AJ12" i="46"/>
  <c r="G101" i="46"/>
  <c r="G106" i="46" s="1"/>
  <c r="E101" i="46"/>
  <c r="E104" i="46" s="1"/>
  <c r="K101" i="46"/>
  <c r="K107" i="46" s="1"/>
  <c r="AG11" i="46"/>
  <c r="AG13" i="46" s="1"/>
  <c r="AE11" i="46"/>
  <c r="AE13" i="46" s="1"/>
  <c r="H60" i="46"/>
  <c r="H59" i="46"/>
  <c r="H65" i="46"/>
  <c r="E10" i="46"/>
  <c r="E9" i="46"/>
  <c r="E11" i="46"/>
  <c r="E8" i="46"/>
  <c r="H76" i="46"/>
  <c r="H47" i="46"/>
  <c r="AD12" i="46"/>
  <c r="AH12" i="46"/>
  <c r="N106" i="46"/>
  <c r="C23" i="46"/>
  <c r="C7" i="46"/>
  <c r="G20" i="46"/>
  <c r="E41" i="46"/>
  <c r="C41" i="46" s="1"/>
  <c r="L48" i="44"/>
  <c r="J6" i="65"/>
  <c r="F45" i="44"/>
  <c r="B8" i="67"/>
  <c r="E9" i="67"/>
  <c r="J4" i="65"/>
  <c r="J17" i="44"/>
  <c r="I7" i="65"/>
  <c r="B11" i="67"/>
  <c r="M23" i="44"/>
  <c r="M8" i="44"/>
  <c r="F38" i="44"/>
  <c r="F8" i="67"/>
  <c r="E11" i="67"/>
  <c r="M28" i="44"/>
  <c r="B13" i="67"/>
  <c r="B12" i="67"/>
  <c r="N5" i="65"/>
  <c r="E12" i="67"/>
  <c r="F14" i="67"/>
  <c r="N6" i="65"/>
  <c r="F12" i="67"/>
  <c r="F10" i="67"/>
  <c r="J3" i="65"/>
  <c r="B9" i="67"/>
  <c r="I4" i="65"/>
  <c r="I6" i="65"/>
  <c r="F11" i="67"/>
  <c r="F46" i="44"/>
  <c r="N7" i="65"/>
  <c r="L48" i="71"/>
  <c r="E14" i="67"/>
  <c r="N4" i="65"/>
  <c r="F13" i="67"/>
  <c r="B14" i="67"/>
  <c r="M26" i="44"/>
  <c r="F9" i="67"/>
  <c r="E10" i="67"/>
  <c r="J5" i="65"/>
  <c r="E8" i="67"/>
  <c r="N3" i="65"/>
  <c r="E13" i="67"/>
  <c r="B10" i="67"/>
  <c r="H17" i="39" l="1"/>
  <c r="U17" i="39" s="1"/>
  <c r="J17" i="39"/>
  <c r="W17" i="39" s="1"/>
  <c r="G97" i="39"/>
  <c r="H23" i="39"/>
  <c r="AB23" i="39" s="1"/>
  <c r="F23" i="39"/>
  <c r="AA23" i="39" s="1"/>
  <c r="G99" i="39"/>
  <c r="J25" i="39"/>
  <c r="AC25" i="39" s="1"/>
  <c r="H25" i="39"/>
  <c r="U25" i="39" s="1"/>
  <c r="F25" i="39"/>
  <c r="AA25" i="39" s="1"/>
  <c r="F101" i="39"/>
  <c r="G101" i="39" s="1"/>
  <c r="F27" i="39"/>
  <c r="AA27" i="39" s="1"/>
  <c r="J27" i="39"/>
  <c r="AC27" i="39" s="1"/>
  <c r="H27" i="39"/>
  <c r="AB27" i="39" s="1"/>
  <c r="G103" i="39"/>
  <c r="H113" i="2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K105" i="46"/>
  <c r="AH11" i="46"/>
  <c r="AH13" i="46" s="1"/>
  <c r="L101" i="46"/>
  <c r="L106" i="46" s="1"/>
  <c r="AD11" i="46"/>
  <c r="AD13" i="46" s="1"/>
  <c r="G22" i="46"/>
  <c r="G103" i="46"/>
  <c r="K106" i="46"/>
  <c r="I103" i="46"/>
  <c r="G109" i="46"/>
  <c r="E107" i="46"/>
  <c r="K103" i="46"/>
  <c r="I104" i="46"/>
  <c r="G105" i="46"/>
  <c r="I107"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B115" i="46"/>
  <c r="C115" i="46" s="1"/>
  <c r="E106" i="46"/>
  <c r="N107"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I115" i="46"/>
  <c r="J115" i="46" s="1"/>
  <c r="K115" i="46" s="1"/>
  <c r="L115" i="46" s="1"/>
  <c r="M115" i="46"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G118" i="46"/>
  <c r="H118" i="46" s="1"/>
  <c r="D117" i="46"/>
  <c r="E117" i="46" s="1"/>
  <c r="F117" i="46" s="1"/>
  <c r="G117" i="46" s="1"/>
  <c r="H117" i="46" s="1"/>
  <c r="I118" i="46"/>
  <c r="J118" i="46" s="1"/>
  <c r="K118" i="46" s="1"/>
  <c r="L118" i="46" s="1"/>
  <c r="M118" i="46" s="1"/>
  <c r="L109" i="46"/>
  <c r="E102" i="46"/>
  <c r="E105" i="46"/>
  <c r="K104" i="46"/>
  <c r="K102" i="46"/>
  <c r="I105" i="46"/>
  <c r="N103" i="46"/>
  <c r="N109" i="46"/>
  <c r="N104"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H106" i="46"/>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F42" i="15"/>
  <c r="F28" i="44"/>
  <c r="M27" i="15"/>
  <c r="M30" i="44"/>
  <c r="L49" i="44"/>
  <c r="F39" i="44"/>
  <c r="M23" i="71"/>
  <c r="F11" i="44"/>
  <c r="F9" i="71"/>
  <c r="F26" i="71"/>
  <c r="M6" i="15"/>
  <c r="F43" i="71"/>
  <c r="F40" i="44"/>
  <c r="F37" i="71"/>
  <c r="M31" i="44"/>
  <c r="M24" i="71"/>
  <c r="M22" i="71"/>
  <c r="M24" i="44"/>
  <c r="F8" i="71"/>
  <c r="L47" i="15"/>
  <c r="F37" i="44"/>
  <c r="F9" i="44"/>
  <c r="J15" i="15"/>
  <c r="F7" i="71"/>
  <c r="F38" i="71"/>
  <c r="M28" i="15"/>
  <c r="F26" i="15"/>
  <c r="J36" i="15"/>
  <c r="F40" i="15"/>
  <c r="F8" i="15"/>
  <c r="F42" i="71"/>
  <c r="F9" i="15"/>
  <c r="M10" i="44"/>
  <c r="F18" i="44"/>
  <c r="M9" i="71"/>
  <c r="M22" i="15"/>
  <c r="F7" i="15"/>
  <c r="J15" i="71"/>
  <c r="F10" i="44"/>
  <c r="M6" i="71"/>
  <c r="E3" i="65"/>
  <c r="F37" i="15"/>
  <c r="F43" i="44"/>
  <c r="F6" i="71"/>
  <c r="M29" i="71"/>
  <c r="F16" i="71"/>
  <c r="M24" i="15"/>
  <c r="I5" i="65"/>
  <c r="M26" i="71"/>
  <c r="F8" i="44"/>
  <c r="M8" i="71"/>
  <c r="F36" i="71"/>
  <c r="M28" i="71"/>
  <c r="F16" i="15"/>
  <c r="F13" i="71"/>
  <c r="M9" i="15"/>
  <c r="J36" i="71"/>
  <c r="F36" i="15"/>
  <c r="M29" i="44"/>
  <c r="F13" i="15"/>
  <c r="F40" i="71"/>
  <c r="F43" i="15"/>
  <c r="J7" i="65"/>
  <c r="M29" i="15"/>
  <c r="M25" i="44"/>
  <c r="F15" i="44"/>
  <c r="M11" i="44"/>
  <c r="F38" i="15"/>
  <c r="M23" i="15"/>
  <c r="I3" i="65"/>
  <c r="F6" i="15"/>
  <c r="M8" i="15"/>
  <c r="L47" i="71"/>
  <c r="M27" i="71"/>
  <c r="M26" i="15"/>
  <c r="L48" i="15"/>
  <c r="E2" i="65"/>
  <c r="C19" i="44"/>
  <c r="W29" i="39" l="1"/>
  <c r="L104" i="46"/>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B40" i="1"/>
  <c r="F24" i="71"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AE9" i="1"/>
  <c r="C18" i="44"/>
  <c r="C16" i="71"/>
  <c r="C16" i="15"/>
  <c r="AC19" i="33" l="1"/>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24" i="71"/>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15"/>
  <c r="C17" i="71"/>
  <c r="F7" i="67"/>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13"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B7" i="67"/>
  <c r="E7" i="67"/>
  <c r="C48" i="33" l="1"/>
  <c r="T12" i="1"/>
  <c r="T6" i="1"/>
  <c r="T8" i="1"/>
  <c r="T9" i="1"/>
  <c r="R49" i="21"/>
  <c r="C48" i="21" s="1"/>
  <c r="G53" i="21"/>
  <c r="H53" i="21" s="1"/>
  <c r="T10" i="1"/>
  <c r="T11" i="1"/>
  <c r="E48" i="70"/>
  <c r="I53" i="70" s="1"/>
  <c r="J53" i="70" s="1"/>
  <c r="R49" i="70"/>
  <c r="T7" i="1"/>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C16" i="44"/>
  <c r="C14" i="71"/>
  <c r="M21" i="15"/>
  <c r="F35" i="71"/>
  <c r="M21" i="71"/>
  <c r="C14" i="15"/>
  <c r="F35" i="15"/>
  <c r="C49" i="21" l="1"/>
  <c r="B3" i="21" s="1"/>
  <c r="B2" i="21" s="1"/>
  <c r="C10" i="12" s="1"/>
  <c r="C15" i="71"/>
  <c r="C18" i="71"/>
  <c r="C15" i="15"/>
  <c r="C18" i="15"/>
  <c r="T16" i="1"/>
  <c r="D31" i="6"/>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I6"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19" i="9"/>
  <c r="D21"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F41" i="71"/>
  <c r="AE8" i="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G22" i="9" s="1"/>
  <c r="B5" i="12"/>
  <c r="B3" i="12"/>
  <c r="B4" i="12"/>
  <c r="C21" i="9"/>
  <c r="C20" i="9"/>
  <c r="D28" i="9" l="1"/>
  <c r="D27" i="9"/>
  <c r="D30" i="9" s="1"/>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<sst xmlns="http://schemas.openxmlformats.org/spreadsheetml/2006/main" count="8142" uniqueCount="3171">
  <si>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</si>
  <si>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</si>
  <si>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</si>
  <si>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</si>
  <si>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</si>
  <si>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</si>
  <si>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</si>
  <si>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</si>
  <si>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</si>
  <si>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</si>
  <si>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</si>
  <si>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</si>
  <si>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</si>
  <si>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</si>
  <si>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</si>
  <si>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</si>
  <si>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</si>
  <si>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</si>
  <si>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</si>
  <si>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</si>
  <si>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</si>
  <si>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</si>
  <si>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</si>
  <si>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</si>
  <si>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</si>
  <si>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</si>
  <si>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</si>
  <si>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</si>
  <si>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</si>
  <si>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</si>
  <si>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</si>
  <si>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</si>
  <si>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</si>
  <si>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</si>
  <si>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</si>
  <si>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</si>
  <si>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</si>
  <si>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</si>
  <si>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</si>
  <si>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</si>
  <si>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</si>
  <si>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</si>
  <si>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</si>
  <si>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</si>
  <si>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</si>
  <si>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</si>
  <si>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</si>
  <si>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</si>
  <si>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</si>
  <si>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</si>
  <si>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</si>
  <si>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</si>
  <si>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</si>
  <si>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</si>
  <si>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</si>
  <si>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</si>
  <si>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</si>
  <si>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</si>
  <si>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</si>
  <si>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</si>
  <si>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</si>
  <si>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</si>
  <si>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</si>
  <si>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</si>
  <si>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</si>
  <si>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</si>
  <si>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</si>
  <si>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</si>
  <si>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</si>
  <si>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</si>
  <si>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</si>
  <si>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</si>
  <si>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</si>
  <si>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</si>
  <si>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</si>
  <si>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</si>
  <si>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</si>
  <si>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</si>
  <si>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</si>
  <si>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</si>
  <si>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</si>
  <si>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</si>
  <si>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</si>
  <si>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</si>
  <si>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</si>
  <si>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</si>
  <si>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</si>
  <si>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</si>
  <si>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</si>
  <si>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</si>
  <si>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</si>
  <si>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</si>
  <si>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</si>
  <si>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</si>
  <si>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</si>
  <si>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</si>
  <si>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</si>
  <si>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</si>
  <si>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</si>
  <si>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</si>
  <si>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</si>
  <si>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</si>
  <si>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</si>
  <si>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</si>
  <si>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</si>
  <si>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</si>
  <si>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</si>
  <si>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</si>
  <si>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</si>
  <si>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</si>
  <si>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</si>
  <si>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</si>
  <si>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</si>
  <si>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</si>
  <si>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</si>
  <si>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</si>
  <si>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</si>
  <si>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</si>
  <si>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</si>
  <si>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</si>
  <si>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</si>
  <si>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</si>
  <si>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</si>
  <si>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</si>
  <si>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</si>
  <si>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</si>
  <si>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</si>
  <si>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</si>
  <si>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</si>
  <si>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</si>
  <si>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</si>
  <si>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</si>
  <si>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</si>
  <si>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</si>
  <si>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</si>
  <si>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</si>
  <si>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</si>
  <si>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</si>
  <si>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</si>
  <si>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</si>
  <si>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</si>
  <si>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</si>
  <si>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</si>
  <si>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</si>
  <si>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</si>
  <si>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</si>
  <si>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</si>
  <si>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</si>
  <si>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</si>
  <si>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</si>
  <si>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</si>
  <si>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</si>
  <si>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</si>
  <si>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</si>
  <si>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</si>
  <si>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</si>
  <si>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</si>
  <si>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</si>
  <si>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</si>
  <si>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</si>
  <si>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</si>
  <si>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</si>
  <si>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</si>
  <si>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</si>
  <si>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</si>
  <si>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</si>
  <si>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</si>
  <si>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</si>
  <si>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</si>
  <si>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</si>
  <si>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</si>
  <si>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</si>
  <si>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</si>
  <si>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</si>
  <si>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</si>
  <si>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</si>
  <si>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</si>
  <si>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</si>
  <si>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</si>
  <si>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</si>
  <si>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</si>
  <si>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</si>
  <si>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</si>
  <si>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</si>
  <si>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</si>
  <si>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</si>
  <si>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</si>
  <si>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</si>
  <si>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</si>
  <si>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</si>
  <si>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</si>
  <si>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</si>
  <si>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</si>
  <si>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</si>
  <si>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</si>
  <si>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</si>
  <si>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</si>
  <si>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</si>
  <si>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</si>
  <si>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</si>
  <si>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</si>
  <si>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</si>
  <si>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</si>
  <si>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</si>
  <si>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</si>
  <si>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</si>
  <si>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</si>
  <si>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</si>
  <si>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</si>
  <si>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</si>
  <si>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</si>
  <si>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</si>
  <si>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</si>
  <si>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</si>
  <si>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</si>
  <si>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</si>
  <si>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</si>
  <si>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</si>
  <si>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</si>
  <si>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</si>
  <si>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</si>
  <si>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</si>
  <si>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</si>
  <si>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</si>
  <si>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</si>
  <si>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</si>
  <si>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</si>
  <si>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</si>
  <si>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</si>
  <si>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</si>
  <si>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</si>
  <si>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</si>
  <si>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</si>
  <si>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</si>
  <si>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</si>
  <si>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</si>
  <si>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</si>
  <si>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</si>
  <si>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</si>
  <si>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</si>
  <si>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</si>
  <si>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</si>
  <si>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</si>
  <si>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</si>
  <si>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</si>
  <si>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</si>
  <si>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</si>
  <si>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</si>
  <si>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</si>
  <si>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</si>
  <si>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</si>
  <si>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</si>
  <si>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</si>
  <si>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</si>
  <si>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</si>
  <si>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</si>
  <si>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</si>
  <si>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</si>
  <si>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</si>
  <si>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</si>
  <si>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</si>
  <si>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</si>
  <si>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</si>
  <si>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</si>
  <si>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</si>
  <si>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</si>
  <si>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</si>
  <si>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</si>
  <si>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</si>
  <si>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</si>
  <si>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</si>
  <si>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</si>
  <si>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</si>
  <si>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</si>
  <si>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</si>
  <si>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</si>
  <si>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</si>
  <si>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</si>
  <si>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</si>
  <si>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</si>
  <si>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</si>
  <si>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</si>
  <si>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</si>
  <si>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</si>
  <si>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</si>
  <si>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</si>
  <si>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</si>
  <si>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</si>
  <si>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</si>
  <si>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</si>
  <si>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</si>
  <si>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</si>
  <si>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</si>
  <si>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</si>
  <si>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</si>
  <si>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</si>
  <si>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</si>
  <si>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</si>
  <si>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</si>
  <si>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</si>
  <si>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</si>
  <si>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</si>
  <si>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</si>
  <si>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</si>
  <si>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</si>
  <si>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</si>
  <si>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</si>
  <si>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</si>
  <si>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</si>
  <si>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</si>
  <si>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</si>
  <si>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</si>
  <si>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</si>
  <si>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</si>
  <si>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</si>
  <si>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</si>
  <si>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</si>
  <si>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</si>
  <si>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</si>
  <si>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</si>
  <si>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</si>
  <si>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</si>
  <si>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</si>
  <si>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</si>
  <si>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</si>
  <si>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</si>
  <si>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</si>
  <si>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</si>
  <si>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</si>
  <si>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</si>
  <si>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</si>
  <si>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</si>
  <si>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</si>
  <si>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</si>
  <si>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</si>
  <si>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</si>
  <si>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</si>
  <si>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</si>
  <si>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</si>
  <si>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</si>
  <si>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</si>
  <si>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</si>
  <si>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</si>
  <si>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</si>
  <si>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</si>
  <si>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</si>
  <si>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</si>
  <si>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</si>
  <si>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</si>
  <si>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</si>
  <si>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</si>
  <si>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</si>
  <si>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</si>
  <si>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</si>
  <si>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</si>
  <si>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</si>
  <si>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</si>
  <si>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</si>
  <si>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</si>
  <si>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</si>
  <si>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</si>
  <si>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</si>
  <si>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</si>
  <si>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</si>
  <si>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</si>
  <si>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</si>
  <si>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</si>
  <si>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</si>
  <si>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</si>
  <si>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</si>
  <si>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</si>
  <si>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</si>
  <si>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</si>
  <si>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</si>
  <si>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</si>
  <si>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</si>
  <si>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</si>
  <si>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</si>
  <si>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</si>
  <si>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</si>
  <si>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</si>
  <si>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</si>
  <si>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</si>
  <si>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</si>
  <si>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</si>
  <si>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</si>
  <si>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</si>
  <si>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</si>
  <si>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</si>
  <si>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</si>
  <si>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</si>
  <si>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</si>
  <si>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</si>
  <si>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</si>
  <si>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</si>
  <si>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</si>
  <si>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</si>
  <si>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</si>
  <si>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</si>
  <si>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</si>
  <si>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</si>
  <si>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</si>
  <si>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</si>
  <si>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</si>
  <si>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</si>
  <si>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</si>
  <si>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</si>
  <si>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</si>
  <si>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</si>
  <si>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</si>
  <si>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</si>
  <si>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</si>
  <si>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</si>
  <si>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</si>
  <si>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</si>
  <si>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</si>
  <si>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</si>
  <si>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</si>
  <si>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</si>
  <si>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</si>
  <si>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</si>
  <si>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</si>
  <si>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</si>
  <si>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</si>
  <si>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</si>
  <si>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</si>
  <si>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</si>
  <si>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</si>
  <si>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</si>
  <si>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</si>
  <si>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</si>
  <si>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</si>
  <si>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</si>
  <si>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</si>
  <si>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</si>
  <si>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</si>
  <si>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</si>
  <si>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</si>
  <si>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</si>
  <si>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</si>
  <si>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</si>
  <si>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</si>
  <si>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</si>
  <si>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</si>
  <si>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</si>
  <si>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</si>
  <si>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</si>
  <si>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</si>
  <si>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</si>
  <si>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</si>
  <si>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</si>
  <si>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</si>
  <si>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</si>
  <si>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</si>
  <si>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</si>
  <si>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</si>
  <si>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</si>
  <si>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</si>
  <si>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</si>
  <si>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</si>
  <si>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</si>
  <si>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</si>
  <si>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</si>
  <si>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</si>
  <si>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</si>
  <si>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</si>
  <si>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</si>
  <si>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</si>
  <si>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</si>
  <si>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</si>
  <si>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</si>
  <si>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</si>
  <si>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</si>
  <si>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</si>
  <si>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</si>
  <si>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</si>
  <si>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</si>
  <si>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</si>
  <si>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</si>
  <si>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</si>
  <si>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</si>
  <si>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</si>
  <si>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</si>
  <si>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</si>
  <si>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</si>
  <si>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</si>
  <si>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</si>
  <si>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</si>
  <si>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</si>
  <si>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</si>
  <si>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</si>
  <si>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</si>
  <si>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</si>
  <si>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</si>
  <si>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</si>
  <si>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</si>
  <si>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</si>
  <si>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</si>
  <si>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</si>
  <si>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</si>
  <si>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</si>
  <si>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</si>
  <si>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</si>
  <si>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</si>
  <si>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</si>
  <si>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</si>
  <si>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</si>
  <si>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</si>
  <si>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</si>
  <si>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</si>
  <si>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</si>
  <si>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</si>
  <si>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</si>
  <si>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</si>
  <si>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</si>
  <si>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</si>
  <si>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</si>
  <si>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</si>
  <si>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</si>
  <si>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</si>
  <si>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</si>
  <si>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</si>
  <si>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</si>
  <si>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</si>
  <si>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</si>
  <si>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</si>
  <si>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</si>
  <si>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</si>
  <si>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</si>
  <si>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</si>
  <si>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</si>
  <si>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</si>
  <si>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</si>
  <si>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</si>
  <si>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</si>
  <si>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</si>
  <si>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</si>
  <si>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</si>
  <si>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</si>
  <si>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</si>
  <si>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</si>
  <si>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</si>
  <si>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</si>
  <si>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</si>
  <si>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</si>
  <si>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</si>
  <si>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</si>
  <si>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</si>
  <si>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</si>
  <si>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</si>
  <si>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</si>
  <si>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</si>
  <si>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</si>
  <si>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</si>
  <si>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</si>
  <si>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</si>
  <si>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</si>
  <si>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</si>
  <si>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</si>
  <si>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</si>
  <si>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</si>
  <si>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</si>
  <si>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</si>
  <si>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</si>
  <si>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</si>
  <si>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</si>
  <si>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</si>
  <si>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</si>
  <si>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</si>
  <si>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</si>
  <si>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</si>
  <si>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</si>
  <si>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</si>
  <si>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</si>
  <si>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</si>
  <si>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</si>
  <si>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</si>
  <si>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</si>
  <si>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</si>
  <si>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</si>
  <si>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</si>
  <si>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</si>
  <si>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</si>
  <si>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</si>
  <si>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</si>
  <si>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</si>
  <si>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</si>
  <si>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</si>
  <si>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</si>
  <si>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</si>
  <si>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</si>
  <si>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</si>
  <si>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</si>
  <si>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</si>
  <si>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</si>
  <si>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</si>
  <si>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</si>
  <si>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</si>
  <si>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</si>
  <si>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</si>
  <si>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</si>
  <si>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</si>
  <si>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</si>
  <si>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</si>
  <si>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</si>
  <si>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</si>
  <si>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</si>
  <si>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</si>
  <si>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</si>
  <si>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</si>
  <si>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</si>
  <si>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</si>
  <si>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</si>
  <si>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</si>
  <si>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</si>
  <si>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</si>
  <si>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</si>
  <si>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</si>
  <si>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</si>
  <si>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</si>
  <si>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</si>
  <si>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</si>
  <si>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</si>
  <si>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</si>
  <si>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</si>
  <si>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</si>
  <si>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</si>
  <si>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</si>
  <si>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</si>
  <si>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</si>
  <si>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</si>
  <si>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</si>
  <si>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</si>
  <si>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</si>
  <si>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</si>
  <si>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</si>
  <si>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</si>
  <si>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</si>
  <si>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</si>
  <si>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</si>
  <si>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</si>
  <si>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</si>
  <si>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</si>
  <si>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</si>
  <si>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</si>
  <si>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</si>
  <si>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</si>
  <si>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</si>
  <si>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</si>
  <si>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</si>
  <si>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</si>
  <si>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</si>
  <si>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</si>
  <si>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</si>
  <si>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</si>
  <si>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</si>
  <si>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</si>
  <si>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</si>
  <si>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</si>
  <si>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</si>
  <si>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</si>
  <si>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</si>
  <si>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</si>
  <si>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</si>
  <si>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</si>
  <si>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</si>
  <si>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</si>
  <si>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</si>
  <si>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</si>
  <si>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</si>
  <si>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</si>
  <si>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</si>
  <si>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</si>
  <si>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</si>
  <si>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</si>
  <si>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</si>
  <si>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</si>
  <si>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</si>
  <si>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</si>
  <si>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</si>
  <si>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</si>
  <si>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</si>
  <si>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</si>
  <si>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</si>
  <si>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</si>
  <si>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</si>
  <si>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</si>
  <si>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</si>
  <si>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</si>
  <si>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</si>
  <si>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</si>
  <si>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</si>
  <si>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</si>
  <si>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</si>
  <si>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</si>
  <si>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</si>
  <si>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</si>
  <si>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</si>
  <si>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</si>
  <si>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</si>
  <si>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</si>
  <si>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</si>
  <si>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</si>
  <si>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</si>
  <si>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</si>
  <si>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</si>
  <si>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</si>
  <si>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</si>
  <si>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</si>
  <si>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</si>
  <si>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</si>
  <si>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</si>
  <si>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</si>
  <si>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</si>
  <si>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</si>
  <si>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</si>
  <si>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</si>
  <si>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</si>
  <si>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</si>
  <si>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</si>
  <si>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</si>
  <si>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</si>
  <si>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</si>
  <si>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</si>
  <si>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</si>
  <si>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</si>
  <si>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</si>
  <si>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</si>
  <si>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</si>
  <si>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</si>
  <si>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</si>
  <si>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</si>
  <si>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</si>
  <si>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</si>
  <si>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</si>
  <si>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</si>
  <si>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</si>
  <si>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</si>
  <si>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</si>
  <si>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</si>
  <si>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</si>
  <si>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</si>
  <si>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</si>
  <si>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</si>
  <si>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</si>
  <si>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</si>
  <si>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</si>
  <si>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</si>
  <si>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</si>
  <si>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</si>
  <si>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</si>
  <si>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</si>
  <si>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</si>
  <si>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</si>
  <si>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</si>
  <si>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</si>
  <si>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</si>
  <si>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</si>
  <si>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</si>
  <si>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</si>
  <si>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</si>
  <si>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</si>
  <si>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</si>
  <si>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</si>
  <si>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</si>
  <si>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</si>
  <si>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</si>
  <si>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</si>
  <si>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</si>
  <si>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</si>
  <si>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</si>
  <si>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</si>
  <si>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</si>
  <si>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</si>
  <si>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</si>
  <si>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</si>
  <si>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</si>
  <si>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</si>
  <si>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</si>
  <si>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</si>
  <si>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</si>
  <si>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</si>
  <si>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</si>
  <si>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</si>
  <si>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</si>
  <si>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</si>
  <si>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</si>
  <si>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</si>
  <si>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</si>
  <si>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</si>
  <si>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</si>
  <si>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</si>
  <si>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</si>
  <si>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</si>
  <si>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</si>
  <si>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</si>
  <si>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</si>
  <si>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</si>
  <si>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</si>
  <si>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</si>
  <si>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</si>
  <si>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</si>
  <si>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</si>
  <si>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</si>
  <si>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</si>
  <si>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</si>
  <si>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</si>
  <si>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</si>
  <si>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</si>
  <si>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</si>
  <si>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</si>
  <si>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</si>
  <si>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</si>
  <si>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</si>
  <si>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</si>
  <si>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</si>
  <si>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</si>
  <si>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</si>
  <si>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</si>
  <si>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</si>
  <si>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</si>
  <si>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</si>
  <si>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</si>
  <si>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</si>
  <si>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</si>
  <si>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</si>
  <si>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</si>
  <si>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</si>
  <si>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</si>
  <si>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</si>
  <si>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</si>
  <si>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</si>
  <si>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</si>
  <si>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</si>
  <si>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</si>
  <si>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</si>
  <si>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</si>
  <si>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</si>
  <si>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</si>
  <si>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</si>
  <si>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</si>
  <si>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</si>
  <si>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</si>
  <si>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</si>
  <si>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</si>
  <si>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</si>
  <si>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</si>
  <si>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</si>
  <si>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</si>
  <si>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</si>
  <si>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</si>
  <si>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</si>
  <si>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</si>
  <si>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</si>
  <si>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</si>
  <si>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</si>
  <si>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</si>
  <si>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</si>
  <si>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</si>
  <si>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</si>
  <si>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</si>
  <si>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</si>
  <si>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</si>
  <si>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</si>
  <si>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</si>
  <si>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</si>
  <si>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</si>
  <si>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</si>
  <si>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</si>
  <si>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</si>
  <si>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</si>
  <si>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</si>
  <si>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</si>
  <si>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</si>
  <si>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</si>
  <si>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</si>
  <si>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</si>
  <si>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</si>
  <si>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</si>
  <si>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</si>
  <si>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</si>
  <si>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</si>
  <si>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</si>
  <si>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</si>
  <si>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</si>
  <si>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</si>
  <si>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</si>
  <si>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</si>
  <si>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</si>
  <si>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</si>
  <si>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</si>
  <si>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</si>
  <si>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</si>
  <si>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</si>
  <si>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</si>
  <si>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</si>
  <si>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</si>
  <si>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</si>
  <si>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</si>
  <si>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</si>
  <si>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</si>
  <si>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</si>
  <si>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</si>
  <si>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</si>
  <si>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</si>
  <si>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</si>
  <si>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</si>
  <si>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</si>
  <si>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</si>
  <si>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</si>
  <si>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</si>
  <si>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</si>
  <si>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</si>
  <si>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</si>
  <si>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</si>
  <si>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</si>
  <si>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</si>
  <si>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</si>
  <si>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</si>
  <si>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</si>
  <si>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</si>
  <si>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</si>
  <si>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</si>
  <si>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</si>
  <si>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</si>
  <si>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</si>
  <si>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</si>
  <si>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</si>
  <si>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</si>
  <si>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</si>
  <si>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</si>
  <si>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</si>
  <si>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</si>
  <si>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</si>
  <si>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</si>
  <si>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</si>
  <si>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</si>
  <si>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</si>
  <si>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</si>
  <si>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</si>
  <si>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</si>
  <si>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</si>
  <si>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</si>
  <si>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</si>
  <si>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</si>
  <si>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</si>
  <si>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</si>
  <si>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</si>
  <si>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</si>
  <si>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</si>
  <si>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</si>
  <si>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</si>
  <si>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</si>
  <si>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</si>
  <si>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</si>
  <si>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</si>
  <si>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</si>
  <si>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</si>
  <si>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</si>
  <si>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</si>
  <si>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</si>
  <si>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</si>
  <si>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</si>
  <si>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</si>
  <si>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</si>
  <si>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</si>
  <si>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</si>
  <si>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</si>
  <si>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</si>
  <si>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</si>
  <si>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</si>
  <si>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</si>
  <si>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</si>
  <si>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</si>
  <si>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</si>
  <si>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</si>
  <si>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</si>
  <si>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</si>
  <si>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</si>
  <si>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</si>
  <si>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</si>
  <si>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</si>
  <si>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</si>
  <si>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</si>
  <si>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</si>
  <si>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</si>
  <si>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</si>
  <si>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</si>
  <si>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</si>
  <si>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</si>
  <si>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</si>
  <si>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</si>
  <si>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</si>
  <si>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</si>
  <si>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</si>
  <si>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</si>
  <si>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</si>
  <si>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</si>
  <si>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</si>
  <si>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</si>
  <si>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</si>
  <si>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</si>
  <si>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</si>
  <si>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</si>
  <si>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</si>
  <si>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</si>
  <si>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</si>
  <si>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</si>
  <si>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</si>
  <si>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</si>
  <si>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</si>
  <si>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</si>
  <si>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</si>
  <si>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</si>
  <si>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</si>
  <si>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</si>
  <si>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</si>
  <si>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</si>
  <si>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</si>
  <si>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</si>
  <si>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</si>
  <si>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</si>
  <si>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</si>
  <si>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</si>
  <si>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</si>
  <si>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</si>
  <si>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</si>
  <si>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</si>
  <si>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</si>
  <si>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</si>
  <si>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</si>
  <si>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</si>
  <si>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</si>
  <si>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</si>
  <si>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</si>
  <si>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</si>
  <si>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</si>
  <si>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</si>
  <si>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</si>
  <si>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</si>
  <si>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</si>
  <si>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</si>
  <si>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</si>
  <si>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</si>
  <si>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</si>
  <si>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</si>
  <si>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</si>
  <si>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</si>
  <si>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</si>
  <si>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</si>
  <si>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</si>
  <si>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</si>
  <si>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</si>
  <si>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</si>
  <si>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</si>
  <si>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</si>
  <si>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</si>
  <si>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</si>
  <si>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</si>
  <si>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</si>
  <si>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</si>
  <si>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</si>
  <si>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</si>
  <si>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</si>
  <si>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</si>
  <si>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</si>
  <si>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</si>
  <si>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</si>
  <si>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</si>
  <si>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</si>
  <si>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</si>
  <si>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</si>
  <si>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</si>
  <si>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</si>
  <si>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</si>
  <si>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</si>
  <si>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</si>
  <si>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</si>
  <si>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</si>
  <si>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</si>
  <si>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</si>
  <si>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</si>
  <si>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</si>
  <si>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</si>
  <si>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</si>
  <si>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</si>
  <si>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</si>
  <si>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</si>
  <si>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</si>
  <si>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</si>
  <si>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</si>
  <si>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</si>
  <si>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</si>
  <si>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</si>
  <si>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</si>
  <si>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</si>
  <si>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</si>
  <si>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</si>
  <si>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</si>
  <si>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</si>
  <si>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</si>
  <si>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</si>
  <si>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</si>
  <si>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</si>
  <si>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</si>
  <si>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</si>
  <si>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</si>
  <si>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</si>
  <si>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</si>
  <si>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</si>
  <si>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</si>
  <si>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</si>
  <si>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</si>
  <si>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</si>
  <si>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</si>
  <si>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</si>
  <si>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</si>
  <si>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</si>
  <si>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</si>
  <si>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</si>
  <si>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</si>
  <si>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</si>
  <si>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</si>
  <si>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</si>
  <si>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</si>
  <si>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</si>
  <si>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</si>
  <si>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</si>
  <si>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</si>
  <si>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</si>
  <si>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</si>
  <si>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</si>
  <si>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</si>
  <si>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</si>
  <si>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</si>
  <si>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</si>
  <si>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</si>
  <si>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</si>
  <si>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</si>
  <si>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</si>
  <si>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</si>
  <si>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</si>
  <si>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</si>
  <si>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</si>
  <si>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</si>
  <si>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</si>
  <si>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</si>
  <si>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</si>
  <si>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</si>
  <si>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</si>
  <si>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</si>
  <si>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</si>
  <si>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</si>
  <si>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</si>
  <si>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</si>
  <si>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</si>
  <si>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</si>
  <si>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</si>
  <si>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</si>
  <si>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</si>
  <si>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</si>
  <si>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</si>
  <si>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</si>
  <si>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</si>
  <si>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</si>
  <si>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</si>
  <si>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</si>
  <si>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</si>
  <si>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</si>
  <si>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</si>
  <si>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</si>
  <si>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</si>
  <si>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</si>
  <si>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</si>
  <si>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</si>
  <si>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</si>
  <si>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</si>
  <si>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</si>
  <si>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</si>
  <si>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</si>
  <si>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</si>
  <si>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</si>
  <si>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</si>
  <si>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</si>
  <si>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</si>
  <si>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</si>
  <si>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</si>
  <si>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</si>
  <si>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</si>
  <si>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</si>
  <si>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</si>
  <si>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</si>
  <si>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</si>
  <si>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</si>
  <si>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</si>
  <si>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</si>
  <si>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</si>
  <si>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</si>
  <si>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</si>
  <si>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</si>
  <si>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</si>
  <si>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</si>
  <si>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</si>
  <si>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</si>
  <si>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</si>
  <si>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</si>
  <si>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</si>
  <si>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</si>
  <si>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</si>
  <si>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</si>
  <si>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</si>
  <si>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</si>
  <si>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</si>
  <si>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</si>
  <si>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</si>
  <si>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</si>
  <si>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</si>
  <si>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</si>
  <si>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</si>
  <si>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</si>
  <si>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</si>
  <si>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</si>
  <si>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</si>
  <si>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</si>
  <si>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</si>
  <si>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</si>
  <si>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</si>
  <si>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</si>
  <si>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</si>
  <si>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</si>
  <si>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</si>
  <si>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</si>
  <si>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</si>
  <si>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</si>
  <si>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</si>
  <si>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</si>
  <si>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</si>
  <si>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</si>
  <si>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</si>
  <si>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</si>
  <si>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</si>
  <si>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</si>
  <si>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</si>
  <si>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</si>
  <si>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</si>
  <si>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</si>
  <si>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</si>
  <si>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</si>
  <si>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</si>
  <si>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</si>
  <si>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</si>
  <si>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</si>
  <si>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</si>
  <si>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</si>
  <si>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</si>
  <si>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</si>
  <si>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</si>
  <si>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</si>
  <si>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</si>
  <si>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</si>
  <si>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</si>
  <si>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</si>
  <si>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</si>
  <si>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</si>
  <si>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</si>
  <si>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</si>
  <si>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</si>
  <si>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</si>
  <si>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</si>
  <si>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</si>
  <si>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</si>
  <si>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</si>
  <si>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</si>
  <si>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</si>
  <si>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</si>
  <si>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</si>
  <si>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</si>
  <si>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</si>
  <si>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</si>
  <si>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</si>
  <si>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</si>
  <si>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</si>
  <si>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</si>
  <si>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</si>
  <si>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</si>
  <si>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</si>
  <si>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</si>
  <si>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</si>
  <si>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</si>
  <si>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</si>
  <si>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</si>
  <si>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</si>
  <si>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</si>
  <si>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</si>
  <si>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</si>
  <si>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</si>
  <si>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</si>
  <si>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</si>
  <si>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</si>
  <si>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</si>
  <si>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</si>
  <si>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</si>
  <si>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</si>
  <si>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</si>
  <si>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</si>
  <si>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</si>
  <si>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</si>
  <si>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</si>
  <si>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</si>
  <si>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</si>
  <si>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</si>
  <si>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</si>
  <si>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</si>
  <si>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</si>
  <si>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</si>
  <si>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</si>
  <si>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</si>
  <si>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</si>
  <si>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</si>
  <si>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</si>
  <si>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</si>
  <si>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</si>
  <si>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</si>
  <si>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</si>
  <si>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</si>
  <si>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</si>
  <si>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</si>
  <si>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</si>
  <si>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</si>
  <si>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</si>
  <si>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</si>
  <si>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</si>
  <si>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</si>
  <si>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</si>
  <si>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</si>
  <si>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</si>
  <si>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</si>
  <si>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</si>
  <si>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</si>
  <si>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</si>
  <si>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</si>
  <si>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</si>
  <si>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</si>
  <si>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</si>
  <si>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</si>
  <si>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</si>
  <si>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</si>
  <si>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</si>
  <si>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</si>
  <si>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</si>
  <si>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</si>
  <si>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</si>
  <si>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</si>
  <si>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</si>
  <si>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</si>
  <si>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</si>
  <si>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</si>
  <si>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</si>
  <si>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</si>
  <si>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</si>
  <si>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</si>
  <si>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</si>
  <si>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</si>
  <si>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</si>
  <si>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</si>
  <si>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</si>
  <si>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</si>
  <si>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</si>
  <si>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</si>
  <si>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</si>
  <si>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</si>
  <si>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</si>
  <si>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</si>
  <si>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</si>
  <si>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</si>
  <si>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</si>
  <si>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</si>
  <si>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</si>
  <si>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</si>
  <si>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</si>
  <si>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</si>
  <si>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</si>
  <si>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</si>
  <si>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</si>
  <si>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</si>
  <si>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</si>
  <si>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</si>
  <si>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</si>
  <si>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</si>
  <si>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</si>
  <si>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</si>
  <si>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</si>
  <si>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</si>
  <si>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</si>
  <si>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</si>
  <si>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</si>
  <si>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</si>
  <si>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</si>
  <si>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</si>
  <si>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</si>
  <si>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</si>
  <si>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</si>
  <si>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</si>
  <si>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</si>
  <si>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</si>
  <si>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</si>
  <si>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</si>
  <si>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</si>
  <si>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</si>
  <si>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</si>
  <si>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</si>
  <si>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</si>
  <si>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</si>
  <si>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</si>
  <si>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</si>
  <si>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</si>
  <si>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</si>
  <si>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</si>
  <si>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</si>
  <si>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</si>
  <si>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</si>
  <si>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</si>
  <si>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</si>
  <si>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</si>
  <si>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</si>
  <si>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</si>
  <si>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</si>
  <si>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</si>
  <si>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</si>
  <si>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</si>
  <si>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</si>
  <si>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</si>
  <si>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</si>
  <si>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</si>
  <si>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</si>
  <si>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</si>
  <si>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</si>
  <si>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</si>
  <si>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</si>
  <si>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</si>
  <si>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</si>
  <si>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</si>
  <si>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</si>
  <si>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</si>
  <si>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</si>
  <si>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</si>
  <si>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</si>
  <si>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</si>
  <si>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</si>
  <si>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</si>
  <si>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</si>
  <si>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</si>
  <si>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</si>
  <si>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</si>
  <si>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</si>
  <si>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</si>
  <si>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</si>
  <si>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</si>
  <si>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</si>
  <si>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</si>
  <si>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</si>
  <si>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</si>
  <si>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</si>
  <si>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</si>
  <si>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</si>
  <si>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</si>
  <si>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</si>
  <si>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</si>
  <si>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</si>
  <si>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</si>
  <si>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</si>
  <si>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</si>
  <si>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</si>
  <si>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</si>
  <si>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</si>
  <si>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</si>
  <si>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</si>
  <si>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</si>
  <si>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</si>
  <si>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</si>
  <si>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</si>
  <si>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</si>
  <si>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</si>
  <si>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</si>
  <si>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</si>
  <si>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</si>
  <si>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</si>
  <si>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</si>
  <si>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</si>
  <si>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</si>
  <si>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</si>
  <si>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</si>
  <si>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</si>
  <si>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</si>
  <si>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</si>
  <si>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</si>
  <si>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</si>
  <si>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</si>
  <si>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</si>
  <si>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</si>
  <si>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</si>
  <si>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</si>
  <si>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</si>
  <si>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</si>
  <si>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</si>
  <si>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</si>
  <si>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</si>
  <si>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</si>
  <si>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</si>
  <si>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</si>
  <si>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</si>
  <si>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</si>
  <si>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</si>
  <si>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</si>
  <si>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</si>
  <si>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</si>
  <si>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</si>
  <si>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</si>
  <si>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</si>
  <si>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</si>
  <si>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</si>
  <si>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</si>
  <si>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</si>
  <si>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</si>
  <si>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</si>
  <si>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</si>
  <si>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</si>
  <si>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</si>
  <si>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</si>
  <si>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</si>
  <si>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</si>
  <si>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</si>
  <si>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</si>
  <si>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</si>
  <si>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</si>
  <si>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</si>
  <si>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</si>
  <si>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</si>
  <si>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</si>
  <si>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</si>
  <si>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</si>
  <si>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</si>
  <si>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</si>
  <si>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</si>
  <si>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</si>
  <si>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</si>
  <si>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</si>
  <si>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</si>
  <si>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</si>
  <si>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</si>
  <si>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</si>
  <si>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</si>
  <si>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</si>
  <si>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</si>
  <si>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</si>
  <si>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</si>
  <si>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</si>
  <si>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</si>
  <si>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</si>
  <si>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</si>
  <si>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</si>
  <si>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</si>
  <si>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</si>
  <si>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</si>
  <si>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</si>
  <si>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</si>
  <si>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</si>
  <si>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</si>
  <si>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</si>
  <si>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</si>
  <si>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</si>
  <si>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</si>
  <si>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</si>
  <si>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</si>
  <si>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</si>
  <si>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</si>
  <si>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</si>
  <si>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</si>
  <si>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</si>
  <si>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</si>
  <si>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</si>
  <si>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</si>
  <si>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</si>
  <si>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</si>
  <si>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</si>
  <si>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</si>
  <si>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</si>
  <si>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</si>
  <si>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</si>
  <si>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</si>
  <si>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</si>
  <si>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</si>
  <si>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</si>
  <si>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</si>
  <si>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</si>
  <si>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</si>
  <si>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</si>
  <si>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</si>
  <si>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</si>
  <si>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</si>
  <si>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</si>
  <si>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</si>
  <si>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</si>
  <si>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</si>
  <si>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</si>
  <si>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</si>
  <si>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</si>
  <si>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</si>
  <si>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</si>
  <si>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</si>
  <si>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</si>
  <si>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</si>
  <si>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</si>
  <si>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</si>
  <si>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</si>
  <si>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</si>
  <si>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</si>
  <si>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</si>
  <si>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</si>
  <si>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</si>
  <si>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</si>
  <si>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</si>
  <si>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</si>
  <si>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</si>
  <si>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</si>
  <si>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</si>
  <si>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</si>
  <si>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</si>
  <si>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</si>
  <si>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</si>
  <si>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</si>
  <si>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</si>
  <si>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</si>
  <si>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</si>
  <si>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</si>
  <si>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</si>
  <si>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</si>
  <si>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</si>
  <si>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</si>
  <si>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</si>
  <si>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</si>
  <si>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</si>
  <si>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</si>
  <si>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</si>
  <si>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</si>
  <si>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</si>
  <si>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</si>
  <si>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</si>
  <si>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</si>
  <si>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</si>
  <si>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</si>
  <si>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</si>
  <si>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</si>
  <si>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</si>
  <si>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</si>
  <si>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</si>
  <si>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</si>
  <si>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</si>
  <si>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</si>
  <si>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</si>
  <si>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</si>
  <si>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</si>
  <si>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</si>
  <si>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</si>
  <si>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</si>
  <si>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</si>
  <si>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</si>
  <si>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</si>
  <si>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</si>
  <si>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</si>
  <si>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</si>
  <si>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</si>
  <si>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</si>
  <si>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</si>
  <si>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</si>
  <si>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</si>
  <si>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</si>
  <si>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</si>
  <si>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</si>
  <si>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</si>
  <si>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</si>
  <si>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</si>
  <si>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</si>
  <si>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</si>
  <si>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</si>
  <si>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</si>
  <si>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</si>
  <si>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</si>
  <si>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</si>
  <si>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</si>
  <si>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</si>
  <si>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</si>
  <si>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</si>
  <si>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</si>
  <si>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</si>
  <si>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</si>
  <si>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</si>
  <si>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</si>
  <si>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</si>
  <si>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</si>
  <si>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</si>
  <si>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</si>
  <si>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</si>
  <si>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</si>
  <si>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</si>
  <si>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</si>
  <si>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</si>
  <si>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</si>
  <si>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</si>
  <si>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</si>
  <si>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</si>
  <si>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</si>
  <si>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</si>
  <si>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</si>
  <si>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</si>
  <si>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</si>
  <si>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</si>
  <si>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</si>
  <si>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</si>
  <si>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</si>
  <si>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</si>
  <si>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</si>
  <si>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</si>
  <si>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</si>
  <si>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</si>
  <si>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</si>
  <si>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</si>
  <si>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</si>
  <si>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</si>
  <si>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</si>
  <si>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</si>
  <si>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</si>
  <si>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</si>
  <si>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</si>
  <si>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</si>
  <si>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</si>
  <si>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</si>
  <si>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</si>
  <si>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</si>
  <si>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</si>
  <si>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</si>
  <si>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</si>
  <si>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</si>
  <si>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</si>
  <si>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</si>
  <si>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</si>
  <si>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</si>
  <si>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</si>
  <si>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</si>
  <si>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</si>
  <si>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</si>
  <si>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</si>
  <si>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</si>
  <si>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</si>
  <si>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</si>
  <si>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</si>
  <si>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</si>
  <si>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</si>
  <si>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</si>
  <si>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</si>
  <si>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</si>
  <si>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</si>
  <si>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</si>
  <si>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</si>
  <si>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</si>
  <si>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</si>
  <si>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</si>
  <si>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</si>
  <si>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</si>
  <si>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</si>
  <si>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</si>
  <si>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</si>
  <si>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</si>
  <si>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</si>
  <si>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</si>
  <si>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</si>
  <si>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</si>
  <si>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</si>
  <si>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</si>
  <si>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</si>
  <si>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</si>
  <si>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</si>
  <si>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</si>
  <si>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</si>
  <si>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</si>
  <si>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</si>
  <si>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</si>
  <si>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</si>
  <si>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</si>
  <si>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</si>
  <si>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</si>
  <si>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</si>
  <si>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</si>
  <si>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</si>
  <si>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</si>
  <si>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</si>
  <si>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</si>
  <si>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</si>
  <si>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</si>
  <si>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</si>
  <si>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</si>
  <si>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</si>
  <si>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</si>
  <si>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</si>
  <si>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</si>
  <si>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</si>
  <si>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</si>
  <si>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</si>
  <si>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</si>
  <si>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</si>
  <si>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</si>
  <si>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</si>
  <si>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</si>
  <si>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</si>
  <si>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</si>
  <si>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</si>
  <si>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</si>
  <si>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</si>
  <si>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</si>
  <si>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</si>
  <si>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</si>
  <si>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</si>
  <si>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</si>
  <si>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</si>
  <si>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</si>
  <si>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</si>
  <si>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</si>
  <si>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</si>
  <si>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</si>
  <si>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</si>
  <si>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</si>
  <si>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</si>
  <si>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</si>
  <si>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</si>
  <si>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</si>
  <si>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</si>
  <si>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</si>
  <si>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</si>
  <si>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</si>
  <si>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</si>
  <si>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</si>
  <si>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</si>
  <si>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</si>
  <si>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</si>
  <si>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</si>
  <si>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</si>
  <si>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</si>
  <si>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</si>
  <si>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</si>
  <si>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</si>
  <si>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</si>
  <si>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</si>
  <si>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</si>
  <si>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</si>
  <si>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</si>
  <si>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</si>
  <si>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</si>
  <si>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</si>
  <si>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</si>
  <si>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</si>
  <si>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</si>
  <si>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</si>
  <si>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</si>
  <si>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</si>
  <si>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</si>
  <si>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</si>
  <si>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</si>
  <si>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</si>
  <si>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</si>
  <si>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</si>
  <si>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</si>
  <si>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</si>
  <si>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</si>
  <si>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</si>
  <si>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</si>
  <si>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</si>
  <si>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</si>
  <si>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</si>
  <si>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</si>
  <si>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</si>
  <si>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</si>
  <si>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</si>
  <si>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</si>
  <si>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</si>
  <si>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</si>
  <si>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</si>
  <si>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</si>
  <si>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</si>
  <si>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</si>
  <si>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</si>
  <si>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</si>
  <si>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</si>
  <si>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</si>
  <si>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</si>
  <si>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</si>
  <si>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</si>
  <si>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</si>
  <si>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</si>
  <si>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</si>
  <si>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</si>
  <si>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</si>
  <si>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</si>
  <si>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</si>
  <si>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</si>
  <si>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</si>
  <si>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</si>
  <si>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</si>
  <si>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</si>
  <si>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</si>
  <si>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</si>
  <si>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</si>
  <si>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</si>
  <si>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</si>
  <si>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</si>
  <si>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</si>
  <si>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</si>
  <si>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</si>
  <si>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</si>
  <si>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</si>
  <si>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</si>
  <si>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</si>
  <si>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</si>
  <si>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</si>
  <si>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</si>
  <si>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</si>
  <si>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</si>
  <si>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</si>
  <si>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</si>
  <si>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</si>
  <si>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</si>
  <si>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</si>
  <si>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</si>
  <si>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</si>
  <si>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</si>
  <si>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</si>
  <si>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</si>
  <si>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</si>
  <si>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</si>
  <si>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</si>
  <si>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</si>
  <si>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</si>
  <si>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</si>
  <si>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</si>
  <si>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</si>
  <si>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</si>
  <si>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</si>
  <si>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</si>
  <si>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</si>
  <si>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</si>
  <si>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</si>
  <si>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</si>
  <si>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</si>
  <si>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</si>
  <si>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</si>
  <si>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</si>
  <si>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</si>
  <si>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</si>
  <si>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</si>
  <si>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</si>
  <si>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</si>
  <si>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</si>
  <si>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</si>
  <si>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</si>
  <si>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</si>
  <si>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</si>
  <si>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</si>
  <si>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</si>
  <si>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</si>
  <si>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</si>
  <si>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</si>
  <si>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</si>
  <si>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</si>
  <si>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</si>
  <si>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</si>
  <si>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</si>
  <si>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</si>
  <si>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</si>
  <si>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</si>
  <si>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</si>
  <si>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</si>
  <si>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</si>
  <si>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</si>
  <si>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</si>
  <si>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</si>
  <si>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</si>
  <si>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</si>
  <si>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</si>
  <si>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</si>
  <si>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</si>
  <si>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</si>
  <si>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</si>
  <si>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</si>
  <si>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</si>
  <si>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</si>
  <si>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</si>
  <si>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</si>
  <si>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</si>
  <si>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</si>
  <si>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</si>
  <si>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</si>
  <si>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</si>
  <si>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</si>
  <si>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</si>
  <si>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</si>
  <si>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</si>
  <si>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</si>
  <si>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</si>
  <si>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</si>
  <si>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</si>
  <si>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</si>
  <si>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</si>
  <si>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</si>
  <si>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</si>
  <si>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</si>
  <si>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</si>
  <si>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</si>
  <si>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</si>
  <si>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</si>
  <si>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</si>
  <si>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</si>
  <si>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</si>
  <si>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</si>
  <si>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</si>
  <si>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</si>
  <si>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</si>
  <si>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</si>
  <si>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</si>
  <si>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</si>
  <si>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</si>
  <si>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</si>
  <si>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</si>
  <si>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</si>
  <si>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</si>
  <si>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</si>
  <si>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</si>
  <si>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</si>
  <si>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</si>
  <si>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</si>
  <si>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</si>
  <si>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</si>
  <si>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</si>
  <si>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</si>
  <si>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</si>
  <si>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</si>
  <si>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</si>
  <si>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</si>
  <si>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</si>
  <si>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</si>
  <si>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</si>
  <si>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</si>
  <si>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</si>
  <si>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</si>
  <si>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</si>
  <si>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</si>
  <si>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</si>
  <si>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</si>
  <si>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</si>
  <si>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</si>
  <si>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</si>
  <si>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</si>
  <si>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</si>
  <si>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</si>
  <si>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</si>
  <si>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</si>
  <si>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</si>
  <si>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</si>
  <si>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</si>
  <si>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</si>
  <si>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</si>
  <si>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</si>
  <si>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</si>
  <si>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</si>
  <si>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</si>
  <si>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</si>
  <si>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</si>
  <si>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</si>
  <si>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</si>
  <si>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</si>
  <si>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</si>
  <si>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</si>
  <si>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</si>
  <si>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</si>
  <si>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</si>
  <si>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</si>
  <si>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</si>
  <si>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</si>
  <si>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</si>
  <si>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</si>
  <si>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</si>
  <si>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</si>
  <si>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</si>
  <si>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</si>
  <si>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</si>
  <si>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</si>
  <si>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</si>
  <si>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</si>
  <si>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</si>
  <si>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</si>
  <si>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</si>
  <si>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</si>
  <si>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</si>
  <si>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</si>
  <si>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</si>
  <si>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</si>
  <si>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</si>
  <si>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</si>
  <si>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</si>
  <si>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</si>
  <si>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</si>
  <si>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</si>
  <si>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</si>
  <si>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</si>
  <si>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</si>
  <si>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</si>
  <si>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</si>
  <si>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</si>
  <si>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</si>
  <si>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</si>
  <si>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</si>
  <si>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</si>
  <si>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</si>
  <si>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</si>
  <si>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</si>
  <si>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</si>
  <si>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</si>
  <si>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</si>
  <si>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</si>
  <si>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</si>
  <si>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</si>
  <si>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</si>
  <si>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</si>
  <si>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</si>
  <si>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</si>
  <si>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</si>
  <si>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</si>
  <si>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</si>
  <si>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</si>
  <si>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</si>
  <si>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</si>
  <si>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</si>
  <si>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</si>
  <si>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</si>
  <si>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</si>
  <si>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</si>
  <si>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</si>
  <si>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</si>
  <si>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</si>
  <si>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</si>
  <si>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</si>
  <si>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</si>
  <si>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</si>
  <si>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</si>
  <si>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</si>
  <si>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</si>
  <si>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</si>
  <si>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</si>
  <si>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</si>
  <si>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</si>
  <si>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</si>
  <si>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</si>
  <si>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</si>
  <si>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</si>
  <si>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</si>
  <si>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</si>
  <si>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</si>
  <si>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</si>
  <si>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</si>
  <si>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</si>
  <si>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</si>
  <si>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</si>
  <si>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</si>
  <si>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</si>
  <si>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</si>
  <si>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</si>
  <si>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</si>
  <si>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</si>
  <si>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</si>
  <si>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</si>
  <si>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</si>
  <si>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</si>
  <si>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</si>
  <si>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</si>
  <si>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</si>
  <si>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</si>
  <si>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</si>
  <si>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</si>
  <si>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</si>
  <si>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</si>
  <si>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</si>
  <si>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</si>
  <si>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</si>
  <si>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</si>
  <si>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</si>
  <si>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</si>
  <si>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</si>
  <si>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</si>
  <si>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</si>
  <si>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</si>
  <si>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</si>
  <si>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</si>
  <si>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</si>
  <si>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</si>
  <si>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</si>
  <si>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</si>
  <si>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</si>
  <si>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</si>
  <si>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</si>
  <si>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</si>
  <si>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</si>
  <si>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</si>
  <si>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</si>
  <si>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</si>
  <si>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</si>
  <si>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</si>
  <si>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</si>
  <si>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</si>
  <si>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</si>
  <si>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</si>
  <si>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</si>
  <si>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</si>
  <si>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</si>
  <si>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</si>
  <si>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</si>
  <si>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</si>
  <si>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</si>
  <si>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</si>
  <si>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</si>
  <si>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</si>
  <si>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</si>
  <si>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</si>
  <si>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</si>
  <si>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</si>
  <si>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</si>
  <si>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</si>
  <si>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</si>
  <si>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</si>
  <si>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</si>
  <si>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</si>
  <si>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</si>
  <si>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</si>
  <si>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</si>
  <si>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</si>
  <si>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</si>
  <si>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</si>
  <si>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</si>
  <si>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</si>
  <si>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</si>
  <si>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</si>
  <si>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</si>
  <si>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</si>
  <si>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</si>
  <si>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</si>
  <si>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</si>
  <si>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</si>
  <si>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</si>
  <si>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</si>
  <si>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</si>
  <si>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</si>
  <si>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</si>
  <si>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</si>
  <si>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</si>
  <si>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</si>
  <si>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</si>
  <si>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</si>
  <si>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</si>
  <si>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</si>
  <si>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</si>
  <si>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</si>
  <si>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</si>
  <si>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</si>
  <si>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</si>
  <si>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</si>
  <si>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</si>
  <si>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</si>
  <si>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</si>
  <si>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</si>
  <si>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</si>
  <si>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</si>
  <si>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</si>
  <si>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</si>
  <si>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</si>
  <si>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</si>
  <si>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</si>
  <si>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</si>
  <si>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</si>
  <si>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</si>
  <si>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</si>
  <si>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</si>
  <si>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</si>
  <si>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</si>
  <si>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</si>
  <si>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</si>
  <si>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</si>
  <si>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</si>
  <si>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</si>
  <si>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</si>
  <si>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</si>
  <si>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</si>
  <si>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</si>
  <si>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</si>
  <si>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</si>
  <si>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</si>
  <si>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</si>
  <si>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</si>
  <si>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</si>
  <si>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</si>
  <si>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</si>
  <si>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</si>
  <si>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</si>
  <si>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</si>
  <si>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</si>
  <si>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</si>
  <si>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</si>
  <si>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</si>
  <si>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</si>
  <si>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</si>
  <si>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</si>
  <si>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</si>
  <si>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</si>
  <si>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</si>
  <si>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</si>
  <si>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</si>
  <si>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</si>
  <si>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</si>
  <si>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</si>
  <si>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</si>
  <si>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</si>
  <si>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</si>
  <si>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</si>
  <si>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</si>
  <si>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</si>
  <si>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</si>
  <si>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</si>
  <si>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</si>
  <si>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</si>
  <si>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</si>
  <si>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</si>
  <si>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</si>
  <si>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</si>
  <si>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</si>
  <si>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</si>
  <si>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</si>
  <si>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</si>
  <si>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</si>
  <si>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</si>
  <si>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</si>
  <si>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</si>
  <si>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</si>
  <si>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</si>
  <si>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</si>
  <si>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</si>
  <si>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</si>
  <si>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</si>
  <si>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</si>
  <si>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</si>
  <si>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</si>
  <si>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</si>
  <si>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</si>
  <si>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</si>
  <si>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</si>
  <si>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</si>
  <si>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</si>
  <si>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</si>
  <si>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</si>
  <si>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</si>
  <si>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</si>
  <si>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</si>
  <si>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</si>
  <si>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</si>
  <si>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</si>
  <si>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</si>
  <si>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</si>
  <si>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</si>
  <si>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</si>
  <si>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</si>
  <si>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</si>
  <si>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</si>
  <si>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</si>
  <si>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</si>
  <si>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</si>
  <si>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</si>
  <si>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</si>
  <si>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</si>
  <si>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</si>
  <si>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</si>
  <si>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</si>
  <si>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</si>
  <si>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</si>
  <si>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</si>
  <si>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</si>
  <si>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</si>
  <si>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</si>
  <si>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</si>
  <si>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</si>
  <si>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</si>
  <si>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</si>
  <si>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</si>
  <si>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</si>
  <si>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</si>
  <si>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</si>
  <si>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</si>
  <si>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</si>
  <si>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</si>
  <si>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</si>
  <si>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</si>
  <si>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</si>
  <si>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</si>
  <si>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</si>
  <si>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</si>
  <si>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</si>
  <si>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</si>
  <si>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</si>
  <si>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</si>
  <si>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</si>
  <si>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</si>
  <si>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</si>
  <si>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</si>
  <si>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</si>
  <si>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</si>
  <si>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</si>
  <si>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</si>
  <si>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</si>
  <si>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</si>
  <si>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</si>
  <si>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</si>
  <si>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</si>
  <si>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</si>
  <si>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</si>
  <si>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</si>
  <si>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</si>
  <si>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</si>
  <si>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</si>
  <si>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</si>
  <si>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</si>
  <si>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</si>
  <si>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</si>
  <si>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</si>
  <si>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</si>
  <si>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</si>
  <si>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</si>
  <si>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</si>
  <si>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</si>
  <si>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</si>
  <si>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</si>
  <si>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</si>
  <si>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</si>
  <si>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</si>
  <si>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</si>
  <si>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</si>
  <si>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</si>
  <si>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</si>
  <si>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</si>
  <si>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</si>
  <si>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</si>
  <si>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</si>
  <si>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</si>
  <si>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</si>
  <si>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</si>
  <si>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</si>
  <si>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</si>
  <si>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</si>
  <si>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</si>
  <si>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</si>
  <si>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</si>
  <si>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</si>
  <si>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</si>
  <si>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</si>
  <si>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</si>
  <si>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</si>
  <si>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</si>
  <si>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</si>
  <si>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</si>
  <si>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</si>
  <si>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</si>
  <si>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</si>
  <si>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</si>
  <si>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</si>
  <si>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</si>
  <si>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</si>
  <si>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</si>
  <si>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</si>
  <si>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</si>
  <si>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</si>
  <si>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</si>
  <si>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</si>
  <si>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</si>
  <si>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</si>
  <si>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</si>
  <si>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</si>
  <si>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</si>
  <si>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</si>
  <si>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</si>
  <si>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</si>
  <si>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</si>
  <si>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</si>
  <si>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</si>
  <si>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</si>
  <si>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</si>
  <si>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</si>
  <si>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</si>
  <si>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</si>
  <si>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</si>
  <si>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</si>
  <si>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</si>
  <si>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</si>
  <si>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</si>
  <si>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</si>
  <si>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</si>
  <si>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</si>
  <si>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</si>
  <si>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</si>
  <si>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</si>
  <si>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</si>
  <si>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</si>
  <si>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</si>
  <si>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</si>
  <si>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</si>
  <si>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</si>
  <si>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</si>
  <si>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</si>
  <si>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</si>
  <si>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</si>
  <si>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</si>
  <si>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</si>
  <si>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</si>
  <si>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</si>
  <si>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</si>
  <si>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</si>
  <si>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</si>
  <si>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</si>
  <si>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</si>
  <si>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</si>
  <si>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</si>
  <si>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</si>
  <si>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</si>
  <si>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</si>
  <si>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</si>
  <si>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</si>
  <si>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</si>
  <si>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</si>
  <si>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</si>
  <si>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</si>
  <si>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</si>
  <si>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</si>
  <si>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</si>
  <si>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</si>
  <si>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</si>
  <si>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</si>
  <si>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</si>
  <si>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</si>
  <si>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</si>
  <si>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</si>
  <si>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</si>
  <si>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</si>
  <si>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</si>
  <si>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</si>
  <si>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</si>
  <si>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</si>
  <si>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</si>
  <si>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</si>
  <si>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</si>
  <si>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</si>
  <si>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</si>
  <si>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</si>
  <si>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</si>
  <si>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</si>
  <si>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</si>
  <si>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</si>
  <si>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</si>
  <si>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</si>
  <si>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</si>
  <si>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</si>
  <si>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</si>
  <si>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</si>
  <si>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</si>
  <si>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</si>
  <si>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</si>
  <si>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</si>
  <si>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</si>
  <si>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</si>
  <si>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</si>
  <si>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</si>
  <si>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</si>
  <si>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</si>
  <si>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</si>
  <si>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</si>
  <si>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</si>
  <si>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</si>
  <si>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</si>
  <si>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</si>
  <si>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</si>
  <si>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</si>
  <si>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</si>
  <si>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</si>
  <si>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</si>
  <si>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</si>
  <si>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</si>
  <si>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</si>
  <si>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</si>
  <si>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</si>
  <si>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</si>
  <si>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</si>
  <si>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</si>
  <si>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</si>
  <si>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</si>
  <si>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</si>
  <si>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</si>
  <si>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</si>
  <si>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</si>
  <si>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</si>
  <si>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</si>
  <si>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</si>
  <si>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</si>
  <si>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</si>
  <si>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</si>
  <si>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</si>
  <si>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</si>
  <si>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</si>
  <si>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</si>
  <si>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</si>
  <si>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</si>
  <si>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</si>
  <si>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</si>
  <si>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</si>
  <si>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</si>
  <si>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</si>
  <si>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</si>
  <si>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</si>
  <si>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</si>
  <si>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</si>
  <si>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</si>
  <si>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</si>
  <si>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</si>
  <si>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</si>
  <si>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</si>
  <si>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</si>
  <si>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</si>
  <si>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</si>
  <si>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</si>
  <si>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</si>
  <si>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</si>
  <si>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</si>
  <si>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</si>
  <si>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</si>
  <si>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</si>
  <si>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</si>
  <si>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</si>
  <si>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</si>
  <si>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</si>
  <si>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</si>
  <si>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</si>
  <si>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</si>
  <si>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</si>
  <si>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</si>
  <si>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</si>
  <si>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</si>
  <si>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</si>
  <si>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</si>
  <si>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</si>
  <si>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</si>
  <si>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</si>
  <si>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</si>
  <si>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</si>
  <si>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</si>
  <si>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</si>
  <si>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</si>
  <si>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</si>
  <si>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</si>
  <si>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</si>
  <si>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</si>
  <si>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</si>
  <si>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</si>
  <si>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</si>
  <si>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</si>
  <si>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</si>
  <si>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</si>
  <si>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</si>
  <si>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</si>
  <si>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</si>
  <si>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</si>
  <si>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</si>
  <si>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</si>
  <si>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</si>
  <si>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</si>
  <si>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</si>
  <si>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</si>
  <si>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</si>
  <si>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</si>
  <si>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</si>
  <si>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</si>
  <si>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</si>
  <si>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</si>
  <si>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</si>
  <si>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</si>
  <si>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</si>
  <si>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</si>
  <si>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</si>
  <si>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</si>
  <si>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</si>
  <si>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</si>
  <si>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</si>
  <si>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</si>
  <si>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</si>
  <si>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</si>
  <si>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</si>
  <si>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</si>
  <si>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</si>
  <si>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</si>
  <si>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</si>
  <si>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</si>
  <si>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</si>
  <si>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</si>
  <si>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</si>
  <si>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</si>
  <si>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</si>
  <si>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</si>
  <si>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</si>
  <si>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</si>
  <si>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</si>
  <si>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</si>
  <si>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</si>
  <si>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</si>
  <si>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</si>
  <si>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</si>
  <si>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</si>
  <si>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</si>
  <si>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</si>
  <si>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</si>
  <si>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</si>
  <si>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</si>
  <si>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</si>
  <si>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</si>
  <si>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</si>
  <si>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</si>
  <si>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</si>
  <si>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</si>
  <si>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</si>
  <si>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</si>
  <si>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</si>
  <si>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</si>
  <si>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</si>
  <si>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</si>
  <si>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</si>
  <si>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</si>
  <si>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</si>
  <si>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</si>
  <si>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</si>
  <si>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</si>
  <si>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</si>
  <si>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</si>
  <si>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</si>
  <si>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</si>
  <si>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</si>
  <si>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</si>
  <si>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</si>
  <si>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</si>
  <si>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</si>
  <si>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</si>
  <si>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</si>
  <si>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</si>
  <si>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</si>
  <si>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</si>
  <si>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</si>
  <si>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</si>
  <si>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</si>
  <si>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</si>
  <si>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</si>
  <si>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</si>
  <si>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</si>
  <si>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</si>
  <si>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</si>
  <si>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</si>
  <si>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</si>
  <si>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</si>
  <si>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</si>
  <si>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</si>
  <si>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</si>
  <si>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</si>
  <si>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</si>
  <si>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</si>
  <si>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</si>
  <si>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</si>
  <si>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</si>
  <si>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</si>
  <si>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</si>
  <si>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</si>
  <si>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</si>
  <si>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</si>
  <si>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</si>
  <si>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</si>
  <si>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</si>
  <si>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</si>
  <si>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</si>
  <si>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</si>
  <si>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</si>
  <si>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</si>
  <si>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</si>
  <si>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</si>
  <si>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</si>
  <si>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</si>
  <si>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</si>
  <si>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</si>
  <si>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</si>
  <si>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</si>
  <si>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</si>
  <si>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</si>
  <si>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</si>
  <si>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</si>
  <si>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</si>
  <si>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</si>
  <si>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</si>
  <si>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</si>
  <si>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</si>
  <si>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</si>
  <si>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</si>
  <si>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</si>
  <si>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</si>
  <si>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</si>
  <si>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</si>
  <si>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</si>
  <si>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</si>
  <si>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</si>
  <si>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</si>
  <si>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</si>
  <si>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</si>
  <si>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</si>
  <si>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</si>
  <si>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</si>
  <si>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</si>
  <si>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</si>
  <si>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</si>
  <si>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</si>
  <si>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</si>
  <si>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</si>
  <si>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</si>
  <si>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</si>
  <si>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</si>
  <si>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</si>
  <si>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</si>
  <si>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</si>
  <si>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</si>
  <si>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</si>
  <si>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</si>
  <si>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</si>
  <si>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</si>
  <si>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</si>
  <si>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</si>
  <si>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</si>
  <si>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</si>
  <si>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</si>
  <si>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</si>
  <si>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</si>
  <si>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</si>
  <si>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</si>
  <si>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</si>
  <si>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</si>
  <si>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</si>
  <si>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</si>
  <si>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</si>
  <si>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</si>
  <si>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</si>
  <si>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</si>
  <si>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</si>
  <si>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</si>
  <si>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</si>
  <si>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</si>
  <si>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</si>
  <si>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</si>
  <si>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</si>
  <si>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</si>
  <si>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</si>
  <si>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</si>
  <si>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</si>
  <si>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</si>
  <si>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</si>
  <si>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</si>
  <si>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</si>
  <si>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</si>
  <si>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</si>
  <si>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</si>
  <si>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</si>
  <si>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</si>
  <si>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</si>
  <si>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</si>
  <si>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</si>
  <si>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</si>
  <si>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</si>
  <si>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</si>
  <si>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</si>
  <si>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</si>
  <si>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</si>
  <si>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</si>
  <si>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</si>
  <si>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</si>
  <si>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</si>
  <si>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</si>
  <si>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</si>
  <si>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</si>
  <si>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</si>
  <si>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</si>
  <si>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</si>
  <si>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</si>
  <si>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</si>
  <si>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</si>
  <si>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</si>
  <si>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</si>
  <si>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</si>
  <si>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</si>
  <si>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</si>
  <si>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</si>
  <si>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</si>
  <si>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</si>
  <si>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</si>
  <si>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</si>
  <si>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</si>
  <si>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</si>
  <si>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</si>
  <si>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</si>
  <si>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</si>
  <si>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</si>
  <si>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</si>
  <si>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</si>
  <si>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</si>
  <si>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</si>
  <si>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</si>
  <si>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</si>
  <si>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</si>
  <si>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</si>
  <si>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</si>
  <si>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</si>
  <si>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</si>
  <si>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</si>
  <si>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</si>
  <si>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</si>
  <si>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</si>
  <si>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</si>
  <si>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</si>
  <si>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</si>
  <si>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</si>
  <si>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</si>
  <si>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</si>
  <si>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</si>
  <si>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</si>
  <si>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</si>
  <si>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</si>
  <si>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</si>
  <si>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</si>
  <si>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</si>
  <si>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</si>
  <si>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</si>
  <si>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</si>
  <si>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</si>
  <si>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</si>
  <si>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</si>
  <si>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</si>
  <si>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</si>
  <si>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</si>
  <si>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</si>
  <si>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</si>
  <si>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</si>
  <si>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</si>
  <si>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</si>
  <si>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</si>
  <si>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</si>
  <si>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</si>
  <si>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</si>
  <si>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</si>
  <si>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</si>
  <si>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</si>
  <si>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</si>
  <si>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</si>
  <si>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</si>
  <si>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</si>
  <si>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</si>
  <si>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</si>
  <si>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</si>
  <si>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</si>
  <si>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</si>
  <si>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</si>
  <si>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</si>
  <si>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</si>
  <si>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</si>
  <si>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</si>
  <si>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</si>
  <si>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</si>
  <si>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</si>
  <si>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</si>
  <si>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</si>
  <si>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</si>
  <si>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</si>
  <si>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</si>
  <si>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</si>
  <si>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</si>
  <si>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</si>
  <si>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</si>
  <si>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</si>
  <si>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</si>
  <si>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</si>
  <si>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</si>
  <si>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</si>
  <si>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</si>
  <si>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</si>
  <si>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</si>
  <si>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</si>
  <si>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</si>
  <si>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</si>
  <si>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</si>
  <si>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</si>
  <si>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</si>
  <si>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</si>
  <si>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</si>
  <si>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</si>
  <si>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</si>
  <si>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</si>
  <si>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</si>
  <si>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</si>
  <si>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</si>
  <si>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</si>
  <si>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</si>
  <si>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</si>
  <si>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</si>
  <si>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</si>
  <si>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</si>
  <si>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</si>
  <si>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</si>
  <si>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</si>
  <si>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</si>
  <si>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</si>
  <si>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</si>
  <si>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</si>
  <si>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</si>
  <si>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</si>
  <si>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</si>
  <si>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</si>
  <si>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</si>
  <si>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</si>
  <si>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</si>
  <si>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</si>
  <si>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</si>
  <si>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</si>
  <si>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</si>
  <si>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</si>
  <si>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</si>
  <si>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</si>
  <si>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</si>
  <si>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</si>
  <si>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</si>
  <si>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</si>
  <si>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</si>
  <si>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</si>
  <si>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</si>
  <si>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</si>
  <si>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</si>
  <si>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</si>
  <si>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</si>
  <si>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</si>
  <si>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</si>
  <si>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</si>
  <si>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</si>
  <si>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</si>
  <si>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</si>
  <si>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</si>
  <si>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</si>
  <si>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</si>
  <si>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</si>
  <si>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</si>
  <si>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</si>
  <si>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</si>
  <si>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</si>
  <si>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</si>
  <si>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</si>
  <si>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</si>
  <si>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</si>
  <si>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</si>
  <si>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</si>
  <si>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</si>
  <si>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</si>
  <si>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</si>
  <si>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</si>
  <si>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</si>
  <si>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</si>
  <si>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</si>
  <si>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</si>
  <si>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</si>
  <si>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</si>
  <si>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</si>
  <si>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</si>
  <si>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</si>
  <si>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</si>
  <si>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</si>
  <si>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</si>
  <si>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</si>
  <si>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</si>
  <si>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</si>
  <si>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</si>
  <si>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</si>
  <si>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</si>
  <si>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</si>
  <si>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</si>
  <si>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</si>
  <si>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</si>
  <si>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</si>
  <si>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</si>
  <si>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</si>
  <si>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</si>
  <si>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</si>
  <si>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</si>
  <si>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</si>
  <si>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</si>
  <si>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</si>
  <si>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</si>
  <si>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</si>
  <si>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</si>
  <si>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金科龙里东方</t>
    <phoneticPr fontId="3" type="noConversion"/>
  </si>
  <si>
    <t>联排</t>
  </si>
  <si>
    <t>中铁国际生态城</t>
    <phoneticPr fontId="3" type="noConversion"/>
  </si>
  <si>
    <t>售价</t>
  </si>
  <si>
    <t>洋房</t>
    <phoneticPr fontId="21" type="noConversion"/>
  </si>
  <si>
    <t>高层</t>
    <phoneticPr fontId="21" type="noConversion"/>
  </si>
  <si>
    <t>中铁悦龙南山</t>
    <phoneticPr fontId="3" type="noConversion"/>
  </si>
  <si>
    <t>中铁悦龙东郡</t>
    <phoneticPr fontId="3" type="noConversion"/>
  </si>
  <si>
    <t>住宅</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</si>
  <si>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</si>
  <si>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</si>
  <si>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</si>
  <si>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</si>
  <si>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</si>
  <si>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</si>
  <si>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</si>
  <si>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</si>
  <si>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</si>
  <si>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</si>
  <si>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</si>
  <si>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</si>
  <si>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</si>
  <si>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</si>
  <si>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</si>
  <si>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</si>
  <si>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</si>
  <si>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</si>
  <si>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</si>
  <si>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</si>
  <si>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龙里外滩广场</t>
    <phoneticPr fontId="3" type="noConversion"/>
  </si>
  <si>
    <t>商业</t>
    <phoneticPr fontId="26" type="noConversion"/>
  </si>
  <si>
    <t>30-40（含）</t>
  </si>
  <si>
    <t>森林溪畔</t>
    <phoneticPr fontId="3" type="noConversion"/>
  </si>
  <si>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</si>
  <si>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</si>
  <si>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</si>
  <si>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</si>
  <si>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</si>
  <si>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</si>
  <si>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</si>
  <si>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</si>
  <si>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</si>
  <si>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</si>
  <si>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</si>
  <si>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</si>
  <si>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</si>
  <si>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</si>
  <si>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</si>
  <si>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</si>
  <si>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</si>
  <si>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</si>
  <si>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龙里药都建材市场</t>
    <phoneticPr fontId="3" type="noConversion"/>
  </si>
  <si>
    <t>联排</t>
    <phoneticPr fontId="3" type="noConversion"/>
  </si>
  <si>
    <t>联排</t>
    <phoneticPr fontId="7" type="noConversion"/>
  </si>
  <si>
    <t>独栋</t>
  </si>
  <si>
    <t>独栋</t>
    <phoneticPr fontId="21" type="noConversion"/>
  </si>
  <si>
    <t>黔南比孟村</t>
  </si>
  <si>
    <t>黔南比孟村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</si>
</sst>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根据《国有土地使用证》[]，估价对象（分摊）出让国有建设用地使用权面积为178018.61平方米。根据《建设工程规划许可证》[]、《出让合同》[]，估价对象规划建筑面积为331534.86平方米。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178018.61</v>
      </c>
    </row>
    <row r="44" spans="1:2">
      <c r="A44" s="2592" t="s">
        <v>2720</v>
      </c>
      <c r="B44" s="2593" t="str">
        <f>'预评函-2'!O3</f>
        <v>规划建筑面积/㎡</v>
      </c>
    </row>
    <row r="45" spans="1:2">
      <c r="A45" s="2592" t="s">
        <v>2702</v>
      </c>
      <c r="B45" s="2593">
        <f>'预评函-2'!O5</f>
        <v>331534.86</v>
      </c>
    </row>
    <row r="46" spans="1:2">
      <c r="A46" s="2592" t="s">
        <v>2703</v>
      </c>
      <c r="B46" s="2593">
        <f ca="1">'预评函-2'!P5</f>
        <v>1608</v>
      </c>
    </row>
    <row r="47" spans="1:2">
      <c r="A47" s="2592" t="s">
        <v>2704</v>
      </c>
      <c r="B47" s="2593">
        <f ca="1">'预评函-2'!Q5</f>
        <v>864</v>
      </c>
    </row>
    <row r="48" spans="1:2">
      <c r="A48" s="2592" t="s">
        <v>2705</v>
      </c>
      <c r="B48" s="2593">
        <f ca="1">'预评函-2'!R5</f>
        <v>28633</v>
      </c>
    </row>
    <row r="49" spans="1:2">
      <c r="A49" s="2592" t="s">
        <v>2721</v>
      </c>
      <c r="B49" s="2593" t="str">
        <f>'预评函-2'!A6</f>
        <v>抵押价格</v>
      </c>
    </row>
    <row r="50" spans="1:2">
      <c r="A50" s="2592" t="s">
        <v>2706</v>
      </c>
      <c r="B50" s="2593">
        <f ca="1">'预评函-2'!R6</f>
        <v>28633</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26711</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52" t="str">
        <f>IF(B10="北京市","北京市",C10)&amp;F10&amp;B16&amp;"国有建设用地使用权"&amp;B9&amp;"预评估"</f>
        <v>黔南布衣苗族自治州龙里县龙山镇比孟村出让国有建设用地使用权抵押价格预评估</v>
      </c>
      <c r="C1" s="3353"/>
      <c r="D1" s="3353"/>
      <c r="E1" s="3353"/>
      <c r="F1" s="3353"/>
      <c r="G1" s="3353"/>
      <c r="H1" s="3353"/>
      <c r="I1" s="3354"/>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58"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59"/>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55"/>
      <c r="C12" s="3356"/>
      <c r="D12" s="3357"/>
      <c r="E12" s="1617" t="s">
        <v>2050</v>
      </c>
      <c r="F12" s="3373" t="s">
        <v>2867</v>
      </c>
      <c r="G12" s="3374"/>
      <c r="H12" s="3374"/>
      <c r="I12" s="3375"/>
      <c r="J12" s="3069"/>
      <c r="K12" s="3052"/>
      <c r="L12" s="3048"/>
      <c r="M12" s="3048"/>
      <c r="N12" s="3049"/>
      <c r="O12" s="3050"/>
      <c r="P12" s="3049"/>
      <c r="Q12" s="3049"/>
      <c r="R12" s="3049"/>
      <c r="S12" s="3049"/>
      <c r="T12" s="3049"/>
      <c r="U12" s="3049"/>
    </row>
    <row r="13" spans="1:21">
      <c r="A13" s="1608" t="s">
        <v>2048</v>
      </c>
      <c r="B13" s="3355"/>
      <c r="C13" s="3356"/>
      <c r="D13" s="3357"/>
      <c r="E13" s="1617" t="s">
        <v>2050</v>
      </c>
      <c r="F13" s="3373" t="s">
        <v>2868</v>
      </c>
      <c r="G13" s="3374"/>
      <c r="H13" s="3374"/>
      <c r="I13" s="3375"/>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70"/>
      <c r="E20" s="3371"/>
      <c r="F20" s="3371"/>
      <c r="G20" s="3371"/>
      <c r="H20" s="3371"/>
      <c r="I20" s="3372"/>
      <c r="J20" s="3069"/>
      <c r="K20" s="3052"/>
      <c r="L20" s="3048"/>
      <c r="M20" s="3048"/>
      <c r="N20" s="3049"/>
      <c r="O20" s="3050"/>
      <c r="P20" s="3049"/>
      <c r="Q20" s="3049"/>
      <c r="R20" s="3049"/>
      <c r="S20" s="3049"/>
      <c r="T20" s="3049"/>
      <c r="U20" s="3049"/>
    </row>
    <row r="21" spans="1:21">
      <c r="A21" s="1677" t="s">
        <v>1947</v>
      </c>
      <c r="B21" s="1678" t="s">
        <v>1948</v>
      </c>
      <c r="C21" s="1673">
        <f>'数据-汇总表'!E3</f>
        <v>331534.86</v>
      </c>
      <c r="D21" s="1674" t="s">
        <v>1949</v>
      </c>
      <c r="E21" s="3360" t="s">
        <v>1987</v>
      </c>
      <c r="F21" s="3361"/>
      <c r="G21" s="3361"/>
      <c r="H21" s="3361"/>
      <c r="I21" s="3362"/>
      <c r="J21" s="3069"/>
      <c r="K21" s="3052"/>
      <c r="L21" s="3048"/>
      <c r="M21" s="3048"/>
      <c r="N21" s="3049"/>
      <c r="O21" s="3050"/>
      <c r="P21" s="3049"/>
      <c r="Q21" s="3049"/>
      <c r="R21" s="3049"/>
      <c r="S21" s="3049"/>
      <c r="T21" s="3049"/>
      <c r="U21" s="3049"/>
    </row>
    <row r="22" spans="1:21">
      <c r="A22" s="2797" t="s">
        <v>943</v>
      </c>
      <c r="B22" s="1585" t="s">
        <v>1950</v>
      </c>
      <c r="C22" s="1607">
        <f>'数据-汇总表'!D3</f>
        <v>178018.61</v>
      </c>
      <c r="D22" s="1608" t="s">
        <v>1949</v>
      </c>
      <c r="E22" s="3360" t="s">
        <v>2869</v>
      </c>
      <c r="F22" s="3361"/>
      <c r="G22" s="3361"/>
      <c r="H22" s="3361"/>
      <c r="I22" s="3362"/>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63" t="s">
        <v>1955</v>
      </c>
      <c r="C24" s="3364"/>
      <c r="D24" s="3365" t="s">
        <v>1956</v>
      </c>
      <c r="E24" s="3366"/>
      <c r="F24" s="1626" t="s">
        <v>1957</v>
      </c>
      <c r="G24" s="3069"/>
      <c r="H24" s="3069"/>
      <c r="I24" s="3073"/>
      <c r="J24" s="3069"/>
      <c r="K24" s="3351"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5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5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37" t="s">
        <v>1990</v>
      </c>
      <c r="B31" s="1678" t="s">
        <v>1991</v>
      </c>
      <c r="C31" s="3376" t="s">
        <v>3001</v>
      </c>
      <c r="D31" s="3377"/>
      <c r="E31" s="3069"/>
      <c r="F31" s="3069"/>
      <c r="G31" s="3069"/>
      <c r="H31" s="3069"/>
      <c r="I31" s="3073"/>
      <c r="J31" s="3069"/>
      <c r="K31" s="3055"/>
      <c r="L31" s="3049"/>
      <c r="M31" s="3049"/>
      <c r="N31" s="3049"/>
      <c r="O31" s="3049"/>
      <c r="P31" s="3049"/>
      <c r="Q31" s="3049"/>
      <c r="R31" s="3049"/>
      <c r="S31" s="3049"/>
      <c r="T31" s="3049"/>
      <c r="U31" s="3049"/>
    </row>
    <row r="32" spans="1:21">
      <c r="A32" s="3337"/>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37"/>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38"/>
      <c r="B34" s="1585" t="s">
        <v>1994</v>
      </c>
      <c r="C34" s="3339"/>
      <c r="D34" s="3340"/>
      <c r="E34" s="3069"/>
      <c r="F34" s="3069"/>
      <c r="G34" s="3069"/>
      <c r="H34" s="3069"/>
      <c r="I34" s="3073"/>
      <c r="J34" s="3069"/>
      <c r="K34" s="3055"/>
      <c r="L34" s="3049"/>
      <c r="M34" s="3049"/>
      <c r="N34" s="3049"/>
      <c r="O34" s="3049"/>
      <c r="P34" s="3049"/>
      <c r="Q34" s="3049"/>
      <c r="R34" s="3049"/>
      <c r="S34" s="3049"/>
      <c r="T34" s="3049"/>
      <c r="U34" s="3049"/>
    </row>
    <row r="35" spans="1:28">
      <c r="A35" s="3341" t="s">
        <v>839</v>
      </c>
      <c r="B35" s="1640" t="s">
        <v>3003</v>
      </c>
      <c r="C35" s="1687" t="str">
        <f>IF(B35="场地平整","——","具体情况：")</f>
        <v>——</v>
      </c>
      <c r="D35" s="3343"/>
      <c r="E35" s="3344"/>
      <c r="F35" s="3344"/>
      <c r="G35" s="3344"/>
      <c r="H35" s="3344"/>
      <c r="I35" s="3345"/>
      <c r="J35" s="3069"/>
      <c r="K35" s="3056"/>
      <c r="L35" s="3048"/>
      <c r="M35" s="3048"/>
      <c r="N35" s="3049"/>
      <c r="O35" s="3050"/>
      <c r="P35" s="3049"/>
      <c r="Q35" s="3049"/>
      <c r="R35" s="3049"/>
      <c r="S35" s="3049"/>
      <c r="T35" s="3049"/>
      <c r="U35" s="3049"/>
    </row>
    <row r="36" spans="1:28">
      <c r="A36" s="3337"/>
      <c r="B36" s="3346" t="s">
        <v>2043</v>
      </c>
      <c r="C36" s="3347"/>
      <c r="D36" s="1703" t="s">
        <v>3004</v>
      </c>
      <c r="E36" s="3348"/>
      <c r="F36" s="3348"/>
      <c r="G36" s="1608" t="str">
        <f>IF(B35="场地未平整","估价结果处理","")</f>
        <v/>
      </c>
      <c r="H36" s="3349"/>
      <c r="I36" s="3349"/>
      <c r="J36" s="3069"/>
      <c r="K36" s="3056"/>
      <c r="L36" s="3048"/>
      <c r="M36" s="3048"/>
      <c r="N36" s="3049"/>
      <c r="O36" s="3050"/>
      <c r="P36" s="3049"/>
      <c r="Q36" s="3049"/>
      <c r="R36" s="3049"/>
      <c r="S36" s="3049"/>
      <c r="T36" s="3049"/>
      <c r="U36" s="3049"/>
    </row>
    <row r="37" spans="1:28" ht="28.5">
      <c r="A37" s="3337"/>
      <c r="B37" s="3367"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37"/>
      <c r="B38" s="3368"/>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38"/>
      <c r="B39" s="3369"/>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50" t="s">
        <v>1974</v>
      </c>
      <c r="T40" s="1649" t="str">
        <f>NUMBERSTRING(7-K40,1)&amp;"通"</f>
        <v>七通</v>
      </c>
      <c r="U40" s="3049"/>
    </row>
    <row r="41" spans="1:28" ht="28.5">
      <c r="A41" s="1587"/>
      <c r="B41" s="3342" t="s">
        <v>1712</v>
      </c>
      <c r="C41" s="3342"/>
      <c r="D41" s="3342"/>
      <c r="E41" s="3342"/>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50"/>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7" sqref="O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f>
        <v>194740</v>
      </c>
      <c r="B3" s="22">
        <f>IF(C3="否",G5-AT5,G5)</f>
        <v>362676.11</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362676.11</v>
      </c>
      <c r="H5" s="27">
        <f t="shared" ref="H5:AT5" si="0">SUM(H13:H641)</f>
        <v>346217.06</v>
      </c>
      <c r="I5" s="27">
        <f t="shared" si="0"/>
        <v>129252.95</v>
      </c>
      <c r="J5" s="27">
        <f t="shared" si="0"/>
        <v>21835.200000000001</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9306.0499999999993</v>
      </c>
      <c r="AU5" s="974"/>
      <c r="AV5" s="26" t="s">
        <v>168</v>
      </c>
      <c r="AW5" s="975"/>
      <c r="AX5" s="975"/>
      <c r="AY5" s="28" t="s">
        <v>3</v>
      </c>
      <c r="AZ5" s="29">
        <f t="shared" ref="AZ5:BT5" si="1">SUM(AZ13:AZ641)</f>
        <v>331534.86</v>
      </c>
      <c r="BA5" s="29">
        <f t="shared" si="1"/>
        <v>324381.86</v>
      </c>
      <c r="BB5" s="29">
        <f t="shared" si="1"/>
        <v>107417.75</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194740.00999999998</v>
      </c>
      <c r="F6" s="27" t="s">
        <v>1</v>
      </c>
      <c r="G6" s="27" t="s">
        <v>2</v>
      </c>
      <c r="H6" s="33">
        <f>SUMIF(I$12:AB$12,"总值",I6:AB6)</f>
        <v>185902.27</v>
      </c>
      <c r="I6" s="27">
        <f t="shared" ref="I6:AB6" si="2">ROUND($A$3*I5/$B$3,2)</f>
        <v>69402.75</v>
      </c>
      <c r="J6" s="27">
        <f t="shared" si="2"/>
        <v>11724.47</v>
      </c>
      <c r="K6" s="27">
        <f t="shared" si="2"/>
        <v>52612.800000000003</v>
      </c>
      <c r="L6" s="27">
        <f t="shared" si="2"/>
        <v>0</v>
      </c>
      <c r="M6" s="27">
        <f t="shared" si="2"/>
        <v>63081.29</v>
      </c>
      <c r="N6" s="27">
        <f t="shared" si="2"/>
        <v>0</v>
      </c>
      <c r="O6" s="27">
        <f t="shared" si="2"/>
        <v>805.43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3840.8299999999995</v>
      </c>
      <c r="AD6" s="27">
        <f t="shared" ref="AD6:AS6" si="3">ROUND($A$3*AD5/$B$3,2)</f>
        <v>1273.6500000000001</v>
      </c>
      <c r="AE6" s="27">
        <f t="shared" si="3"/>
        <v>0</v>
      </c>
      <c r="AF6" s="27">
        <f t="shared" si="3"/>
        <v>2073.1799999999998</v>
      </c>
      <c r="AG6" s="27">
        <f t="shared" si="3"/>
        <v>0</v>
      </c>
      <c r="AH6" s="27">
        <f t="shared" si="3"/>
        <v>461.78</v>
      </c>
      <c r="AI6" s="27">
        <f t="shared" si="3"/>
        <v>0</v>
      </c>
      <c r="AJ6" s="27">
        <f t="shared" si="3"/>
        <v>0</v>
      </c>
      <c r="AK6" s="27">
        <f t="shared" si="3"/>
        <v>0</v>
      </c>
      <c r="AL6" s="27">
        <f t="shared" si="3"/>
        <v>32.22</v>
      </c>
      <c r="AM6" s="27">
        <f t="shared" si="3"/>
        <v>0</v>
      </c>
      <c r="AN6" s="27">
        <f t="shared" si="3"/>
        <v>0</v>
      </c>
      <c r="AO6" s="27">
        <f t="shared" si="3"/>
        <v>0</v>
      </c>
      <c r="AP6" s="27">
        <f t="shared" si="3"/>
        <v>0</v>
      </c>
      <c r="AQ6" s="27">
        <f t="shared" si="3"/>
        <v>0</v>
      </c>
      <c r="AR6" s="27">
        <f t="shared" si="3"/>
        <v>0</v>
      </c>
      <c r="AS6" s="27">
        <f t="shared" si="3"/>
        <v>0</v>
      </c>
      <c r="AT6" s="33">
        <f>IF(C3="是",ROUND($A$3*AT5/$B$3,2),0)</f>
        <v>4996.91</v>
      </c>
      <c r="AU6" s="34"/>
      <c r="AV6" s="26" t="s">
        <v>169</v>
      </c>
      <c r="AW6" s="31"/>
      <c r="AX6" s="31"/>
      <c r="AY6" s="35">
        <f>IF(AY3&gt;0,AY3,ROUND($A$3*AZ5/$B$3,2))</f>
        <v>178018.61</v>
      </c>
      <c r="AZ6" s="27" t="s">
        <v>3</v>
      </c>
      <c r="BA6" s="27">
        <f>ROUND($AY$6*BA5/$AZ$5,2)</f>
        <v>174177.79</v>
      </c>
      <c r="BB6" s="27">
        <f>ROUND($AY$6*BB5/$AZ$5,2)</f>
        <v>57678.27</v>
      </c>
      <c r="BC6" s="27">
        <f t="shared" ref="BC6:BH6" si="4">ROUND($AY$6*BC5/$AZ$5,2)</f>
        <v>52612.79</v>
      </c>
      <c r="BD6" s="27">
        <f t="shared" si="4"/>
        <v>63081.29</v>
      </c>
      <c r="BE6" s="27">
        <f t="shared" si="4"/>
        <v>805.43</v>
      </c>
      <c r="BF6" s="27">
        <f t="shared" si="4"/>
        <v>0</v>
      </c>
      <c r="BG6" s="27">
        <f t="shared" si="4"/>
        <v>0</v>
      </c>
      <c r="BH6" s="27">
        <f t="shared" si="4"/>
        <v>0</v>
      </c>
      <c r="BI6" s="27">
        <f t="shared" ref="BI6:BT6" si="5">ROUND($AY$6*BI5/$AZ$5,2)</f>
        <v>0</v>
      </c>
      <c r="BJ6" s="27">
        <f t="shared" si="5"/>
        <v>0</v>
      </c>
      <c r="BK6" s="27">
        <f t="shared" si="5"/>
        <v>0</v>
      </c>
      <c r="BL6" s="27">
        <f t="shared" si="5"/>
        <v>3840.82</v>
      </c>
      <c r="BM6" s="27">
        <f t="shared" si="5"/>
        <v>1273.6500000000001</v>
      </c>
      <c r="BN6" s="27">
        <f t="shared" si="5"/>
        <v>2073.1799999999998</v>
      </c>
      <c r="BO6" s="27">
        <f t="shared" si="5"/>
        <v>461.78</v>
      </c>
      <c r="BP6" s="27">
        <f t="shared" si="5"/>
        <v>0</v>
      </c>
      <c r="BQ6" s="27">
        <f t="shared" si="5"/>
        <v>32.22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3114</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3165</v>
      </c>
      <c r="D13" s="2725" t="s">
        <v>1669</v>
      </c>
      <c r="E13" s="27">
        <f t="shared" ref="E13:E20" si="6">IF($C$3="是",ROUND($A$3*G13/$B$3,2),ROUND($A$3*(G13-AT13)/$B$3,2))</f>
        <v>69402.75</v>
      </c>
      <c r="F13" s="81"/>
      <c r="G13" s="82">
        <f t="shared" ref="G13:G20" si="7">H13+AC13+AT13</f>
        <v>129252.95</v>
      </c>
      <c r="H13" s="33">
        <f t="shared" ref="H13:H20" si="8">SUMIF(I$12:AB$12,"总值",I13:AB13)</f>
        <v>129252.95</v>
      </c>
      <c r="I13" s="3301">
        <v>129252.95</v>
      </c>
      <c r="J13" s="2727">
        <v>21835.200000000001</v>
      </c>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57678.27</v>
      </c>
      <c r="AZ13" s="27">
        <f t="shared" ref="AZ13:AZ20" si="12">BA13+BL13</f>
        <v>107417.75</v>
      </c>
      <c r="BA13" s="27">
        <f t="shared" ref="BA13:BA20" si="13">SUM(BB13:BK13)</f>
        <v>107417.75</v>
      </c>
      <c r="BB13" s="27">
        <f t="shared" ref="BB13:BB20" si="14">IF($D13="是",I13-J13,0)</f>
        <v>107417.75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3012</v>
      </c>
      <c r="D14" s="2725" t="s">
        <v>1669</v>
      </c>
      <c r="E14" s="27">
        <f t="shared" si="6"/>
        <v>52612.800000000003</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52612.79</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3015</v>
      </c>
      <c r="D15" s="2725" t="s">
        <v>1669</v>
      </c>
      <c r="E15" s="27">
        <f t="shared" si="6"/>
        <v>68078.2</v>
      </c>
      <c r="F15" s="81"/>
      <c r="G15" s="82">
        <f t="shared" si="7"/>
        <v>126786.16</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v>9306.0499999999993</v>
      </c>
      <c r="AU15" s="2733"/>
      <c r="AV15" s="17">
        <f t="shared" si="10"/>
        <v>0</v>
      </c>
      <c r="AW15" s="17">
        <f t="shared" si="10"/>
        <v>0</v>
      </c>
      <c r="AX15" s="17" t="str">
        <f t="shared" si="10"/>
        <v>车库</v>
      </c>
      <c r="AY15" s="982">
        <f t="shared" si="11"/>
        <v>63081.29</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3013</v>
      </c>
      <c r="D16" s="2725" t="s">
        <v>1669</v>
      </c>
      <c r="E16" s="27">
        <f t="shared" si="6"/>
        <v>3840.82</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3840.82</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3086</v>
      </c>
      <c r="D17" s="2725" t="s">
        <v>1669</v>
      </c>
      <c r="E17" s="27">
        <f t="shared" si="6"/>
        <v>805.43</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805.43</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D3" sqref="D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178018.61</v>
      </c>
      <c r="E3" s="107">
        <f>'数据-基础表'!AZ5</f>
        <v>331534.86</v>
      </c>
      <c r="F3" s="3078"/>
      <c r="G3" s="278" t="s">
        <v>850</v>
      </c>
      <c r="H3" s="273" t="s">
        <v>851</v>
      </c>
      <c r="I3" s="1887">
        <f>ROUND('数据-基础表'!B3/'数据-基础表'!A3,2)</f>
        <v>1.86</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1.19</v>
      </c>
      <c r="J4" s="3078"/>
      <c r="K4" s="3078"/>
      <c r="L4" s="3078"/>
      <c r="M4" s="3078"/>
      <c r="N4" s="3078"/>
      <c r="O4" s="3078"/>
      <c r="P4" s="3078"/>
    </row>
    <row r="5" spans="1:16">
      <c r="A5" s="110" t="s">
        <v>207</v>
      </c>
      <c r="B5" s="3394" t="s">
        <v>230</v>
      </c>
      <c r="C5" s="3394"/>
      <c r="D5" s="111">
        <f>ROUND($D$3*E5/$E$3,2)</f>
        <v>110291.07</v>
      </c>
      <c r="E5" s="112">
        <f>SUMIF('数据-基础表'!$11:$11,"住宅",'数据-基础表'!$5:$5)</f>
        <v>205401.75</v>
      </c>
      <c r="F5" s="3078"/>
      <c r="G5" s="278" t="s">
        <v>853</v>
      </c>
      <c r="H5" s="273" t="s">
        <v>851</v>
      </c>
      <c r="I5" s="1887">
        <f>ROUND(E31/D31,2)</f>
        <v>1.86</v>
      </c>
      <c r="J5" s="3078"/>
      <c r="K5" s="3078"/>
      <c r="L5" s="3078"/>
      <c r="M5" s="3078"/>
      <c r="N5" s="3078"/>
      <c r="O5" s="3078"/>
      <c r="P5" s="3078"/>
    </row>
    <row r="6" spans="1:16" ht="15" thickBot="1">
      <c r="A6" s="113"/>
      <c r="B6" s="3394" t="s">
        <v>208</v>
      </c>
      <c r="C6" s="3394"/>
      <c r="D6" s="111">
        <f>ROUND($D$3*E6/$E$3,2)</f>
        <v>67727.539999999994</v>
      </c>
      <c r="E6" s="112">
        <f>E3-E5</f>
        <v>126133.10999999999</v>
      </c>
      <c r="F6" s="3078"/>
      <c r="G6" s="1182"/>
      <c r="H6" s="273" t="s">
        <v>852</v>
      </c>
      <c r="I6" s="1887">
        <f>ROUND(F31/D31,2)</f>
        <v>1.18</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111096.5</v>
      </c>
      <c r="E8" s="116">
        <f>SUMIF('数据-基础表'!BB10:BK10,"地上",'数据-基础表'!BB5:BK5)</f>
        <v>206901.75</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63081.29</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174177.79</v>
      </c>
      <c r="E16" s="120">
        <f>SUM(E8:E15)</f>
        <v>324381.86</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3166</v>
      </c>
      <c r="D19" s="111">
        <f t="shared" ref="D19:D26" si="1">ROUND($D$3*E19/$E$3,2)</f>
        <v>57678.27</v>
      </c>
      <c r="E19" s="134">
        <f t="shared" ref="E19:E26" si="2">SUM(F19:G19)</f>
        <v>107417.75</v>
      </c>
      <c r="F19" s="3080">
        <f>'数据-基础表'!I5-'数据-基础表'!J5</f>
        <v>107417.75</v>
      </c>
      <c r="G19" s="3081"/>
      <c r="H19" s="960">
        <f>ROUND($D$3*I19/$E$3,2)</f>
        <v>10.67</v>
      </c>
      <c r="I19" s="116">
        <f>IF($I$17="自定义",P19,M19)</f>
        <v>19.87</v>
      </c>
      <c r="J19" s="1895"/>
      <c r="K19" s="2449">
        <f t="shared" ref="K19:K26" si="3">ROUND(E$28*E19/E$27,2)</f>
        <v>19.87</v>
      </c>
      <c r="L19" s="273">
        <f t="shared" ref="L19:L26" si="4">ROUND(IF(COUNTIF(C19,"*住宅*")&gt;0,E$29*E19/E$32,0),2)</f>
        <v>0</v>
      </c>
      <c r="M19" s="2450">
        <f>K19+L19</f>
        <v>19.87</v>
      </c>
      <c r="N19" s="2451"/>
      <c r="O19" s="2452"/>
      <c r="P19" s="2453">
        <f>N19+O19</f>
        <v>0</v>
      </c>
      <c r="R19" s="273">
        <f t="shared" ref="R19:S26" si="5">D19+H19</f>
        <v>57688.939999999995</v>
      </c>
      <c r="S19" s="2178">
        <f t="shared" si="5"/>
        <v>107437.62</v>
      </c>
    </row>
    <row r="20" spans="1:19">
      <c r="A20" s="137"/>
      <c r="B20" s="115" t="s">
        <v>226</v>
      </c>
      <c r="C20" s="2734" t="s">
        <v>3016</v>
      </c>
      <c r="D20" s="111">
        <f t="shared" si="1"/>
        <v>52612.79</v>
      </c>
      <c r="E20" s="134">
        <f t="shared" si="2"/>
        <v>97984</v>
      </c>
      <c r="F20" s="3080">
        <f>'数据-基础表'!K5</f>
        <v>97984</v>
      </c>
      <c r="G20" s="3081"/>
      <c r="H20" s="960">
        <f t="shared" ref="H20:H26" si="6">ROUND($D$3*I20/$E$3,2)</f>
        <v>9.73</v>
      </c>
      <c r="I20" s="116">
        <f t="shared" ref="I20:I26" si="7">IF($I$17="自定义",P20,M20)</f>
        <v>18.12</v>
      </c>
      <c r="J20" s="1895"/>
      <c r="K20" s="2449">
        <f t="shared" si="3"/>
        <v>18.12</v>
      </c>
      <c r="L20" s="273">
        <f t="shared" si="4"/>
        <v>0</v>
      </c>
      <c r="M20" s="2450">
        <f t="shared" ref="M20:M26" si="8">K20+L20</f>
        <v>18.12</v>
      </c>
      <c r="N20" s="2451"/>
      <c r="O20" s="2452"/>
      <c r="P20" s="2453">
        <f t="shared" ref="P20:P26" si="9">N20+O20</f>
        <v>0</v>
      </c>
      <c r="R20" s="273">
        <f t="shared" si="5"/>
        <v>52622.520000000004</v>
      </c>
      <c r="S20" s="2178">
        <f t="shared" si="5"/>
        <v>98002.12</v>
      </c>
    </row>
    <row r="21" spans="1:19">
      <c r="A21" s="137"/>
      <c r="B21" s="115" t="s">
        <v>226</v>
      </c>
      <c r="C21" s="2734" t="s">
        <v>3020</v>
      </c>
      <c r="D21" s="111">
        <f t="shared" si="1"/>
        <v>63081.29</v>
      </c>
      <c r="E21" s="134">
        <f t="shared" si="2"/>
        <v>117480.11</v>
      </c>
      <c r="F21" s="3080"/>
      <c r="G21" s="3081">
        <f>'数据-基础表'!M5</f>
        <v>117480.11</v>
      </c>
      <c r="H21" s="960">
        <f t="shared" si="6"/>
        <v>11.67</v>
      </c>
      <c r="I21" s="116">
        <f t="shared" si="7"/>
        <v>21.73</v>
      </c>
      <c r="J21" s="1895"/>
      <c r="K21" s="2449">
        <f t="shared" si="3"/>
        <v>21.73</v>
      </c>
      <c r="L21" s="273">
        <f t="shared" si="4"/>
        <v>0</v>
      </c>
      <c r="M21" s="2450">
        <f t="shared" si="8"/>
        <v>21.73</v>
      </c>
      <c r="N21" s="2451"/>
      <c r="O21" s="2452"/>
      <c r="P21" s="2453">
        <f t="shared" si="9"/>
        <v>0</v>
      </c>
      <c r="R21" s="273">
        <f t="shared" si="5"/>
        <v>63092.959999999999</v>
      </c>
      <c r="S21" s="2178">
        <f t="shared" si="5"/>
        <v>117501.84</v>
      </c>
    </row>
    <row r="22" spans="1:19">
      <c r="A22" s="137"/>
      <c r="B22" s="115" t="s">
        <v>226</v>
      </c>
      <c r="C22" s="3295" t="s">
        <v>3088</v>
      </c>
      <c r="D22" s="111">
        <f t="shared" si="1"/>
        <v>805.43</v>
      </c>
      <c r="E22" s="134">
        <f t="shared" si="2"/>
        <v>1500</v>
      </c>
      <c r="F22" s="3082">
        <v>1500</v>
      </c>
      <c r="G22" s="3083"/>
      <c r="H22" s="960">
        <f t="shared" si="6"/>
        <v>0.15</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805.57999999999993</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174177.78</v>
      </c>
      <c r="E27" s="141">
        <f>IF(SUM(E19:E26)='数据-基础表'!BA5,SUM(E19:E26),IF(F27="地上面积有误","面积有误","地下面积有误"))</f>
        <v>324381.86</v>
      </c>
      <c r="F27" s="134">
        <f>IF(SUM(F19:F26)=E8,SUM(F19:F26),"地上面积有误")</f>
        <v>206901.75</v>
      </c>
      <c r="G27" s="112">
        <f>SUM(G19:G26)</f>
        <v>117480.11</v>
      </c>
      <c r="H27" s="961">
        <f>SUM(H19:H26)</f>
        <v>32.22</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174210误差-3808.61</v>
      </c>
      <c r="S27" s="273" t="str">
        <f>IF(SUM(S19:S26)=$E$3,SUM(S19:S26),SUM(S19:S26)&amp;"误差"&amp;ROUND(SUM(S19:S26)-E3,2))</f>
        <v>324441.86误差-7093</v>
      </c>
    </row>
    <row r="28" spans="1:19">
      <c r="A28" s="137"/>
      <c r="B28" s="115" t="s">
        <v>227</v>
      </c>
      <c r="C28" s="135" t="s">
        <v>228</v>
      </c>
      <c r="D28" s="111">
        <f>ROUND($D$3*E28/$E$3,2)</f>
        <v>32.22</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3808.61</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3840.83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178018.61</v>
      </c>
      <c r="E31" s="1320">
        <f>E27+E30</f>
        <v>331534.86</v>
      </c>
      <c r="F31" s="1321">
        <f>F27+F30</f>
        <v>210193.75</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AJ27" sqref="AJ27"/>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107417.75</v>
      </c>
      <c r="L6" s="3303">
        <v>2500</v>
      </c>
      <c r="M6" s="175">
        <f t="shared" ref="M6:M14" si="0">ROUND(K6*L6/10000,0)</f>
        <v>26854</v>
      </c>
      <c r="N6" s="2736">
        <v>0</v>
      </c>
      <c r="O6" s="175">
        <f>IF($N$5="成新度","——",ROUND(M6*N6,0))</f>
        <v>0</v>
      </c>
      <c r="P6" s="176">
        <f>IF($N$5="成新度","——",M6-O6)</f>
        <v>26854</v>
      </c>
      <c r="Q6" s="2737">
        <v>0.3</v>
      </c>
      <c r="R6" s="177">
        <f>SUMIF('数据-汇总表'!C$19:C$33,A6,'数据-汇总表'!R$19:R$33)</f>
        <v>57688.939999999995</v>
      </c>
      <c r="S6" s="132">
        <f>IF('数据-汇总表'!$I$17="按面积比例",SUMIF('数据-汇总表'!C$19:C$33,A6,'数据-汇总表'!K$19:K$33),SUMIF('数据-汇总表'!C$19:C$33,A6,'数据-汇总表'!N$19:N$33))</f>
        <v>19.87</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52622.520000000004</v>
      </c>
      <c r="S7" s="132">
        <f>IF('数据-汇总表'!$I$17="按面积比例",SUMIF('数据-汇总表'!C$19:C$33,A7,'数据-汇总表'!K$19:K$33),SUMIF('数据-汇总表'!C$19:C$33,A7,'数据-汇总表'!N$19:N$33))</f>
        <v>18.12</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2500</v>
      </c>
      <c r="M8" s="175">
        <f>ROUND(K8*L8/10000,0)</f>
        <v>29370</v>
      </c>
      <c r="N8" s="2736">
        <v>0</v>
      </c>
      <c r="O8" s="175">
        <f t="shared" si="3"/>
        <v>0</v>
      </c>
      <c r="P8" s="176">
        <f t="shared" si="4"/>
        <v>29370</v>
      </c>
      <c r="Q8" s="2737">
        <v>0.05</v>
      </c>
      <c r="R8" s="177">
        <f>SUMIF('数据-汇总表'!C$19:C$33,A8,'数据-汇总表'!R$19:R$33)</f>
        <v>63092.959999999999</v>
      </c>
      <c r="S8" s="132">
        <f>IF('数据-汇总表'!$I$17="按面积比例",SUMIF('数据-汇总表'!C$19:C$33,A8,'数据-汇总表'!K$19:K$33),SUMIF('数据-汇总表'!C$19:C$33,A8,'数据-汇总表'!N$19:N$33))</f>
        <v>21.73</v>
      </c>
      <c r="T8" s="2111">
        <f t="shared" si="5"/>
        <v>5</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805.57999999999993</v>
      </c>
      <c r="S9" s="132">
        <f>IF('数据-汇总表'!$I$17="按面积比例",SUMIF('数据-汇总表'!C$19:C$33,A9,'数据-汇总表'!K$19:K$33),SUMIF('数据-汇总表'!C$19:C$33,A9,'数据-汇总表'!N$19:N$33))</f>
        <v>0.28000000000000003</v>
      </c>
      <c r="T9" s="2111">
        <f t="shared" si="5"/>
        <v>0</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3140</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2500</v>
      </c>
      <c r="M14" s="175">
        <f t="shared" si="0"/>
        <v>15</v>
      </c>
      <c r="N14" s="192">
        <v>0</v>
      </c>
      <c r="O14" s="175">
        <f t="shared" si="3"/>
        <v>0</v>
      </c>
      <c r="P14" s="176">
        <f t="shared" si="4"/>
        <v>15</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331534.86</v>
      </c>
      <c r="L16" s="204">
        <f>ROUND(M16*10000/SUM(K6:K14),0)</f>
        <v>2500</v>
      </c>
      <c r="M16" s="204">
        <f>SUM(M6:M14)</f>
        <v>81110</v>
      </c>
      <c r="N16" s="205">
        <f>ROUND(SUMPRODUCT(M6:M14,N6:N14)/M16,3)</f>
        <v>0</v>
      </c>
      <c r="O16" s="204">
        <f>SUM(O6:O14)</f>
        <v>0</v>
      </c>
      <c r="P16" s="204">
        <f>SUM(P6:P14)</f>
        <v>81110</v>
      </c>
      <c r="Q16" s="206">
        <f>ROUND(SUMPRODUCT(Q6:Q13,K6:K13)/SUMPRODUCT((Q6:Q13&gt;0)*(K6:K13)),2)</f>
        <v>0.16</v>
      </c>
      <c r="R16" s="2188">
        <f>SUM(R6:R13)</f>
        <v>174209.99999999997</v>
      </c>
      <c r="S16" s="207">
        <f>SUM(S6:S13)</f>
        <v>60</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3163</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3169</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3170</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25" defaultRowHeight="13.5"/>
  <cols>
    <col min="1" max="1" width="24.375" style="3182" customWidth="1"/>
    <col min="2" max="16384" width="14.625" style="3182"/>
  </cols>
  <sheetData>
    <row r="1" spans="1:10" ht="16.5">
      <c r="A1" s="3181" t="s">
        <v>2823</v>
      </c>
      <c r="B1" s="3181">
        <f>SUM(B14:B23)</f>
        <v>331534.86</v>
      </c>
      <c r="C1" s="3190"/>
      <c r="D1" s="3190"/>
      <c r="E1" s="3190"/>
      <c r="F1" s="3190"/>
      <c r="G1" s="3191"/>
      <c r="H1" s="3191"/>
      <c r="I1" s="3191"/>
      <c r="J1" s="3191"/>
    </row>
    <row r="2" spans="1:10" ht="16.5">
      <c r="A2" s="3181" t="s">
        <v>2824</v>
      </c>
      <c r="B2" s="3181">
        <f>SUM(C14:C23)</f>
        <v>178018.61</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28633</v>
      </c>
      <c r="C5" s="3181">
        <f ca="1">ROUND(B5*10000/$B$1,0)</f>
        <v>864</v>
      </c>
      <c r="D5" s="3181">
        <f ca="1">ROUND(B5*10000/$B$2,0)</f>
        <v>1608</v>
      </c>
      <c r="E5" s="3190"/>
      <c r="F5" s="3190"/>
      <c r="G5" s="3191"/>
      <c r="H5" s="3191"/>
      <c r="I5" s="3191"/>
      <c r="J5" s="3191"/>
    </row>
    <row r="6" spans="1:10" ht="16.5">
      <c r="A6" s="3181" t="s">
        <v>2831</v>
      </c>
      <c r="B6" s="3181">
        <f ca="1">SUM(G14:G23)</f>
        <v>28633</v>
      </c>
      <c r="C6" s="3181">
        <f t="shared" ref="C6:C8" ca="1" si="0">ROUND(B6*10000/$B$1,0)</f>
        <v>864</v>
      </c>
      <c r="D6" s="3181">
        <f t="shared" ref="D6:D8" ca="1" si="1">ROUND(B6*10000/$B$2,0)</f>
        <v>1608</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26711</v>
      </c>
      <c r="C8" s="3181">
        <f t="shared" ca="1" si="0"/>
        <v>806</v>
      </c>
      <c r="D8" s="3181">
        <f t="shared" ca="1" si="1"/>
        <v>1500</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331534.86</v>
      </c>
      <c r="C14" s="3187">
        <f>结果表!K38</f>
        <v>178018.61</v>
      </c>
      <c r="D14" s="3187">
        <f ca="1">结果表!C42</f>
        <v>28633</v>
      </c>
      <c r="E14" s="3187">
        <f ca="1">ROUND(D14*10000/B14,0)</f>
        <v>864</v>
      </c>
      <c r="F14" s="3187">
        <f ca="1">ROUND(D14*10000/C14,0)</f>
        <v>1608</v>
      </c>
      <c r="G14" s="3187">
        <f ca="1">结果表!C44</f>
        <v>28633</v>
      </c>
      <c r="H14" s="3187" t="str">
        <f>结果表!C45</f>
        <v>——</v>
      </c>
      <c r="I14" s="3187">
        <f ca="1">结果表!C46</f>
        <v>26711</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6" zoomScaleNormal="100" zoomScaleSheetLayoutView="100" zoomScalePageLayoutView="80" workbookViewId="0">
      <selection activeCell="G116" sqref="G11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00" t="s">
        <v>301</v>
      </c>
      <c r="F4" s="3401"/>
      <c r="G4" s="3401"/>
      <c r="H4" s="3401"/>
      <c r="I4" s="3436"/>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9" t="s">
        <v>302</v>
      </c>
      <c r="B5" s="3428">
        <v>25</v>
      </c>
      <c r="C5" s="3426"/>
      <c r="D5" s="3430"/>
      <c r="E5" s="259" t="s">
        <v>303</v>
      </c>
      <c r="F5" s="260"/>
      <c r="G5" s="260"/>
      <c r="H5" s="260"/>
      <c r="I5" s="261"/>
      <c r="J5" s="1910"/>
      <c r="K5" s="1909"/>
      <c r="L5" s="1909"/>
      <c r="M5" s="1909"/>
      <c r="N5" s="1909"/>
      <c r="O5" s="1909"/>
      <c r="P5" s="1909"/>
      <c r="Q5" s="1909"/>
      <c r="R5" s="1909"/>
      <c r="S5" s="1909"/>
      <c r="T5" s="1909"/>
      <c r="U5" s="1909"/>
      <c r="V5" s="1909"/>
    </row>
    <row r="6" spans="1:22" ht="14.25">
      <c r="A6" s="3399"/>
      <c r="B6" s="3428"/>
      <c r="C6" s="3429"/>
      <c r="D6" s="3430"/>
      <c r="E6" s="259" t="s">
        <v>304</v>
      </c>
      <c r="F6" s="260"/>
      <c r="G6" s="260"/>
      <c r="H6" s="260"/>
      <c r="I6" s="261"/>
      <c r="J6" s="1910"/>
      <c r="K6" s="1909"/>
      <c r="L6" s="1909"/>
      <c r="M6" s="1909"/>
      <c r="N6" s="1909"/>
      <c r="O6" s="1909"/>
      <c r="P6" s="1909"/>
      <c r="Q6" s="1909"/>
      <c r="R6" s="1909"/>
      <c r="S6" s="1909"/>
      <c r="T6" s="1909"/>
      <c r="U6" s="1909"/>
      <c r="V6" s="1909"/>
    </row>
    <row r="7" spans="1:22" ht="14.25">
      <c r="A7" s="3399"/>
      <c r="B7" s="3428"/>
      <c r="C7" s="3427"/>
      <c r="D7" s="3430"/>
      <c r="E7" s="259" t="s">
        <v>305</v>
      </c>
      <c r="F7" s="260"/>
      <c r="G7" s="260"/>
      <c r="H7" s="260"/>
      <c r="I7" s="261"/>
      <c r="J7" s="1910"/>
      <c r="K7" s="1909"/>
      <c r="L7" s="1909"/>
      <c r="M7" s="1909"/>
      <c r="N7" s="1909"/>
      <c r="O7" s="1909"/>
      <c r="P7" s="1909"/>
      <c r="Q7" s="1909"/>
      <c r="R7" s="1909"/>
      <c r="S7" s="1909"/>
      <c r="T7" s="1909"/>
      <c r="U7" s="1909"/>
      <c r="V7" s="1909"/>
    </row>
    <row r="8" spans="1:22" ht="14.25">
      <c r="A8" s="3399" t="s">
        <v>306</v>
      </c>
      <c r="B8" s="3428">
        <v>15</v>
      </c>
      <c r="C8" s="3426"/>
      <c r="D8" s="3430"/>
      <c r="E8" s="259" t="s">
        <v>307</v>
      </c>
      <c r="F8" s="260"/>
      <c r="G8" s="260"/>
      <c r="H8" s="260"/>
      <c r="I8" s="261"/>
      <c r="J8" s="1910"/>
      <c r="K8" s="1909"/>
      <c r="L8" s="1909"/>
      <c r="M8" s="1909"/>
      <c r="N8" s="1909"/>
      <c r="O8" s="1909"/>
      <c r="P8" s="1909"/>
      <c r="Q8" s="1909"/>
      <c r="R8" s="1909"/>
      <c r="S8" s="1909"/>
      <c r="T8" s="1909"/>
      <c r="U8" s="1909"/>
      <c r="V8" s="1909"/>
    </row>
    <row r="9" spans="1:22" ht="14.25">
      <c r="A9" s="3399"/>
      <c r="B9" s="3428"/>
      <c r="C9" s="3427"/>
      <c r="D9" s="3430"/>
      <c r="E9" s="259" t="s">
        <v>308</v>
      </c>
      <c r="F9" s="260"/>
      <c r="G9" s="260"/>
      <c r="H9" s="260"/>
      <c r="I9" s="261"/>
      <c r="J9" s="1910"/>
      <c r="K9" s="1909"/>
      <c r="L9" s="1909"/>
      <c r="M9" s="1909"/>
      <c r="N9" s="1909"/>
      <c r="O9" s="1909"/>
      <c r="P9" s="1909"/>
      <c r="Q9" s="1909"/>
      <c r="R9" s="1909"/>
      <c r="S9" s="1909"/>
      <c r="T9" s="1909"/>
      <c r="U9" s="1909"/>
      <c r="V9" s="1909"/>
    </row>
    <row r="10" spans="1:22" ht="14.25">
      <c r="A10" s="3399" t="s">
        <v>309</v>
      </c>
      <c r="B10" s="3428">
        <v>15</v>
      </c>
      <c r="C10" s="3426"/>
      <c r="D10" s="3430"/>
      <c r="E10" s="259" t="s">
        <v>310</v>
      </c>
      <c r="F10" s="260"/>
      <c r="G10" s="260"/>
      <c r="H10" s="260"/>
      <c r="I10" s="261"/>
      <c r="J10" s="1910"/>
      <c r="K10" s="1909"/>
      <c r="L10" s="1909"/>
      <c r="M10" s="1909"/>
      <c r="N10" s="1909"/>
      <c r="O10" s="1909"/>
      <c r="P10" s="1909"/>
      <c r="Q10" s="1909"/>
      <c r="R10" s="1909"/>
      <c r="S10" s="1909"/>
      <c r="T10" s="1909"/>
      <c r="U10" s="1909"/>
      <c r="V10" s="1909"/>
    </row>
    <row r="11" spans="1:22" ht="14.25">
      <c r="A11" s="3399"/>
      <c r="B11" s="3428"/>
      <c r="C11" s="3427"/>
      <c r="D11" s="3430"/>
      <c r="E11" s="259" t="s">
        <v>311</v>
      </c>
      <c r="F11" s="260"/>
      <c r="G11" s="260"/>
      <c r="H11" s="260"/>
      <c r="I11" s="261"/>
      <c r="J11" s="1910"/>
      <c r="K11" s="1909"/>
      <c r="L11" s="1909"/>
      <c r="M11" s="1909"/>
      <c r="N11" s="1909"/>
      <c r="O11" s="1909"/>
      <c r="P11" s="1909"/>
      <c r="Q11" s="1909"/>
      <c r="R11" s="1909"/>
      <c r="S11" s="1909"/>
      <c r="T11" s="1909"/>
      <c r="U11" s="1909"/>
      <c r="V11" s="1909"/>
    </row>
    <row r="12" spans="1:22" ht="14.25">
      <c r="A12" s="3399" t="s">
        <v>312</v>
      </c>
      <c r="B12" s="3428">
        <v>15</v>
      </c>
      <c r="C12" s="3426"/>
      <c r="D12" s="3430"/>
      <c r="E12" s="259" t="s">
        <v>313</v>
      </c>
      <c r="F12" s="260"/>
      <c r="G12" s="260"/>
      <c r="H12" s="260"/>
      <c r="I12" s="261"/>
      <c r="J12" s="1910"/>
      <c r="K12" s="1909"/>
      <c r="L12" s="1909"/>
      <c r="M12" s="1909"/>
      <c r="N12" s="1909"/>
      <c r="O12" s="1909"/>
      <c r="P12" s="1909"/>
      <c r="Q12" s="1909"/>
      <c r="R12" s="1909"/>
      <c r="S12" s="1909"/>
      <c r="T12" s="1909"/>
      <c r="U12" s="1909"/>
      <c r="V12" s="1909"/>
    </row>
    <row r="13" spans="1:22" ht="14.25">
      <c r="A13" s="3399"/>
      <c r="B13" s="3428"/>
      <c r="C13" s="3427"/>
      <c r="D13" s="3430"/>
      <c r="E13" s="259" t="s">
        <v>314</v>
      </c>
      <c r="F13" s="260"/>
      <c r="G13" s="260"/>
      <c r="H13" s="260"/>
      <c r="I13" s="261"/>
      <c r="J13" s="1910"/>
      <c r="K13" s="1909"/>
      <c r="L13" s="1909"/>
      <c r="M13" s="1909"/>
      <c r="N13" s="1909"/>
      <c r="O13" s="1909"/>
      <c r="P13" s="1909"/>
      <c r="Q13" s="1909"/>
      <c r="R13" s="1909"/>
      <c r="S13" s="1909"/>
      <c r="T13" s="1909"/>
      <c r="U13" s="1909"/>
      <c r="V13" s="1909"/>
    </row>
    <row r="14" spans="1:22" ht="14.25">
      <c r="A14" s="3399" t="s">
        <v>315</v>
      </c>
      <c r="B14" s="3428">
        <v>30</v>
      </c>
      <c r="C14" s="3426">
        <v>6</v>
      </c>
      <c r="D14" s="3430">
        <v>4</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399"/>
      <c r="B15" s="3428"/>
      <c r="C15" s="3429"/>
      <c r="D15" s="3430"/>
      <c r="E15" s="259" t="s">
        <v>317</v>
      </c>
      <c r="F15" s="260"/>
      <c r="G15" s="260"/>
      <c r="H15" s="260"/>
      <c r="I15" s="261"/>
      <c r="J15" s="1910"/>
      <c r="K15" s="1909"/>
      <c r="L15" s="1909"/>
      <c r="M15" s="1909"/>
      <c r="N15" s="1909"/>
      <c r="O15" s="1909"/>
      <c r="P15" s="1909"/>
      <c r="Q15" s="1909"/>
      <c r="R15" s="1909"/>
      <c r="S15" s="1909"/>
      <c r="T15" s="1909"/>
      <c r="U15" s="1909"/>
      <c r="V15" s="1909"/>
    </row>
    <row r="16" spans="1:22" ht="14.25">
      <c r="A16" s="3399"/>
      <c r="B16" s="3428"/>
      <c r="C16" s="3427"/>
      <c r="D16" s="3430"/>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6</v>
      </c>
      <c r="D17" s="263">
        <f>SUM(D5:D16)</f>
        <v>4</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0.6</v>
      </c>
      <c r="D18" s="265">
        <f>1-C18</f>
        <v>0.4</v>
      </c>
      <c r="E18" s="3431" t="s">
        <v>2953</v>
      </c>
      <c r="F18" s="3432"/>
      <c r="G18" s="3432"/>
      <c r="H18" s="3432"/>
      <c r="I18" s="3432"/>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32645</v>
      </c>
      <c r="D19" s="269">
        <f ca="1">SUMIF(INDIRECT("'"&amp;D4&amp;"'"&amp;"!A:A"),结果表!B19,INDIRECT("'"&amp;D4&amp;"'"&amp;"!B:B"))</f>
        <v>22614</v>
      </c>
      <c r="E19" s="266" t="s">
        <v>323</v>
      </c>
      <c r="F19" s="267" t="s">
        <v>322</v>
      </c>
      <c r="G19" s="270">
        <f ca="1">ROUND(C19*$C$18+D19*$D$18,0)</f>
        <v>28633</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985</v>
      </c>
      <c r="D20" s="275">
        <f ca="1">SUMIF(INDIRECT("'"&amp;D4&amp;"'"&amp;"!A:A"),结果表!B20,INDIRECT("'"&amp;D4&amp;"'"&amp;"!B:B"))</f>
        <v>682</v>
      </c>
      <c r="E20" s="272"/>
      <c r="F20" s="273" t="s">
        <v>325</v>
      </c>
      <c r="G20" s="276">
        <f ca="1">ROUND(C20*$C$18+D20*$D$18,0)</f>
        <v>864</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1834</v>
      </c>
      <c r="D21" s="149">
        <f ca="1">SUMIF(INDIRECT("'"&amp;D4&amp;"'"&amp;"!A:A"),结果表!B21,INDIRECT("'"&amp;D4&amp;"'"&amp;"!B:B"))</f>
        <v>1270</v>
      </c>
      <c r="E21" s="272"/>
      <c r="F21" s="278" t="s">
        <v>327</v>
      </c>
      <c r="G21" s="280">
        <f ca="1">ROUND(C21*$C$18+D21*$D$18,0)</f>
        <v>1608</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0.44357477668700795</v>
      </c>
      <c r="E22" s="282"/>
      <c r="F22" s="283"/>
      <c r="G22" s="284">
        <f ca="1">ROUND(G19/('数据-汇总表'!D3/666.67),0)</f>
        <v>107</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05"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06"/>
      <c r="B25" s="1273" t="s">
        <v>331</v>
      </c>
      <c r="C25" s="288">
        <f>IF(B30=0,0,C30)</f>
        <v>0</v>
      </c>
      <c r="D25" s="289"/>
      <c r="E25" s="309"/>
      <c r="F25" s="309"/>
      <c r="G25" s="309"/>
      <c r="H25" s="309"/>
      <c r="I25" s="309"/>
      <c r="J25" s="1909"/>
      <c r="K25" s="1207" t="str">
        <f ca="1">项目基本情况!B16&amp;"国有建设用地使用权价格："&amp;O38&amp;"万元"</f>
        <v>出让国有建设用地使用权价格：28633万元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大写金额：人民币贰亿捌仟陆佰叁拾叁万元整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1362.2193809283101</v>
      </c>
      <c r="E27" s="309"/>
      <c r="F27" s="309"/>
      <c r="G27" s="309"/>
      <c r="H27" s="309"/>
      <c r="I27" s="309"/>
      <c r="J27" s="1909"/>
      <c r="K27" s="1210" t="str">
        <f ca="1">"单位面积地价："&amp;M38&amp;"元/平方米"</f>
        <v>单位面积地价：1608元/平方米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0.15566065943624452</v>
      </c>
      <c r="E28" s="309"/>
      <c r="F28" s="309"/>
      <c r="G28" s="309"/>
      <c r="H28" s="309"/>
      <c r="I28" s="309"/>
      <c r="J28" s="1909"/>
      <c r="K28" s="1210" t="str">
        <f ca="1">"楼面地价："&amp;N38&amp;"元/平方米"</f>
        <v>楼面地价：864元/平方米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抵押价格：28633万元</v>
      </c>
      <c r="L29" s="1204"/>
      <c r="M29" s="1204"/>
      <c r="N29" s="1204"/>
      <c r="O29" s="1203"/>
      <c r="P29" s="1909"/>
      <c r="V29" s="1909"/>
    </row>
    <row r="30" spans="1:26" ht="18.75" thickBot="1">
      <c r="A30" s="2796" t="s">
        <v>336</v>
      </c>
      <c r="B30" s="307"/>
      <c r="C30" s="307"/>
      <c r="D30" s="308">
        <f ca="1">D27/Sheet1!M9</f>
        <v>1.1634746424969766</v>
      </c>
      <c r="E30" s="2999" t="s">
        <v>2954</v>
      </c>
      <c r="F30" s="309"/>
      <c r="G30" s="309"/>
      <c r="H30" s="309"/>
      <c r="I30" s="309"/>
      <c r="J30" s="1909"/>
      <c r="K30" s="1210" t="str">
        <f ca="1">IF(K29="——","——","大写金额：人民币"&amp;NUMBERSTRING(INT(O39*10000),2)&amp;"元整")</f>
        <v>大写金额：人民币贰亿捌仟陆佰叁拾叁万元整</v>
      </c>
      <c r="L30" s="1204"/>
      <c r="M30" s="1204"/>
      <c r="N30" s="1204"/>
      <c r="O30" s="1203"/>
      <c r="P30" s="1909"/>
      <c r="V30" s="1909"/>
    </row>
    <row r="31" spans="1:26" ht="24" customHeight="1" thickBot="1">
      <c r="A31" s="3433" t="s">
        <v>2955</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28633</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864</v>
      </c>
      <c r="D33" s="1331" t="s">
        <v>1682</v>
      </c>
      <c r="E33" s="3405" t="s">
        <v>338</v>
      </c>
      <c r="F33" s="294" t="s">
        <v>339</v>
      </c>
      <c r="G33" s="295"/>
      <c r="H33" s="966"/>
      <c r="I33" s="1211"/>
      <c r="J33" s="1909"/>
      <c r="K33" s="1210" t="str">
        <f ca="1">IF(项目基本情况!E9="——","——","抵押净值："&amp;C46&amp;"万元")</f>
        <v>抵押净值：26711万元</v>
      </c>
      <c r="L33" s="1204"/>
      <c r="M33" s="1204"/>
      <c r="N33" s="1204"/>
      <c r="O33" s="1203"/>
      <c r="P33" s="1909"/>
      <c r="V33" s="1909"/>
    </row>
    <row r="34" spans="1:26" s="1206" customFormat="1" ht="18.75" thickBot="1">
      <c r="A34" s="298"/>
      <c r="B34" s="1332" t="s">
        <v>1683</v>
      </c>
      <c r="C34" s="262">
        <f ca="1">ROUND(C32*10000/'数据-汇总表'!D3,0)</f>
        <v>1608</v>
      </c>
      <c r="D34" s="1333" t="s">
        <v>1682</v>
      </c>
      <c r="E34" s="3449"/>
      <c r="F34" s="127" t="s">
        <v>341</v>
      </c>
      <c r="G34" s="297"/>
      <c r="H34" s="105"/>
      <c r="I34" s="309"/>
      <c r="J34" s="1909"/>
      <c r="K34" s="1213" t="str">
        <f ca="1">IF(K33="——","——","大写金额：人民币"&amp;NUMBERSTRING(INT(O41*10000),2)&amp;"元整")</f>
        <v>大写金额：人民币贰亿陆仟柒佰壹拾壹万元整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107</v>
      </c>
      <c r="D35" s="1336" t="s">
        <v>1684</v>
      </c>
      <c r="E35" s="3450"/>
      <c r="F35" s="299" t="s">
        <v>342</v>
      </c>
      <c r="G35" s="968"/>
      <c r="H35" s="967" t="s">
        <v>343</v>
      </c>
      <c r="I35" s="309"/>
      <c r="J35" s="1909"/>
      <c r="K35" s="3423" t="s">
        <v>350</v>
      </c>
      <c r="L35" s="3423" t="s">
        <v>351</v>
      </c>
      <c r="M35" s="1216" t="s">
        <v>352</v>
      </c>
      <c r="N35" s="3423" t="s">
        <v>353</v>
      </c>
      <c r="O35" s="3423" t="s">
        <v>354</v>
      </c>
      <c r="P35" s="1909"/>
      <c r="V35" s="1909"/>
    </row>
    <row r="36" spans="1:26" ht="16.5" customHeight="1">
      <c r="A36" s="301" t="s">
        <v>344</v>
      </c>
      <c r="B36" s="302" t="s">
        <v>333</v>
      </c>
      <c r="C36" s="303" t="s">
        <v>345</v>
      </c>
      <c r="D36" s="303" t="s">
        <v>346</v>
      </c>
      <c r="E36" s="304" t="s">
        <v>347</v>
      </c>
      <c r="F36" s="309"/>
      <c r="G36" s="309"/>
      <c r="H36" s="309"/>
      <c r="I36" s="309"/>
      <c r="J36" s="1911"/>
      <c r="K36" s="3424"/>
      <c r="L36" s="3424"/>
      <c r="M36" s="1218" t="s">
        <v>355</v>
      </c>
      <c r="N36" s="3424"/>
      <c r="O36" s="3424"/>
      <c r="P36" s="1909"/>
      <c r="V36" s="1909"/>
    </row>
    <row r="37" spans="1:26" ht="16.5" customHeight="1" thickBot="1">
      <c r="A37" s="1212" t="s">
        <v>348</v>
      </c>
      <c r="B37" s="305"/>
      <c r="C37" s="292"/>
      <c r="D37" s="292"/>
      <c r="E37" s="293"/>
      <c r="F37" s="309"/>
      <c r="G37" s="309"/>
      <c r="H37" s="309"/>
      <c r="I37" s="309"/>
      <c r="J37" s="1911"/>
      <c r="K37" s="3425"/>
      <c r="L37" s="3425"/>
      <c r="M37" s="1219"/>
      <c r="N37" s="3425"/>
      <c r="O37" s="3425"/>
      <c r="P37" s="1909"/>
      <c r="V37" s="1909"/>
    </row>
    <row r="38" spans="1:26" ht="16.5" customHeight="1" thickBot="1">
      <c r="A38" s="1212" t="s">
        <v>349</v>
      </c>
      <c r="B38" s="305"/>
      <c r="C38" s="292"/>
      <c r="D38" s="292"/>
      <c r="E38" s="293"/>
      <c r="F38" s="309"/>
      <c r="G38" s="309"/>
      <c r="H38" s="309"/>
      <c r="I38" s="309"/>
      <c r="J38" s="1911"/>
      <c r="K38" s="1220">
        <f>'数据-汇总表'!D3</f>
        <v>178018.61</v>
      </c>
      <c r="L38" s="1221">
        <f>'数据-汇总表'!E3</f>
        <v>331534.86</v>
      </c>
      <c r="M38" s="1221">
        <f ca="1">C34</f>
        <v>1608</v>
      </c>
      <c r="N38" s="1221">
        <f ca="1">C33</f>
        <v>864</v>
      </c>
      <c r="O38" s="1222">
        <f ca="1">C32</f>
        <v>28633</v>
      </c>
      <c r="P38" s="1909"/>
      <c r="V38" s="1909"/>
    </row>
    <row r="39" spans="1:26" ht="16.5" customHeight="1" thickBot="1">
      <c r="A39" s="1217"/>
      <c r="B39" s="306"/>
      <c r="C39" s="307"/>
      <c r="D39" s="307"/>
      <c r="E39" s="308"/>
      <c r="F39" s="309"/>
      <c r="G39" s="309"/>
      <c r="H39" s="309"/>
      <c r="I39" s="309"/>
      <c r="J39" s="1911"/>
      <c r="K39" s="3463" t="str">
        <f>MID(A44,3,LEN(A44)-2)</f>
        <v>抵押价格</v>
      </c>
      <c r="L39" s="3464"/>
      <c r="M39" s="3464"/>
      <c r="N39" s="3465"/>
      <c r="O39" s="1338">
        <f ca="1">C44</f>
        <v>28633</v>
      </c>
      <c r="P39" s="1909"/>
      <c r="V39" s="1909"/>
    </row>
    <row r="40" spans="1:26" ht="19.5" thickBot="1">
      <c r="A40" s="104" t="s">
        <v>864</v>
      </c>
      <c r="B40" s="309"/>
      <c r="C40" s="309"/>
      <c r="D40" s="309"/>
      <c r="E40" s="309"/>
      <c r="F40" s="309"/>
      <c r="G40" s="309"/>
      <c r="H40" s="309"/>
      <c r="I40" s="309"/>
      <c r="J40" s="1911"/>
      <c r="K40" s="3463" t="str">
        <f t="shared" ref="K40:K41" si="0">MID(A45,3,LEN(A45)-2)</f>
        <v/>
      </c>
      <c r="L40" s="3464"/>
      <c r="M40" s="3464"/>
      <c r="N40" s="3465"/>
      <c r="O40" s="1338" t="str">
        <f>C45</f>
        <v>——</v>
      </c>
      <c r="P40" s="1909"/>
      <c r="V40" s="1909"/>
    </row>
    <row r="41" spans="1:26" ht="16.5" thickBot="1">
      <c r="A41" s="310" t="s">
        <v>356</v>
      </c>
      <c r="B41" s="311"/>
      <c r="C41" s="312" t="s">
        <v>357</v>
      </c>
      <c r="D41" s="313" t="s">
        <v>358</v>
      </c>
      <c r="E41" s="313" t="s">
        <v>359</v>
      </c>
      <c r="F41" s="314" t="s">
        <v>360</v>
      </c>
      <c r="G41" s="309"/>
      <c r="H41" s="309"/>
      <c r="I41" s="309"/>
      <c r="J41" s="1911"/>
      <c r="K41" s="3463" t="str">
        <f t="shared" si="0"/>
        <v>抵押净值</v>
      </c>
      <c r="L41" s="3464"/>
      <c r="M41" s="3464"/>
      <c r="N41" s="3465"/>
      <c r="O41" s="1338">
        <f ca="1">C46</f>
        <v>26711</v>
      </c>
      <c r="P41" s="1909"/>
      <c r="V41" s="1909"/>
    </row>
    <row r="42" spans="1:26" ht="29.25">
      <c r="A42" s="3407" t="s">
        <v>2056</v>
      </c>
      <c r="B42" s="3408"/>
      <c r="C42" s="262">
        <f ca="1">C32</f>
        <v>28633</v>
      </c>
      <c r="D42" s="315">
        <f ca="1">C33</f>
        <v>864</v>
      </c>
      <c r="E42" s="315">
        <f ca="1">C34</f>
        <v>1608</v>
      </c>
      <c r="F42" s="316">
        <f ca="1">C35</f>
        <v>107</v>
      </c>
      <c r="G42" s="309"/>
      <c r="H42" s="309"/>
      <c r="I42" s="317"/>
      <c r="J42" s="1911"/>
      <c r="K42" s="1223" t="s">
        <v>361</v>
      </c>
      <c r="L42" s="1928" t="s">
        <v>362</v>
      </c>
      <c r="M42" s="1224" t="s">
        <v>363</v>
      </c>
      <c r="N42" s="1929" t="s">
        <v>364</v>
      </c>
      <c r="O42" s="1930" t="s">
        <v>365</v>
      </c>
      <c r="P42" s="1909"/>
      <c r="V42" s="1909"/>
    </row>
    <row r="43" spans="1:26" ht="30">
      <c r="A43" s="3418" t="s">
        <v>2710</v>
      </c>
      <c r="B43" s="3419"/>
      <c r="C43" s="262">
        <f>IF(H33="正常操作",G33+G34+G35,G34+G35)</f>
        <v>0</v>
      </c>
      <c r="D43" s="315" t="s">
        <v>43</v>
      </c>
      <c r="E43" s="315" t="s">
        <v>44</v>
      </c>
      <c r="F43" s="316" t="s">
        <v>44</v>
      </c>
      <c r="G43" s="2581" t="s">
        <v>943</v>
      </c>
      <c r="H43" s="309"/>
      <c r="I43" s="317"/>
      <c r="J43" s="1911"/>
      <c r="K43" s="1225" t="str">
        <f>C4</f>
        <v>剩余法-待开发</v>
      </c>
      <c r="L43" s="1226">
        <f ca="1">IF(L42="估价结果/万元",C19,C20)</f>
        <v>32645</v>
      </c>
      <c r="M43" s="1227">
        <f>C18</f>
        <v>0.6</v>
      </c>
      <c r="N43" s="1228">
        <f ca="1">IF(N42="测算结果/万元",G19,G20)</f>
        <v>28633</v>
      </c>
      <c r="O43" s="1229">
        <f ca="1">IF(O42="最终结果/万元",C32,C33)</f>
        <v>28633</v>
      </c>
      <c r="P43" s="1909"/>
      <c r="V43" s="1909"/>
    </row>
    <row r="44" spans="1:26" ht="30.75" thickBot="1">
      <c r="A44" s="3407" t="str">
        <f>IF(OR(项目基本情况!E8="抵押价格",项目基本情况!E8="已注销及未注销"),"3.抵押价格","——")</f>
        <v>3.抵押价格</v>
      </c>
      <c r="B44" s="3408"/>
      <c r="C44" s="262">
        <f ca="1">IF(A44="——","——",C42-C43)</f>
        <v>28633</v>
      </c>
      <c r="D44" s="315">
        <f ca="1">ROUND(C44*10000/'数据-汇总表'!E3,0)</f>
        <v>864</v>
      </c>
      <c r="E44" s="315">
        <f ca="1">ROUND(C44*10000/'数据-汇总表'!D3,0)</f>
        <v>1608</v>
      </c>
      <c r="F44" s="316">
        <f ca="1">ROUND(C44/('数据-汇总表'!D3/666.67),0)</f>
        <v>107</v>
      </c>
      <c r="G44" s="309"/>
      <c r="H44" s="309"/>
      <c r="I44" s="317"/>
      <c r="J44" s="1911"/>
      <c r="K44" s="1230" t="str">
        <f>D4</f>
        <v>比较法-住宅、综合</v>
      </c>
      <c r="L44" s="1231">
        <f ca="1">IF(L42="估价结果/万元",D19,D20)</f>
        <v>22614</v>
      </c>
      <c r="M44" s="1232">
        <f>D18</f>
        <v>0.4</v>
      </c>
      <c r="N44" s="1233"/>
      <c r="O44" s="1234"/>
      <c r="P44" s="1909"/>
      <c r="V44" s="1909"/>
    </row>
    <row r="45" spans="1:26" ht="15">
      <c r="A45" s="3413" t="str">
        <f>IF(项目基本情况!E8="已注销及未注销","4.抵押担保权已注销时的抵押价格",IF(项目基本情况!E8="已注销","3.抵押担保权已注销时的抵押价格","——"))</f>
        <v>——</v>
      </c>
      <c r="B45" s="3414"/>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09" t="str">
        <f>IF(项目基本情况!E9="抵押净值",IF(A45="——","4.抵押净值","5.抵押净值"),"——")</f>
        <v>4.抵押净值</v>
      </c>
      <c r="B46" s="3410"/>
      <c r="C46" s="318">
        <f ca="1">IF(A46="——","——",O79)</f>
        <v>26711</v>
      </c>
      <c r="D46" s="315">
        <f ca="1">ROUND(C46*10000/'数据-汇总表'!E3,0)</f>
        <v>806</v>
      </c>
      <c r="E46" s="315">
        <f ca="1">ROUND(C46*10000/'数据-汇总表'!D3,0)</f>
        <v>1500</v>
      </c>
      <c r="F46" s="316">
        <f ca="1">ROUND(C46/('数据-汇总表'!D3/666.67),0)</f>
        <v>100</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9">
        <f ca="1">ROUND(C42*F63,0)</f>
        <v>28633</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11" t="s">
        <v>386</v>
      </c>
      <c r="B66" s="3412"/>
      <c r="C66" s="3412"/>
      <c r="D66" s="259">
        <f ca="1">IF(H66="情况1",0,IF(H66="情况2",D70,IF(H66="情况3",D71,IF(H66="情况4",D72))))</f>
        <v>1500</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472" t="s">
        <v>385</v>
      </c>
      <c r="M66" s="3473"/>
      <c r="N66" s="2310"/>
      <c r="O66" s="2311"/>
      <c r="P66" s="2312"/>
      <c r="Q66" s="1909"/>
      <c r="R66" s="1909"/>
      <c r="S66" s="1909"/>
      <c r="T66" s="1909"/>
      <c r="U66" s="1909"/>
      <c r="V66" s="1909"/>
    </row>
    <row r="67" spans="1:22" ht="25.5" customHeight="1">
      <c r="A67" s="350" t="s">
        <v>389</v>
      </c>
      <c r="B67" s="3402" t="s">
        <v>390</v>
      </c>
      <c r="C67" s="3402"/>
      <c r="D67" s="351">
        <v>0</v>
      </c>
      <c r="E67" s="41" t="s">
        <v>391</v>
      </c>
      <c r="F67" s="62" t="s">
        <v>21</v>
      </c>
      <c r="G67" s="3460"/>
      <c r="H67" s="3002" t="s">
        <v>2956</v>
      </c>
      <c r="I67" s="3004"/>
      <c r="J67" s="1916"/>
      <c r="K67" s="1888">
        <v>2</v>
      </c>
      <c r="L67" s="3466" t="s">
        <v>388</v>
      </c>
      <c r="M67" s="3466"/>
      <c r="N67" s="1277">
        <f>'数据-取费表'!B2</f>
        <v>44295</v>
      </c>
      <c r="O67" s="1277"/>
      <c r="P67" s="1277"/>
      <c r="Q67" s="1909"/>
      <c r="R67" s="1909"/>
      <c r="S67" s="1909"/>
      <c r="T67" s="1909"/>
      <c r="U67" s="1909"/>
      <c r="V67" s="1909"/>
    </row>
    <row r="68" spans="1:22" ht="25.5" customHeight="1">
      <c r="A68" s="352"/>
      <c r="B68" s="3402" t="s">
        <v>393</v>
      </c>
      <c r="C68" s="3402"/>
      <c r="D68" s="353"/>
      <c r="E68" s="77"/>
      <c r="F68" s="354"/>
      <c r="G68" s="3461"/>
      <c r="H68" s="3003" t="s">
        <v>2957</v>
      </c>
      <c r="I68" s="3004"/>
      <c r="J68" s="1916"/>
      <c r="K68" s="1888">
        <v>3</v>
      </c>
      <c r="L68" s="3466" t="s">
        <v>392</v>
      </c>
      <c r="M68" s="3466"/>
      <c r="N68" s="1245">
        <f ca="1">C42</f>
        <v>28633</v>
      </c>
      <c r="O68" s="1245"/>
      <c r="P68" s="1245"/>
      <c r="Q68" s="1909"/>
      <c r="R68" s="1909"/>
      <c r="S68" s="1909"/>
      <c r="T68" s="1909"/>
      <c r="U68" s="1909"/>
      <c r="V68" s="1909"/>
    </row>
    <row r="69" spans="1:22" ht="23.45" customHeight="1">
      <c r="A69" s="355"/>
      <c r="B69" s="3402" t="s">
        <v>394</v>
      </c>
      <c r="C69" s="3402"/>
      <c r="D69" s="356"/>
      <c r="E69" s="73"/>
      <c r="F69" s="354"/>
      <c r="G69" s="3462"/>
      <c r="H69" s="3003" t="s">
        <v>2958</v>
      </c>
      <c r="I69" s="3004"/>
      <c r="J69" s="1916"/>
      <c r="K69" s="1246">
        <v>4</v>
      </c>
      <c r="L69" s="3476" t="s">
        <v>2862</v>
      </c>
      <c r="M69" s="3477"/>
      <c r="N69" s="1247">
        <f ca="1">C44</f>
        <v>28633</v>
      </c>
      <c r="O69" s="1247"/>
      <c r="P69" s="1247"/>
      <c r="Q69" s="1909"/>
      <c r="R69" s="1909"/>
      <c r="S69" s="1909"/>
      <c r="T69" s="1909"/>
      <c r="U69" s="1909"/>
      <c r="V69" s="1909"/>
    </row>
    <row r="70" spans="1:22" ht="24" customHeight="1">
      <c r="A70" s="357" t="s">
        <v>395</v>
      </c>
      <c r="B70" s="3402" t="s">
        <v>396</v>
      </c>
      <c r="C70" s="3402"/>
      <c r="D70" s="356">
        <f ca="1">ROUND(D63*'数据-取费表'!B41/(1+'数据-取费表'!C42),0)</f>
        <v>1500</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03" t="s">
        <v>2987</v>
      </c>
      <c r="C71" s="3404"/>
      <c r="D71" s="356">
        <f ca="1">ROUND(D63*'数据-取费表'!B41/(1+'数据-取费表'!C42),0)</f>
        <v>1500</v>
      </c>
      <c r="E71" s="17" t="s">
        <v>397</v>
      </c>
      <c r="F71" s="358">
        <f>'数据-取费表'!B41</f>
        <v>5.5000000000000007E-2</v>
      </c>
      <c r="G71" s="359"/>
      <c r="H71" s="309"/>
      <c r="I71" s="1244"/>
      <c r="J71" s="1916"/>
      <c r="K71" s="2760" t="s">
        <v>398</v>
      </c>
      <c r="L71" s="3478" t="s">
        <v>399</v>
      </c>
      <c r="M71" s="3478"/>
      <c r="N71" s="2760" t="s">
        <v>400</v>
      </c>
      <c r="O71" s="2760" t="s">
        <v>401</v>
      </c>
      <c r="P71" s="2760" t="s">
        <v>402</v>
      </c>
      <c r="Q71" s="1909"/>
      <c r="R71" s="1909"/>
      <c r="S71" s="1909"/>
      <c r="T71" s="1909"/>
      <c r="U71" s="1909"/>
      <c r="V71" s="1909"/>
    </row>
    <row r="72" spans="1:22" ht="12" customHeight="1">
      <c r="A72" s="357" t="s">
        <v>405</v>
      </c>
      <c r="B72" s="3403" t="s">
        <v>2988</v>
      </c>
      <c r="C72" s="3404"/>
      <c r="D72" s="356">
        <f ca="1">C86</f>
        <v>1500</v>
      </c>
      <c r="E72" s="73" t="s">
        <v>406</v>
      </c>
      <c r="F72" s="358">
        <f>'数据-取费表'!B41</f>
        <v>5.5000000000000007E-2</v>
      </c>
      <c r="G72" s="359"/>
      <c r="H72" s="1250"/>
      <c r="I72" s="1244"/>
      <c r="J72" s="1916"/>
      <c r="K72" s="1888">
        <v>1</v>
      </c>
      <c r="L72" s="3453" t="s">
        <v>404</v>
      </c>
      <c r="M72" s="3453"/>
      <c r="N72" s="1248">
        <f ca="1">D66</f>
        <v>1500</v>
      </c>
      <c r="O72" s="1771" t="str">
        <f>E66</f>
        <v>销售额×税（费）率</v>
      </c>
      <c r="P72" s="1249">
        <f>F66</f>
        <v>5.5000000000000007E-2</v>
      </c>
      <c r="Q72" s="1909"/>
      <c r="R72" s="1909"/>
      <c r="S72" s="1909"/>
      <c r="T72" s="1909"/>
      <c r="U72" s="1909"/>
      <c r="V72" s="1909"/>
    </row>
    <row r="73" spans="1:22" ht="24" customHeight="1">
      <c r="A73" s="3448" t="s">
        <v>408</v>
      </c>
      <c r="B73" s="3412"/>
      <c r="C73" s="3412"/>
      <c r="D73" s="360">
        <f ca="1">IF(H73="个人住宅",0,ROUND(D63*I73,0))</f>
        <v>14</v>
      </c>
      <c r="E73" s="17" t="s">
        <v>409</v>
      </c>
      <c r="F73" s="358">
        <f>IF(H73="正常",I73,"免征")</f>
        <v>5.0000000000000001E-4</v>
      </c>
      <c r="G73" s="359"/>
      <c r="H73" s="189" t="s">
        <v>3070</v>
      </c>
      <c r="I73" s="358">
        <f>'数据-取费表'!B49</f>
        <v>5.0000000000000001E-4</v>
      </c>
      <c r="J73" s="1916"/>
      <c r="K73" s="1888">
        <v>2</v>
      </c>
      <c r="L73" s="3453" t="s">
        <v>407</v>
      </c>
      <c r="M73" s="3453"/>
      <c r="N73" s="1248">
        <f t="shared" ref="N73:P74" ca="1" si="1">D73</f>
        <v>14</v>
      </c>
      <c r="O73" s="1771" t="str">
        <f t="shared" si="1"/>
        <v>销售额×税（费）率</v>
      </c>
      <c r="P73" s="1249">
        <f t="shared" si="1"/>
        <v>5.0000000000000001E-4</v>
      </c>
      <c r="Q73" s="1909"/>
      <c r="R73" s="1909"/>
      <c r="S73" s="1909"/>
      <c r="T73" s="1909"/>
      <c r="U73" s="1909"/>
      <c r="V73" s="1909"/>
    </row>
    <row r="74" spans="1:22" ht="24.75">
      <c r="A74" s="3448" t="s">
        <v>411</v>
      </c>
      <c r="B74" s="3412"/>
      <c r="C74" s="3412"/>
      <c r="D74" s="360">
        <f ca="1">IF(H74="个人住宅",D75,D76)</f>
        <v>408</v>
      </c>
      <c r="E74" s="17" t="s">
        <v>412</v>
      </c>
      <c r="F74" s="358" t="str">
        <f>IF(H74="正常",F76,"免征")</f>
        <v>——</v>
      </c>
      <c r="G74" s="969" t="s">
        <v>413</v>
      </c>
      <c r="H74" s="361" t="s">
        <v>3070</v>
      </c>
      <c r="I74" s="42"/>
      <c r="J74" s="1916"/>
      <c r="K74" s="1888">
        <v>3</v>
      </c>
      <c r="L74" s="3453" t="s">
        <v>410</v>
      </c>
      <c r="M74" s="3453"/>
      <c r="N74" s="1248">
        <f t="shared" ca="1" si="1"/>
        <v>408</v>
      </c>
      <c r="O74" s="1771" t="str">
        <f t="shared" si="1"/>
        <v>增值额×税（费）率</v>
      </c>
      <c r="P74" s="1251" t="str">
        <f t="shared" si="1"/>
        <v>——</v>
      </c>
      <c r="Q74" s="1909"/>
      <c r="R74" s="1909"/>
      <c r="S74" s="1909"/>
      <c r="T74" s="1909"/>
      <c r="U74" s="1909"/>
      <c r="V74" s="1909"/>
    </row>
    <row r="75" spans="1:22" ht="12.75">
      <c r="A75" s="357" t="s">
        <v>414</v>
      </c>
      <c r="B75" s="3400" t="s">
        <v>415</v>
      </c>
      <c r="C75" s="3436"/>
      <c r="D75" s="362">
        <v>0</v>
      </c>
      <c r="E75" s="41" t="s">
        <v>416</v>
      </c>
      <c r="F75" s="363"/>
      <c r="G75" s="359"/>
      <c r="H75" s="42"/>
      <c r="I75" s="42"/>
      <c r="J75" s="1916"/>
      <c r="K75" s="2754" t="str">
        <f>IF(H77="非个人房产","",4)</f>
        <v/>
      </c>
      <c r="L75" s="3453" t="str">
        <f>IF(H77="非个人房产","——","个人所得税")</f>
        <v>——</v>
      </c>
      <c r="M75" s="3453"/>
      <c r="N75" s="1252" t="str">
        <f>D77</f>
        <v>——</v>
      </c>
      <c r="O75" s="1784" t="str">
        <f>E77</f>
        <v>——</v>
      </c>
      <c r="P75" s="1253" t="str">
        <f>F77</f>
        <v>——</v>
      </c>
      <c r="Q75" s="1909"/>
      <c r="R75" s="1909"/>
      <c r="S75" s="1909"/>
      <c r="T75" s="1909"/>
      <c r="U75" s="1909"/>
      <c r="V75" s="1909"/>
    </row>
    <row r="76" spans="1:22" ht="24.75">
      <c r="A76" s="357" t="s">
        <v>395</v>
      </c>
      <c r="B76" s="3400" t="s">
        <v>418</v>
      </c>
      <c r="C76" s="3401"/>
      <c r="D76" s="360">
        <f ca="1">IF(H76="转让取得",C99,C115)</f>
        <v>408</v>
      </c>
      <c r="E76" s="17" t="s">
        <v>419</v>
      </c>
      <c r="F76" s="53" t="s">
        <v>21</v>
      </c>
      <c r="G76" s="359"/>
      <c r="H76" s="361" t="s">
        <v>3083</v>
      </c>
      <c r="I76" s="42"/>
      <c r="J76" s="1916"/>
      <c r="K76" s="2754" t="str">
        <f>IF(项目基本情况!K6="上海银行",IF(K75="",4,K75+1),"")</f>
        <v/>
      </c>
      <c r="L76" s="3468" t="str">
        <f>IF(项目基本情况!K6="上海银行","其他处置费用","")</f>
        <v/>
      </c>
      <c r="M76" s="3469"/>
      <c r="N76" s="1248"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75" thickBot="1">
      <c r="A77" s="3455" t="s">
        <v>421</v>
      </c>
      <c r="B77" s="3456"/>
      <c r="C77" s="3456"/>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54">
        <f>IF(AND(K75="",K76=""),4,IF(项目基本情况!K6="上海银行",K76+1,K75+1))</f>
        <v>4</v>
      </c>
      <c r="L77" s="3453" t="s">
        <v>2863</v>
      </c>
      <c r="M77" s="2759" t="s">
        <v>417</v>
      </c>
      <c r="N77" s="1254"/>
      <c r="O77" s="1255">
        <f ca="1">SUMIF(N72:N76,"&lt;9e307")</f>
        <v>1922</v>
      </c>
      <c r="P77" s="1256"/>
      <c r="Q77" s="2757">
        <f ca="1">O77/N69</f>
        <v>6.7125344881779764E-2</v>
      </c>
      <c r="R77" s="1909"/>
      <c r="S77" s="1909"/>
      <c r="T77" s="1909"/>
      <c r="U77" s="1909"/>
      <c r="V77" s="1909"/>
    </row>
    <row r="78" spans="1:22" ht="12" customHeight="1">
      <c r="A78" s="1257"/>
      <c r="B78" s="309"/>
      <c r="C78" s="309"/>
      <c r="D78" s="309"/>
      <c r="E78" s="42"/>
      <c r="F78" s="42"/>
      <c r="G78" s="42"/>
      <c r="H78" s="989"/>
      <c r="I78" s="309"/>
      <c r="J78" s="1916"/>
      <c r="K78" s="3454"/>
      <c r="L78" s="3453"/>
      <c r="M78" s="2759" t="s">
        <v>420</v>
      </c>
      <c r="N78" s="1254"/>
      <c r="O78" s="1255" t="str">
        <f ca="1">NUMBERSTRING(INT(O77*10000),2)&amp;"元整"</f>
        <v>壹仟玖佰贰拾贰万元整</v>
      </c>
      <c r="P78" s="1256"/>
      <c r="Q78" s="1909"/>
      <c r="R78" s="1909"/>
      <c r="S78" s="1909"/>
      <c r="T78" s="1909"/>
      <c r="U78" s="1909"/>
      <c r="V78" s="1909"/>
    </row>
    <row r="79" spans="1:22" ht="13.5" thickBot="1">
      <c r="A79" s="3420" t="s">
        <v>422</v>
      </c>
      <c r="B79" s="3420"/>
      <c r="C79" s="3420"/>
      <c r="D79" s="3420"/>
      <c r="E79" s="3420"/>
      <c r="F79" s="42"/>
      <c r="G79" s="42"/>
      <c r="H79" s="989"/>
      <c r="I79" s="309"/>
      <c r="J79" s="1916"/>
      <c r="K79" s="3474">
        <f>K77+1</f>
        <v>5</v>
      </c>
      <c r="L79" s="3453" t="s">
        <v>2864</v>
      </c>
      <c r="M79" s="2759" t="s">
        <v>417</v>
      </c>
      <c r="N79" s="1254"/>
      <c r="O79" s="1255">
        <f ca="1">N69-O77</f>
        <v>26711</v>
      </c>
      <c r="P79" s="1256"/>
      <c r="Q79" s="1909"/>
      <c r="R79" s="1909"/>
      <c r="S79" s="1909"/>
      <c r="T79" s="1909"/>
      <c r="U79" s="1909"/>
      <c r="V79" s="1909"/>
    </row>
    <row r="80" spans="1:22" ht="25.5">
      <c r="A80" s="3421" t="s">
        <v>423</v>
      </c>
      <c r="B80" s="3422"/>
      <c r="C80" s="980"/>
      <c r="D80" s="980" t="s">
        <v>424</v>
      </c>
      <c r="E80" s="364" t="s">
        <v>425</v>
      </c>
      <c r="F80" s="42"/>
      <c r="G80" s="42"/>
      <c r="H80" s="989"/>
      <c r="I80" s="309"/>
      <c r="J80" s="1909"/>
      <c r="K80" s="3475"/>
      <c r="L80" s="3453"/>
      <c r="M80" s="2759" t="s">
        <v>420</v>
      </c>
      <c r="N80" s="1254"/>
      <c r="O80" s="1255" t="str">
        <f ca="1">NUMBERSTRING(INT(O79*10000),2)&amp;"元整"</f>
        <v>贰亿陆仟柒佰壹拾壹万元整</v>
      </c>
      <c r="P80" s="1256"/>
      <c r="Q80" s="1909"/>
      <c r="R80" s="1909"/>
      <c r="S80" s="1909"/>
      <c r="T80" s="1909"/>
      <c r="U80" s="1909"/>
      <c r="V80" s="1909"/>
    </row>
    <row r="81" spans="1:26" ht="13.5" thickBot="1">
      <c r="A81" s="375" t="s">
        <v>1814</v>
      </c>
      <c r="B81" s="365" t="s">
        <v>426</v>
      </c>
      <c r="C81" s="366">
        <f ca="1">ROUND((C82+C83)/(1+'数据-取费表'!C42),0)</f>
        <v>27270</v>
      </c>
      <c r="D81" s="367"/>
      <c r="E81" s="368"/>
      <c r="F81" s="42"/>
      <c r="G81" s="42"/>
      <c r="H81" s="989"/>
      <c r="I81" s="309"/>
      <c r="J81" s="1909"/>
      <c r="K81" s="2754">
        <f>K79+1</f>
        <v>6</v>
      </c>
      <c r="L81" s="3451" t="s">
        <v>2865</v>
      </c>
      <c r="M81" s="3452"/>
      <c r="N81" s="1258"/>
      <c r="O81" s="1259">
        <f ca="1">ROUND(O79*10000/'数据-汇总表'!E3,0)</f>
        <v>806</v>
      </c>
      <c r="P81" s="1260"/>
      <c r="Q81" s="1909"/>
      <c r="R81" s="1909"/>
      <c r="S81" s="1909"/>
      <c r="T81" s="1909"/>
      <c r="U81" s="1909"/>
      <c r="V81" s="1909"/>
    </row>
    <row r="82" spans="1:26" ht="13.5" thickTop="1">
      <c r="A82" s="369" t="s">
        <v>1815</v>
      </c>
      <c r="B82" s="370" t="s">
        <v>427</v>
      </c>
      <c r="C82" s="371">
        <f ca="1">D63</f>
        <v>28633</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67" t="s">
        <v>2853</v>
      </c>
      <c r="L83" s="2765" t="s">
        <v>2854</v>
      </c>
      <c r="M83" s="2755">
        <f ca="1">IF(N69&gt;10000,N69*0.5%,IF(AND(N69&gt;1000,N69&lt;=10000),N69*1%,IF(AND(N69&gt;100,N69&lt;=1000),N69*3%,IF(AND(N69&gt;10,N69&lt;=100),N69*5%,N69*8%))))</f>
        <v>143.16499999999999</v>
      </c>
      <c r="N83" s="53">
        <f ca="1">ROUND(M83,1)</f>
        <v>143.19999999999999</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67"/>
      <c r="L84" s="2765" t="s">
        <v>2855</v>
      </c>
      <c r="M84" s="2755">
        <f ca="1">IF(N69&gt;2000,N69*0.5%,IF(AND(N69&gt;1000,N69&lt;=2000),N69*0.6%,IF(AND(N69&gt;500,N69&lt;=1000),N69*0.7%,IF(AND(N69&gt;200,N69&lt;=500),N69*0.8%,IF(AND(N69&gt;100,N69&lt;=200),N69*0.9%,IF(AND(N69&gt;50,N69&lt;=100),N69*1%,IF(AND(N69&gt;20,N69&lt;=50),N69*1.5%,IF(AND(N69&gt;10,N69&lt;=20),N69*2%,IF(AND(N69&gt;1,N69&lt;=10),N69*2.5%)))))))))</f>
        <v>143.16499999999999</v>
      </c>
      <c r="N84" s="53">
        <f t="shared" ref="N84:N85" ca="1" si="2">ROUND(M84,1)</f>
        <v>143.19999999999999</v>
      </c>
      <c r="O84" s="1909" t="s">
        <v>2856</v>
      </c>
      <c r="P84" s="1909"/>
      <c r="Q84" s="1909"/>
      <c r="R84" s="1909"/>
      <c r="S84" s="1909"/>
      <c r="T84" s="1909"/>
      <c r="U84" s="1909"/>
      <c r="V84" s="1909"/>
    </row>
    <row r="85" spans="1:26" ht="12.75">
      <c r="A85" s="375" t="s">
        <v>1818</v>
      </c>
      <c r="B85" s="376" t="s">
        <v>430</v>
      </c>
      <c r="C85" s="379">
        <f ca="1">C81-C84</f>
        <v>27270</v>
      </c>
      <c r="D85" s="372" t="s">
        <v>19</v>
      </c>
      <c r="E85" s="373"/>
      <c r="F85" s="42"/>
      <c r="G85" s="42"/>
      <c r="H85" s="989"/>
      <c r="I85" s="309"/>
      <c r="J85" s="1909"/>
      <c r="K85" s="3467"/>
      <c r="L85" s="2765" t="s">
        <v>2857</v>
      </c>
      <c r="M85" s="2755">
        <f ca="1">IF(N69&gt;1000,N69*0.1%,IF(AND(N69&gt;500,N69&lt;=1000),N69*0.5%,IF(AND(N69&gt;50,N69&lt;=500),N69*1%,IF(AND(N69&gt;1,N69&lt;=50),N69*1.5%))))</f>
        <v>28.632999999999999</v>
      </c>
      <c r="N85" s="53">
        <f t="shared" ca="1" si="2"/>
        <v>28.6</v>
      </c>
      <c r="O85" s="1909" t="s">
        <v>2856</v>
      </c>
      <c r="P85" s="1909"/>
      <c r="Q85" s="1909"/>
      <c r="R85" s="1909"/>
      <c r="S85" s="1909"/>
      <c r="T85" s="1909"/>
      <c r="U85" s="1909"/>
      <c r="V85" s="1909"/>
    </row>
    <row r="86" spans="1:26" ht="13.5" thickBot="1">
      <c r="A86" s="380" t="s">
        <v>1819</v>
      </c>
      <c r="B86" s="381" t="s">
        <v>431</v>
      </c>
      <c r="C86" s="382">
        <f ca="1">IF(C85&lt;=0,0,ROUND(C85*D86,0))</f>
        <v>1500</v>
      </c>
      <c r="D86" s="383">
        <f>'数据-取费表'!B41</f>
        <v>5.5000000000000007E-2</v>
      </c>
      <c r="E86" s="384"/>
      <c r="F86" s="42"/>
      <c r="G86" s="42"/>
      <c r="H86" s="989"/>
      <c r="I86" s="309"/>
      <c r="J86" s="1909"/>
      <c r="K86" s="3467"/>
      <c r="L86" s="2765" t="s">
        <v>2858</v>
      </c>
      <c r="M86" s="2755">
        <f ca="1">N69*0.5%</f>
        <v>143.16499999999999</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67"/>
      <c r="L87" s="2765" t="s">
        <v>2860</v>
      </c>
      <c r="M87" s="2755">
        <f ca="1">IF(N69&gt;=10000,(8.25+(N69-10000)*0.01%),IF(AND(N69&gt;=8000,N69&lt;10000),(7.85+(N69-8000)*0.02%),IF(AND(N69&gt;=5000,N69&lt;8000),(6.65+(N69-5000)*0.04%),IF(AND(N69&gt;=2000,N69&lt;5000),(4.25+(PN69-2000)*0.08%),IF(AND(N69&gt;=1000,N69&lt;2000),(2.75+(N69-1000)*0.15%),IF(AND(N69&gt;=100,N69&lt;1000),(0.5+(N69-100)*0.25%),IF(AND(N69&gt;0,N69&lt;100),N69*0.5%)))))))</f>
        <v>10.113300000000001</v>
      </c>
      <c r="N87" s="53">
        <f ca="1">ROUND(M87*0.9,1)</f>
        <v>9.1</v>
      </c>
      <c r="O87" s="2758"/>
      <c r="P87" s="1909"/>
      <c r="Q87" s="1909"/>
      <c r="R87" s="1909"/>
      <c r="S87" s="1909"/>
      <c r="T87" s="1909"/>
      <c r="U87" s="1909"/>
      <c r="V87" s="1909"/>
      <c r="W87" s="290"/>
      <c r="X87" s="290"/>
      <c r="Y87" s="290"/>
      <c r="Z87" s="290"/>
    </row>
    <row r="88" spans="1:26" s="1266" customFormat="1" ht="15" thickBot="1">
      <c r="A88" s="3446" t="s">
        <v>432</v>
      </c>
      <c r="B88" s="3447"/>
      <c r="C88" s="3447"/>
      <c r="D88" s="3447"/>
      <c r="E88" s="3447"/>
      <c r="F88" s="3447"/>
      <c r="G88" s="3447"/>
      <c r="H88" s="3447"/>
      <c r="I88" s="1267"/>
      <c r="J88" s="1917"/>
      <c r="K88" s="3467"/>
      <c r="L88" s="2765" t="s">
        <v>2861</v>
      </c>
      <c r="M88" s="2755">
        <f ca="1">IF(N69&gt;10000,N69*0.5%,IF(AND(N69&gt;5000,N69&lt;=10000),N69*1%,IF(AND(N69&gt;1000,N69&lt;=5000),N69*2%,IF(AND(N69&gt;200,N69&lt;=1000),N69*3%,N69*5%))))</f>
        <v>143.16499999999999</v>
      </c>
      <c r="N88" s="53">
        <f ca="1">ROUND(M88,1)</f>
        <v>143.19999999999999</v>
      </c>
      <c r="O88" s="2758"/>
      <c r="P88" s="1914"/>
      <c r="Q88" s="1914"/>
      <c r="R88" s="1914"/>
      <c r="S88" s="1914"/>
      <c r="T88" s="1914"/>
      <c r="U88" s="1914"/>
      <c r="V88" s="1914"/>
      <c r="W88" s="1918"/>
      <c r="X88" s="1918"/>
      <c r="Y88" s="1918"/>
      <c r="Z88" s="1918"/>
    </row>
    <row r="89" spans="1:26" s="1266" customFormat="1" ht="14.25">
      <c r="A89" s="3421" t="s">
        <v>423</v>
      </c>
      <c r="B89" s="3422"/>
      <c r="C89" s="980"/>
      <c r="D89" s="980" t="s">
        <v>424</v>
      </c>
      <c r="E89" s="385" t="s">
        <v>433</v>
      </c>
      <c r="F89" s="386"/>
      <c r="G89" s="386"/>
      <c r="H89" s="387"/>
      <c r="I89" s="1268"/>
      <c r="J89" s="1919"/>
      <c r="K89" s="3467"/>
      <c r="L89" s="2765" t="s">
        <v>27</v>
      </c>
      <c r="M89" s="2756"/>
      <c r="N89" s="53">
        <f ca="1">ROUND(SUM(N83:N88),0)</f>
        <v>468</v>
      </c>
      <c r="O89" s="2766">
        <f ca="1">N89/N69</f>
        <v>1.6344777005553032E-2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27270</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136</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03" t="s">
        <v>441</v>
      </c>
      <c r="F94" s="3402"/>
      <c r="G94" s="3402"/>
      <c r="H94" s="34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136</v>
      </c>
      <c r="D96" s="400">
        <f>'数据-取费表'!B43</f>
        <v>5.000000000000001E-3</v>
      </c>
      <c r="E96" s="3437" t="s">
        <v>2413</v>
      </c>
      <c r="F96" s="3438"/>
      <c r="G96" s="3438"/>
      <c r="H96" s="343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27134</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199.51470588235293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16233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21" t="s">
        <v>423</v>
      </c>
      <c r="B102" s="3422"/>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27270</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25911</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25775</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25012</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763</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397" t="s">
        <v>2951</v>
      </c>
      <c r="H108" s="3398"/>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0" t="s">
        <v>458</v>
      </c>
      <c r="F110" s="3438"/>
      <c r="G110" s="3438"/>
      <c r="H110" s="343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136</v>
      </c>
      <c r="D111" s="400">
        <f>'数据-取费表'!B43</f>
        <v>5.000000000000001E-3</v>
      </c>
      <c r="E111" s="3437" t="s">
        <v>2413</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1359</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5.2448766932962833E-2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408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9" sqref="I4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32645</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985</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183945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3114</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884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107417.75</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117354</v>
      </c>
      <c r="D10" s="2738">
        <f>ROUND(D8*D9/10000,0)</f>
        <v>54489</v>
      </c>
      <c r="E10" s="2738">
        <f ca="1">不动产收益法!B2</f>
        <v>10391</v>
      </c>
      <c r="F10" s="2552">
        <f>'不动产比较法-商业'!B2</f>
        <v>1711</v>
      </c>
      <c r="G10" s="2552"/>
      <c r="H10" s="2552"/>
      <c r="I10" s="2552"/>
      <c r="J10" s="2552"/>
      <c r="K10" s="2553"/>
      <c r="L10" s="1995">
        <f ca="1">E10/2759</f>
        <v>3.7662196447988401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81110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2433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1541</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6631</v>
      </c>
      <c r="D16" s="2559">
        <f ca="1">IF(B1="",'数据-汇总表'!E3,INDIRECT("'数据-取费表'!K"&amp;$K$1)+INDIRECT("'数据-取费表'!S"&amp;$K$1))</f>
        <v>331534.86</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1217</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92932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6631</v>
      </c>
      <c r="D19" s="2569">
        <f ca="1">D16</f>
        <v>331534.86</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1405</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1027</v>
      </c>
      <c r="D21" s="2559">
        <f ca="1">IF(B1="",'数据-汇总表'!E5,IF(INDIRECT("'数据-取费表'!c"&amp;$K$1)="住宅",INDIRECT("'数据-取费表'!k"&amp;$K$1),0))</f>
        <v>205401.75</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2019</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3679</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7035</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7035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9635</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123336</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123336</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17067</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17067</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32645</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81110</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2433</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1541</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6631</v>
      </c>
      <c r="D16" s="445">
        <f ca="1">IF(B1="",'数据-汇总表'!E3,INDIRECT("'数据-取费表'!K"&amp;$K$1)+INDIRECT("'数据-取费表'!S"&amp;$K$1))</f>
        <v>331534.86</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1217</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92932</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1859</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6252</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6252</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15167</v>
      </c>
      <c r="D24" s="483">
        <f ca="1">C26</f>
        <v>3.2000000000000002E-3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15167</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3.2000000000000002E-3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125891</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4" zoomScale="85" zoomScaleNormal="95" zoomScaleSheetLayoutView="85" workbookViewId="0">
      <selection activeCell="H132" sqref="H132"/>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22614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682</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1270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85</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488" t="s">
        <v>516</v>
      </c>
      <c r="D6" s="3489"/>
      <c r="E6" s="3488" t="s">
        <v>517</v>
      </c>
      <c r="F6" s="3489"/>
      <c r="G6" s="3488" t="s">
        <v>518</v>
      </c>
      <c r="H6" s="3489"/>
      <c r="I6" s="3488" t="s">
        <v>519</v>
      </c>
      <c r="J6" s="3489"/>
      <c r="K6" s="508" t="s">
        <v>520</v>
      </c>
      <c r="L6" s="2013"/>
      <c r="M6" s="2012"/>
      <c r="N6" s="2012"/>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30" ht="20.25">
      <c r="A7" s="509"/>
      <c r="B7" s="510"/>
      <c r="C7" s="3504" t="s">
        <v>2886</v>
      </c>
      <c r="D7" s="3505"/>
      <c r="E7" s="3504" t="str">
        <f>Sheet1!A2</f>
        <v>龙山镇比孟村</v>
      </c>
      <c r="F7" s="3505"/>
      <c r="G7" s="3504" t="str">
        <f>Sheet1!A7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3498"/>
      <c r="Z7" s="3499"/>
      <c r="AA7" s="3486"/>
      <c r="AB7" s="3486"/>
      <c r="AC7" s="3486"/>
    </row>
    <row r="8" spans="1:30" ht="21" thickBot="1">
      <c r="A8" s="509"/>
      <c r="B8" s="510"/>
      <c r="C8" s="3506" t="s">
        <v>2890</v>
      </c>
      <c r="D8" s="3507"/>
      <c r="E8" s="3506" t="s">
        <v>2890</v>
      </c>
      <c r="F8" s="3507"/>
      <c r="G8" s="3502" t="s">
        <v>2890</v>
      </c>
      <c r="H8" s="3503"/>
      <c r="I8" s="3502" t="s">
        <v>2890</v>
      </c>
      <c r="J8" s="3503"/>
      <c r="K8" s="508" t="s">
        <v>522</v>
      </c>
      <c r="L8" s="2013"/>
      <c r="M8" s="2012"/>
      <c r="N8" s="2012"/>
      <c r="O8" s="2014"/>
      <c r="P8" s="3494"/>
      <c r="Q8" s="3495"/>
      <c r="R8" s="3498"/>
      <c r="S8" s="3499"/>
      <c r="T8" s="3500"/>
      <c r="U8" s="3501"/>
      <c r="V8" s="3483"/>
      <c r="W8" s="3483"/>
      <c r="X8" s="1499"/>
      <c r="Y8" s="3500"/>
      <c r="Z8" s="3501"/>
      <c r="AA8" s="3487"/>
      <c r="AB8" s="3487"/>
      <c r="AC8" s="3487"/>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513" t="s">
        <v>524</v>
      </c>
      <c r="Q9" s="3515"/>
      <c r="R9" s="1500" t="s">
        <v>8</v>
      </c>
      <c r="S9" s="1501">
        <f t="shared" ref="S9:S17" si="0">F9</f>
        <v>99</v>
      </c>
      <c r="T9" s="1500" t="s">
        <v>8</v>
      </c>
      <c r="U9" s="1501">
        <f t="shared" ref="U9:U17" si="1">H9</f>
        <v>99</v>
      </c>
      <c r="V9" s="1500" t="s">
        <v>8</v>
      </c>
      <c r="W9" s="1501">
        <f t="shared" ref="W9:W17" si="2">J9</f>
        <v>98</v>
      </c>
      <c r="X9" s="1502"/>
      <c r="Y9" s="3513" t="s">
        <v>524</v>
      </c>
      <c r="Z9" s="3514"/>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513" t="s">
        <v>527</v>
      </c>
      <c r="Q10" s="3514"/>
      <c r="R10" s="1500" t="s">
        <v>8</v>
      </c>
      <c r="S10" s="1501">
        <f t="shared" si="0"/>
        <v>100</v>
      </c>
      <c r="T10" s="1500" t="s">
        <v>8</v>
      </c>
      <c r="U10" s="1501">
        <f t="shared" si="1"/>
        <v>100</v>
      </c>
      <c r="V10" s="1500" t="s">
        <v>8</v>
      </c>
      <c r="W10" s="1501">
        <f t="shared" si="2"/>
        <v>100</v>
      </c>
      <c r="X10" s="1502"/>
      <c r="Y10" s="3513" t="s">
        <v>527</v>
      </c>
      <c r="Z10" s="3514"/>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3122</v>
      </c>
      <c r="F12" s="253">
        <f>ROUND(100/'数据-取费表'!G16,0)</f>
        <v>100</v>
      </c>
      <c r="G12" s="524" t="s">
        <v>3122</v>
      </c>
      <c r="H12" s="253">
        <f>ROUND(100/'数据-取费表'!G16,0)</f>
        <v>100</v>
      </c>
      <c r="I12" s="524" t="s">
        <v>3122</v>
      </c>
      <c r="J12" s="253">
        <f>ROUND(100/'数据-取费表'!G16,0)</f>
        <v>100</v>
      </c>
      <c r="K12" s="525"/>
      <c r="L12" s="2018"/>
      <c r="M12" s="2012"/>
      <c r="N12" s="2012"/>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30" ht="21" thickBot="1">
      <c r="A13" s="2631"/>
      <c r="B13" s="2635" t="s">
        <v>2738</v>
      </c>
      <c r="C13" s="528">
        <f>'数据-汇总表'!I4</f>
        <v>1.19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82"/>
      <c r="Q13" s="1132" t="str">
        <f t="shared" si="6"/>
        <v>容积率</v>
      </c>
      <c r="R13" s="1500" t="s">
        <v>8</v>
      </c>
      <c r="S13" s="1501">
        <f t="shared" si="0"/>
        <v>80</v>
      </c>
      <c r="T13" s="1500" t="s">
        <v>8</v>
      </c>
      <c r="U13" s="1501">
        <f t="shared" si="1"/>
        <v>80</v>
      </c>
      <c r="V13" s="1500" t="s">
        <v>8</v>
      </c>
      <c r="W13" s="1501">
        <f t="shared" si="2"/>
        <v>80</v>
      </c>
      <c r="X13" s="1502"/>
      <c r="Y13" s="3428"/>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82"/>
      <c r="Q14" s="1132" t="str">
        <f t="shared" si="6"/>
        <v>配建</v>
      </c>
      <c r="R14" s="1500" t="s">
        <v>8</v>
      </c>
      <c r="S14" s="1501">
        <f t="shared" si="0"/>
        <v>100</v>
      </c>
      <c r="T14" s="1500" t="s">
        <v>8</v>
      </c>
      <c r="U14" s="1501">
        <f t="shared" si="1"/>
        <v>100</v>
      </c>
      <c r="V14" s="1500" t="s">
        <v>8</v>
      </c>
      <c r="W14" s="1501">
        <f t="shared" si="2"/>
        <v>100</v>
      </c>
      <c r="X14" s="1502"/>
      <c r="Y14" s="3428"/>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2"/>
      <c r="M17" s="2012"/>
      <c r="N17" s="2012"/>
      <c r="O17" s="2021"/>
      <c r="P17" s="3516" t="s">
        <v>534</v>
      </c>
      <c r="Q17" s="1504" t="str">
        <f t="shared" si="6"/>
        <v>居住社区成熟度</v>
      </c>
      <c r="R17" s="1505" t="s">
        <v>8</v>
      </c>
      <c r="S17" s="1506">
        <f t="shared" si="0"/>
        <v>100</v>
      </c>
      <c r="T17" s="1505" t="s">
        <v>8</v>
      </c>
      <c r="U17" s="1506">
        <f t="shared" si="1"/>
        <v>100</v>
      </c>
      <c r="V17" s="1505" t="s">
        <v>8</v>
      </c>
      <c r="W17" s="1506">
        <f t="shared" si="2"/>
        <v>100</v>
      </c>
      <c r="X17" s="1499"/>
      <c r="Y17" s="3516"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517"/>
      <c r="Q18" s="1504"/>
      <c r="R18" s="1505"/>
      <c r="S18" s="1506"/>
      <c r="T18" s="1505"/>
      <c r="U18" s="1506"/>
      <c r="V18" s="1505"/>
      <c r="W18" s="1506"/>
      <c r="X18" s="1499"/>
      <c r="Y18" s="3517"/>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517"/>
      <c r="Q19" s="1504" t="str">
        <f>B19</f>
        <v>商业繁华度</v>
      </c>
      <c r="R19" s="1505" t="s">
        <v>8</v>
      </c>
      <c r="S19" s="1506">
        <f>F19</f>
        <v>100</v>
      </c>
      <c r="T19" s="1505" t="s">
        <v>8</v>
      </c>
      <c r="U19" s="1506">
        <f>H19</f>
        <v>100</v>
      </c>
      <c r="V19" s="1505" t="s">
        <v>8</v>
      </c>
      <c r="W19" s="1506">
        <f>J19</f>
        <v>100</v>
      </c>
      <c r="X19" s="1499"/>
      <c r="Y19" s="3517"/>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517"/>
      <c r="Q20" s="1504"/>
      <c r="R20" s="1505"/>
      <c r="S20" s="1506"/>
      <c r="T20" s="1505"/>
      <c r="U20" s="1506"/>
      <c r="V20" s="1505"/>
      <c r="W20" s="1506"/>
      <c r="X20" s="1499"/>
      <c r="Y20" s="3517"/>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517"/>
      <c r="Q21" s="1504" t="str">
        <f>B21</f>
        <v>办公集聚程度</v>
      </c>
      <c r="R21" s="1505" t="s">
        <v>8</v>
      </c>
      <c r="S21" s="1506">
        <f>F21</f>
        <v>100</v>
      </c>
      <c r="T21" s="1505" t="s">
        <v>8</v>
      </c>
      <c r="U21" s="1506">
        <f>H21</f>
        <v>100</v>
      </c>
      <c r="V21" s="1505" t="s">
        <v>8</v>
      </c>
      <c r="W21" s="1506">
        <f>J21</f>
        <v>100</v>
      </c>
      <c r="X21" s="1499"/>
      <c r="Y21" s="3517"/>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517"/>
      <c r="Q22" s="1504"/>
      <c r="R22" s="1505"/>
      <c r="S22" s="1506"/>
      <c r="T22" s="1505"/>
      <c r="U22" s="1506"/>
      <c r="V22" s="1505"/>
      <c r="W22" s="1506"/>
      <c r="X22" s="1499"/>
      <c r="Y22" s="3517"/>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5</v>
      </c>
      <c r="L23" s="2022"/>
      <c r="M23" s="2012"/>
      <c r="N23" s="2012"/>
      <c r="O23" s="2021"/>
      <c r="P23" s="3517"/>
      <c r="Q23" s="1504" t="str">
        <f>B23</f>
        <v>交通便捷度</v>
      </c>
      <c r="R23" s="1505" t="s">
        <v>8</v>
      </c>
      <c r="S23" s="1506">
        <f>F23</f>
        <v>100</v>
      </c>
      <c r="T23" s="1505" t="s">
        <v>8</v>
      </c>
      <c r="U23" s="1506">
        <f>H23</f>
        <v>100</v>
      </c>
      <c r="V23" s="1505" t="s">
        <v>8</v>
      </c>
      <c r="W23" s="1506">
        <f>J23</f>
        <v>100</v>
      </c>
      <c r="X23" s="1499"/>
      <c r="Y23" s="3517"/>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517"/>
      <c r="Q24" s="1504"/>
      <c r="R24" s="1505"/>
      <c r="S24" s="1506"/>
      <c r="T24" s="1505"/>
      <c r="U24" s="1506"/>
      <c r="V24" s="1505"/>
      <c r="W24" s="1506"/>
      <c r="X24" s="1499"/>
      <c r="Y24" s="3517"/>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022"/>
      <c r="M25" s="2012"/>
      <c r="N25" s="2012"/>
      <c r="O25" s="2021"/>
      <c r="P25" s="3517"/>
      <c r="Q25" s="1504" t="str">
        <f t="shared" ref="Q25:Q39" si="8">B25</f>
        <v>区域土地利用方向</v>
      </c>
      <c r="R25" s="1505" t="s">
        <v>8</v>
      </c>
      <c r="S25" s="1506">
        <f>F25</f>
        <v>100</v>
      </c>
      <c r="T25" s="1505" t="s">
        <v>8</v>
      </c>
      <c r="U25" s="1506">
        <f>H25</f>
        <v>100</v>
      </c>
      <c r="V25" s="1505" t="s">
        <v>8</v>
      </c>
      <c r="W25" s="1506">
        <f>J25</f>
        <v>100</v>
      </c>
      <c r="X25" s="1499"/>
      <c r="Y25" s="3517"/>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517"/>
      <c r="Q26" s="1504"/>
      <c r="R26" s="1505"/>
      <c r="S26" s="1506"/>
      <c r="T26" s="1505"/>
      <c r="U26" s="1506"/>
      <c r="V26" s="1505"/>
      <c r="W26" s="1506"/>
      <c r="X26" s="1499"/>
      <c r="Y26" s="3517"/>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022"/>
      <c r="M27" s="2012"/>
      <c r="N27" s="2012"/>
      <c r="O27" s="2021"/>
      <c r="P27" s="3517"/>
      <c r="Q27" s="1504" t="str">
        <f t="shared" si="8"/>
        <v>自然及人文环境状况</v>
      </c>
      <c r="R27" s="1505" t="s">
        <v>8</v>
      </c>
      <c r="S27" s="1506">
        <f>F27</f>
        <v>100</v>
      </c>
      <c r="T27" s="1505" t="s">
        <v>8</v>
      </c>
      <c r="U27" s="1506">
        <f>H27</f>
        <v>100</v>
      </c>
      <c r="V27" s="1505" t="s">
        <v>8</v>
      </c>
      <c r="W27" s="1506">
        <f>J27</f>
        <v>100</v>
      </c>
      <c r="X27" s="1499"/>
      <c r="Y27" s="3517"/>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517"/>
      <c r="Q28" s="1504"/>
      <c r="R28" s="1505"/>
      <c r="S28" s="1506"/>
      <c r="T28" s="1505"/>
      <c r="U28" s="1506"/>
      <c r="V28" s="1505"/>
      <c r="W28" s="1506"/>
      <c r="X28" s="1499"/>
      <c r="Y28" s="3517"/>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517"/>
      <c r="Q29" s="1132" t="str">
        <f t="shared" si="8"/>
        <v>公共配套设施</v>
      </c>
      <c r="R29" s="1500" t="s">
        <v>8</v>
      </c>
      <c r="S29" s="1501">
        <f>F29</f>
        <v>100</v>
      </c>
      <c r="T29" s="1500" t="s">
        <v>8</v>
      </c>
      <c r="U29" s="1501">
        <f>H29</f>
        <v>100</v>
      </c>
      <c r="V29" s="1500" t="s">
        <v>8</v>
      </c>
      <c r="W29" s="1501">
        <f>J29</f>
        <v>100</v>
      </c>
      <c r="X29" s="1502"/>
      <c r="Y29" s="3517"/>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517"/>
      <c r="Q30" s="1132"/>
      <c r="R30" s="1500"/>
      <c r="S30" s="1501"/>
      <c r="T30" s="1500"/>
      <c r="U30" s="1501"/>
      <c r="V30" s="1500"/>
      <c r="W30" s="1501"/>
      <c r="X30" s="1502"/>
      <c r="Y30" s="3517"/>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517"/>
      <c r="Q31" s="2426" t="str">
        <f t="shared" ref="Q31" si="9">B31</f>
        <v>基础设施水平</v>
      </c>
      <c r="R31" s="1500" t="s">
        <v>8</v>
      </c>
      <c r="S31" s="1501">
        <f>F31</f>
        <v>100</v>
      </c>
      <c r="T31" s="1500" t="s">
        <v>8</v>
      </c>
      <c r="U31" s="1501">
        <f>H31</f>
        <v>100</v>
      </c>
      <c r="V31" s="1500" t="s">
        <v>8</v>
      </c>
      <c r="W31" s="1501">
        <f>J31</f>
        <v>100</v>
      </c>
      <c r="X31" s="1502"/>
      <c r="Y31" s="3517"/>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517"/>
      <c r="Q32" s="2426"/>
      <c r="R32" s="1500"/>
      <c r="S32" s="1501"/>
      <c r="T32" s="1500"/>
      <c r="U32" s="1501"/>
      <c r="V32" s="1500"/>
      <c r="W32" s="1501"/>
      <c r="X32" s="1502"/>
      <c r="Y32" s="3517"/>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51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17"/>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517"/>
      <c r="Q34" s="1504" t="str">
        <f t="shared" si="8"/>
        <v>毗邻道路的类型与等级</v>
      </c>
      <c r="R34" s="1505" t="s">
        <v>8</v>
      </c>
      <c r="S34" s="1506">
        <f t="shared" si="10"/>
        <v>100</v>
      </c>
      <c r="T34" s="1505" t="s">
        <v>8</v>
      </c>
      <c r="U34" s="1506">
        <f t="shared" si="11"/>
        <v>100</v>
      </c>
      <c r="V34" s="1505" t="s">
        <v>8</v>
      </c>
      <c r="W34" s="1506">
        <f t="shared" si="12"/>
        <v>100</v>
      </c>
      <c r="X34" s="1499"/>
      <c r="Y34" s="3517"/>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517"/>
      <c r="Q35" s="1504"/>
      <c r="R35" s="1505"/>
      <c r="S35" s="1506"/>
      <c r="T35" s="1505"/>
      <c r="U35" s="1506"/>
      <c r="V35" s="1505"/>
      <c r="W35" s="1506"/>
      <c r="X35" s="1499"/>
      <c r="Y35" s="3517"/>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517"/>
      <c r="Q36" s="1504" t="str">
        <f t="shared" si="8"/>
        <v>土地级别</v>
      </c>
      <c r="R36" s="1505" t="s">
        <v>8</v>
      </c>
      <c r="S36" s="1506">
        <f t="shared" si="10"/>
        <v>100</v>
      </c>
      <c r="T36" s="1505" t="s">
        <v>8</v>
      </c>
      <c r="U36" s="1506">
        <f t="shared" si="11"/>
        <v>100</v>
      </c>
      <c r="V36" s="1505" t="s">
        <v>8</v>
      </c>
      <c r="W36" s="1506">
        <f t="shared" si="12"/>
        <v>100</v>
      </c>
      <c r="X36" s="1499"/>
      <c r="Y36" s="3517"/>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517"/>
      <c r="Q37" s="1504">
        <f t="shared" si="8"/>
        <v>111</v>
      </c>
      <c r="R37" s="1505" t="s">
        <v>8</v>
      </c>
      <c r="S37" s="1506">
        <f t="shared" si="10"/>
        <v>100</v>
      </c>
      <c r="T37" s="1505" t="s">
        <v>8</v>
      </c>
      <c r="U37" s="1506">
        <f t="shared" si="11"/>
        <v>100</v>
      </c>
      <c r="V37" s="1505" t="s">
        <v>8</v>
      </c>
      <c r="W37" s="1506">
        <f t="shared" si="12"/>
        <v>100</v>
      </c>
      <c r="X37" s="1499"/>
      <c r="Y37" s="3517"/>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18" t="s">
        <v>544</v>
      </c>
      <c r="Q38" s="1504">
        <f t="shared" si="8"/>
        <v>111</v>
      </c>
      <c r="R38" s="1505" t="s">
        <v>8</v>
      </c>
      <c r="S38" s="1506">
        <f t="shared" si="10"/>
        <v>100</v>
      </c>
      <c r="T38" s="1505" t="s">
        <v>8</v>
      </c>
      <c r="U38" s="1506">
        <f t="shared" si="11"/>
        <v>100</v>
      </c>
      <c r="V38" s="1505" t="s">
        <v>8</v>
      </c>
      <c r="W38" s="1506">
        <f t="shared" si="12"/>
        <v>100</v>
      </c>
      <c r="X38" s="1499"/>
      <c r="Y38" s="3519"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19"/>
      <c r="Q39" s="1504">
        <f t="shared" si="8"/>
        <v>111</v>
      </c>
      <c r="R39" s="1509" t="s">
        <v>8</v>
      </c>
      <c r="S39" s="1510">
        <f t="shared" si="10"/>
        <v>100</v>
      </c>
      <c r="T39" s="1509" t="s">
        <v>8</v>
      </c>
      <c r="U39" s="1510">
        <f t="shared" si="11"/>
        <v>100</v>
      </c>
      <c r="V39" s="1509" t="s">
        <v>8</v>
      </c>
      <c r="W39" s="1510">
        <f t="shared" si="12"/>
        <v>100</v>
      </c>
      <c r="X39" s="1511"/>
      <c r="Y39" s="3519"/>
      <c r="Z39" s="1512">
        <f t="shared" si="13"/>
        <v>111</v>
      </c>
      <c r="AA39" s="1508">
        <f t="shared" si="3"/>
        <v>1</v>
      </c>
      <c r="AB39" s="1508">
        <f t="shared" si="4"/>
        <v>1</v>
      </c>
      <c r="AC39" s="1508">
        <f t="shared" si="5"/>
        <v>1</v>
      </c>
    </row>
    <row r="40" spans="1:29" ht="20.25">
      <c r="A40" s="2622" t="s">
        <v>2735</v>
      </c>
      <c r="B40" s="589" t="s">
        <v>546</v>
      </c>
      <c r="C40" s="590">
        <f>'数据-基础表'!A3</f>
        <v>194740</v>
      </c>
      <c r="D40" s="591">
        <v>100</v>
      </c>
      <c r="E40" s="590">
        <f>Sheet1!D2</f>
        <v>36098</v>
      </c>
      <c r="F40" s="591">
        <f>LOOKUP(E40,119:119,120:120)-LOOKUP(C40,119:119,120:120)+100</f>
        <v>98.5</v>
      </c>
      <c r="G40" s="590">
        <f>Sheet1!D7</f>
        <v>65445</v>
      </c>
      <c r="H40" s="591">
        <f>LOOKUP(G40,119:119,120:120)-LOOKUP(C40,119:119,120:120)+100</f>
        <v>99</v>
      </c>
      <c r="I40" s="592">
        <f>Sheet1!D14</f>
        <v>18898</v>
      </c>
      <c r="J40" s="591">
        <f>LOOKUP(I40,119:119,120:120)-LOOKUP(C40,119:119,120:120)+100</f>
        <v>98.5</v>
      </c>
      <c r="K40" s="575"/>
      <c r="L40" s="2022"/>
      <c r="M40" s="2012"/>
      <c r="N40" s="2012"/>
      <c r="O40" s="2021"/>
      <c r="P40" s="3519"/>
      <c r="Q40" s="1504" t="str">
        <f>B40</f>
        <v>宗地面积</v>
      </c>
      <c r="R40" s="1505" t="s">
        <v>8</v>
      </c>
      <c r="S40" s="1506">
        <f t="shared" si="10"/>
        <v>98.5</v>
      </c>
      <c r="T40" s="1505" t="s">
        <v>8</v>
      </c>
      <c r="U40" s="1506">
        <f t="shared" si="11"/>
        <v>99</v>
      </c>
      <c r="V40" s="1505" t="s">
        <v>8</v>
      </c>
      <c r="W40" s="1506">
        <f t="shared" si="12"/>
        <v>98.5</v>
      </c>
      <c r="X40" s="1499"/>
      <c r="Y40" s="3519"/>
      <c r="Z40" s="1507" t="str">
        <f t="shared" si="13"/>
        <v>宗地面积</v>
      </c>
      <c r="AA40" s="1508">
        <f t="shared" si="3"/>
        <v>1.015228426395939</v>
      </c>
      <c r="AB40" s="1508">
        <f t="shared" si="4"/>
        <v>1.0101010101010102</v>
      </c>
      <c r="AC40" s="1508">
        <f t="shared" si="5"/>
        <v>1.015228426395939</v>
      </c>
    </row>
    <row r="41" spans="1:29" ht="20.25">
      <c r="A41" s="588"/>
      <c r="B41" s="521" t="s">
        <v>547</v>
      </c>
      <c r="C41" s="593" t="s">
        <v>3124</v>
      </c>
      <c r="D41" s="534">
        <v>100</v>
      </c>
      <c r="E41" s="593" t="s">
        <v>3124</v>
      </c>
      <c r="F41" s="534">
        <f>SUMIF(121:121,E41,122:122)-SUMIF(121:121,C41,122:122)+100</f>
        <v>100</v>
      </c>
      <c r="G41" s="593" t="s">
        <v>3124</v>
      </c>
      <c r="H41" s="534">
        <f>SUMIF(121:121,G41,122:122)-SUMIF(121:121,C41,122:122)+100</f>
        <v>100</v>
      </c>
      <c r="I41" s="593" t="s">
        <v>3124</v>
      </c>
      <c r="J41" s="534">
        <f>SUMIF(121:121,I41,122:122)-SUMIF(121:121,C41,122:122)+100</f>
        <v>100</v>
      </c>
      <c r="K41" s="578">
        <v>2</v>
      </c>
      <c r="L41" s="2022"/>
      <c r="M41" s="2012"/>
      <c r="N41" s="2012"/>
      <c r="O41" s="2021"/>
      <c r="P41" s="3519"/>
      <c r="Q41" s="1504" t="str">
        <f t="shared" ref="Q41:Q47" si="14">B41</f>
        <v>宗地形状</v>
      </c>
      <c r="R41" s="1505" t="s">
        <v>8</v>
      </c>
      <c r="S41" s="1506">
        <f t="shared" si="10"/>
        <v>100</v>
      </c>
      <c r="T41" s="1505" t="s">
        <v>8</v>
      </c>
      <c r="U41" s="1506">
        <f t="shared" si="11"/>
        <v>100</v>
      </c>
      <c r="V41" s="1505" t="s">
        <v>8</v>
      </c>
      <c r="W41" s="1506">
        <f t="shared" si="12"/>
        <v>100</v>
      </c>
      <c r="X41" s="1499"/>
      <c r="Y41" s="3519"/>
      <c r="Z41" s="1507" t="str">
        <f t="shared" si="13"/>
        <v>宗地形状</v>
      </c>
      <c r="AA41" s="1508">
        <f t="shared" si="3"/>
        <v>1</v>
      </c>
      <c r="AB41" s="1508">
        <f t="shared" si="4"/>
        <v>1</v>
      </c>
      <c r="AC41" s="1508">
        <f t="shared" si="5"/>
        <v>1</v>
      </c>
    </row>
    <row r="42" spans="1:29" ht="20.25">
      <c r="A42" s="588"/>
      <c r="B42" s="521" t="s">
        <v>548</v>
      </c>
      <c r="C42" s="593" t="s">
        <v>3128</v>
      </c>
      <c r="D42" s="534">
        <v>100</v>
      </c>
      <c r="E42" s="593" t="s">
        <v>3128</v>
      </c>
      <c r="F42" s="534">
        <f>SUMIF(123:123,E42,124:124)-SUMIF(123:123,C42,124:124)+100</f>
        <v>100</v>
      </c>
      <c r="G42" s="593" t="s">
        <v>3128</v>
      </c>
      <c r="H42" s="534">
        <f>SUMIF(123:123,G42,124:124)-SUMIF(123:123,C42,124:124)+100</f>
        <v>100</v>
      </c>
      <c r="I42" s="593" t="s">
        <v>3128</v>
      </c>
      <c r="J42" s="534">
        <f>SUMIF(123:123,I42,124:124)-SUMIF(123:123,C42,124:124)+100</f>
        <v>100</v>
      </c>
      <c r="K42" s="578">
        <v>2</v>
      </c>
      <c r="L42" s="2022"/>
      <c r="M42" s="2012"/>
      <c r="N42" s="2012"/>
      <c r="O42" s="2021"/>
      <c r="P42" s="3519"/>
      <c r="Q42" s="1504" t="str">
        <f t="shared" si="14"/>
        <v>临街宽度及深度</v>
      </c>
      <c r="R42" s="1505" t="s">
        <v>8</v>
      </c>
      <c r="S42" s="1506">
        <f t="shared" si="10"/>
        <v>100</v>
      </c>
      <c r="T42" s="1505" t="s">
        <v>8</v>
      </c>
      <c r="U42" s="1506">
        <f t="shared" si="11"/>
        <v>100</v>
      </c>
      <c r="V42" s="1505" t="s">
        <v>8</v>
      </c>
      <c r="W42" s="1506">
        <f t="shared" si="12"/>
        <v>100</v>
      </c>
      <c r="X42" s="1499"/>
      <c r="Y42" s="3519"/>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v>2</v>
      </c>
      <c r="L43" s="2015"/>
      <c r="M43" s="2012"/>
      <c r="N43" s="2012"/>
      <c r="O43" s="2017"/>
      <c r="P43" s="3519"/>
      <c r="Q43" s="1504" t="str">
        <f t="shared" si="14"/>
        <v>宗地开发程度</v>
      </c>
      <c r="R43" s="1500" t="s">
        <v>8</v>
      </c>
      <c r="S43" s="1501">
        <f t="shared" si="10"/>
        <v>100</v>
      </c>
      <c r="T43" s="1500" t="s">
        <v>8</v>
      </c>
      <c r="U43" s="1501">
        <f t="shared" si="11"/>
        <v>100</v>
      </c>
      <c r="V43" s="1500" t="s">
        <v>8</v>
      </c>
      <c r="W43" s="1501">
        <f t="shared" si="12"/>
        <v>100</v>
      </c>
      <c r="X43" s="1502"/>
      <c r="Y43" s="3519"/>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v>2</v>
      </c>
      <c r="L44" s="2022"/>
      <c r="M44" s="2012"/>
      <c r="N44" s="2012"/>
      <c r="O44" s="2021"/>
      <c r="P44" s="3519" t="s">
        <v>544</v>
      </c>
      <c r="Q44" s="1504" t="str">
        <f t="shared" si="14"/>
        <v>工程地质条件</v>
      </c>
      <c r="R44" s="1505" t="s">
        <v>8</v>
      </c>
      <c r="S44" s="1506">
        <f t="shared" si="10"/>
        <v>100</v>
      </c>
      <c r="T44" s="1505" t="s">
        <v>8</v>
      </c>
      <c r="U44" s="1506">
        <f t="shared" si="11"/>
        <v>100</v>
      </c>
      <c r="V44" s="1505" t="s">
        <v>8</v>
      </c>
      <c r="W44" s="1506">
        <f t="shared" si="12"/>
        <v>100</v>
      </c>
      <c r="X44" s="1499"/>
      <c r="Y44" s="3519"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19"/>
      <c r="Q45" s="1504">
        <f t="shared" si="14"/>
        <v>111</v>
      </c>
      <c r="R45" s="1505" t="s">
        <v>8</v>
      </c>
      <c r="S45" s="1506">
        <f t="shared" si="10"/>
        <v>100</v>
      </c>
      <c r="T45" s="1505" t="s">
        <v>8</v>
      </c>
      <c r="U45" s="1506">
        <f t="shared" si="11"/>
        <v>100</v>
      </c>
      <c r="V45" s="1505" t="s">
        <v>8</v>
      </c>
      <c r="W45" s="1506">
        <f t="shared" si="12"/>
        <v>100</v>
      </c>
      <c r="X45" s="1499"/>
      <c r="Y45" s="3519"/>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19"/>
      <c r="Q46" s="1504">
        <f t="shared" si="14"/>
        <v>111</v>
      </c>
      <c r="R46" s="1505" t="s">
        <v>8</v>
      </c>
      <c r="S46" s="1506">
        <f t="shared" si="10"/>
        <v>100</v>
      </c>
      <c r="T46" s="1505" t="s">
        <v>8</v>
      </c>
      <c r="U46" s="1506">
        <f t="shared" si="11"/>
        <v>100</v>
      </c>
      <c r="V46" s="1505" t="s">
        <v>8</v>
      </c>
      <c r="W46" s="1506">
        <f t="shared" si="12"/>
        <v>100</v>
      </c>
      <c r="X46" s="1499"/>
      <c r="Y46" s="3519"/>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19"/>
      <c r="Q47" s="1504">
        <f t="shared" si="14"/>
        <v>111</v>
      </c>
      <c r="R47" s="1509" t="s">
        <v>8</v>
      </c>
      <c r="S47" s="1510">
        <f t="shared" si="10"/>
        <v>100</v>
      </c>
      <c r="T47" s="1509" t="s">
        <v>8</v>
      </c>
      <c r="U47" s="1510">
        <f t="shared" si="11"/>
        <v>100</v>
      </c>
      <c r="V47" s="1509" t="s">
        <v>8</v>
      </c>
      <c r="W47" s="1510">
        <f t="shared" si="12"/>
        <v>100</v>
      </c>
      <c r="X47" s="1511"/>
      <c r="Y47" s="3519"/>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82" t="str">
        <f>A48</f>
        <v>成交单价</v>
      </c>
      <c r="Q48" s="3482"/>
      <c r="R48" s="3483">
        <f>E48</f>
        <v>825</v>
      </c>
      <c r="S48" s="3483"/>
      <c r="T48" s="3483">
        <f>G48</f>
        <v>825</v>
      </c>
      <c r="U48" s="3483"/>
      <c r="V48" s="3483">
        <f>I48</f>
        <v>902</v>
      </c>
      <c r="W48" s="3483"/>
      <c r="X48" s="1494"/>
      <c r="Y48" s="1513"/>
      <c r="Z48" s="1494"/>
      <c r="AA48" s="1494"/>
      <c r="AB48" s="1494"/>
      <c r="AC48" s="1494"/>
    </row>
    <row r="49" spans="1:29" ht="21" thickBot="1">
      <c r="A49" s="609" t="s">
        <v>2673</v>
      </c>
      <c r="B49" s="610"/>
      <c r="C49" s="611">
        <f>R50</f>
        <v>1093</v>
      </c>
      <c r="D49" s="3010" t="s">
        <v>2960</v>
      </c>
      <c r="E49" s="611">
        <f>R49</f>
        <v>1058</v>
      </c>
      <c r="F49" s="3011"/>
      <c r="G49" s="612">
        <f>T49</f>
        <v>1052</v>
      </c>
      <c r="H49" s="3011"/>
      <c r="I49" s="611">
        <f>V49</f>
        <v>1168</v>
      </c>
      <c r="J49" s="3011"/>
      <c r="K49" s="3012">
        <f>F49+H49+J49</f>
        <v>0</v>
      </c>
      <c r="L49" s="2024"/>
      <c r="M49" s="2012"/>
      <c r="N49" s="2012"/>
      <c r="O49" s="2025"/>
      <c r="P49" s="3482" t="str">
        <f>A49</f>
        <v>比较价格（元/平方米）</v>
      </c>
      <c r="Q49" s="3482"/>
      <c r="R49" s="3484">
        <f>ROUND(PRODUCT(R48,AA9:AA47),0)</f>
        <v>1058</v>
      </c>
      <c r="S49" s="3484"/>
      <c r="T49" s="3484">
        <f>ROUND(PRODUCT(T48,AB9:AB47),0)</f>
        <v>1052</v>
      </c>
      <c r="U49" s="3484"/>
      <c r="V49" s="3484">
        <f>ROUND(PRODUCT(V48,AC9:AC47),0)</f>
        <v>1168</v>
      </c>
      <c r="W49" s="3484"/>
      <c r="X49" s="1494"/>
      <c r="Y49" s="1494"/>
      <c r="Z49" s="1494"/>
      <c r="AA49" s="1494"/>
      <c r="AB49" s="1494"/>
      <c r="AC49" s="1494"/>
    </row>
    <row r="50" spans="1:29" ht="21" thickBot="1">
      <c r="A50" s="613" t="s">
        <v>2892</v>
      </c>
      <c r="B50" s="614"/>
      <c r="C50" s="615">
        <f>R50</f>
        <v>1093</v>
      </c>
      <c r="D50" s="615"/>
      <c r="E50" s="615"/>
      <c r="F50" s="615"/>
      <c r="G50" s="615"/>
      <c r="H50" s="615"/>
      <c r="I50" s="615"/>
      <c r="J50" s="615"/>
      <c r="K50" s="1293"/>
      <c r="L50" s="2024"/>
      <c r="M50" s="2012"/>
      <c r="N50" s="2012"/>
      <c r="O50" s="2025"/>
      <c r="P50" s="3479" t="str">
        <f>A50</f>
        <v>估价对象XX用房的比较价格（楼面单价，元/平方米）</v>
      </c>
      <c r="Q50" s="3480"/>
      <c r="R50" s="3481">
        <f>ROUND(IF(D49="简单平均",AVERAGE(R49:W49),R49*F49+T49*H49+V49*J49),0)</f>
        <v>1093</v>
      </c>
      <c r="S50" s="3481"/>
      <c r="T50" s="3481"/>
      <c r="U50" s="3481"/>
      <c r="V50" s="3481"/>
      <c r="W50" s="3481"/>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0.28242424242424247</v>
      </c>
      <c r="F53" s="619" t="str">
        <f>IF(OR(E53&gt;=0.3,E53&lt;=-0.3),"超过30%","")</f>
        <v/>
      </c>
      <c r="G53" s="618">
        <f>IF(G48&lt;G49,G49/G48-1,G48/G49-1)</f>
        <v>0.27515151515151515</v>
      </c>
      <c r="H53" s="619" t="str">
        <f>IF(OR(G53&gt;=0.3,G53&lt;=-0.3),"超过30%","")</f>
        <v/>
      </c>
      <c r="I53" s="618">
        <f>IF(I48&lt;I49,I49/I48-1,I48/I49-1)</f>
        <v>0.29490022172949004</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5.7034220532319324E-3</v>
      </c>
      <c r="F54" s="619" t="str">
        <f>IF(OR(E54&gt;=0.2,E54&lt;=-0.2),"超过20%","")</f>
        <v/>
      </c>
      <c r="G54" s="618">
        <f>IF(G49&lt;I49,I49/G49-1,G49/I49-1)</f>
        <v>0.11026615969581743</v>
      </c>
      <c r="H54" s="619" t="str">
        <f>IF(OR(G54&gt;=0.2,G54&lt;=-0.2),"超过20%","")</f>
        <v/>
      </c>
      <c r="I54" s="618">
        <f>IF(I49&lt;E49,E49/I49-1,I49/E49-1)</f>
        <v>0.10396975425330823</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508" t="s">
        <v>2269</v>
      </c>
      <c r="H57" s="3509"/>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1093</v>
      </c>
      <c r="C58" s="627">
        <v>1</v>
      </c>
      <c r="D58" s="2106">
        <v>1</v>
      </c>
      <c r="E58" s="627">
        <f>'数据-汇总表'!E8+'数据-汇总表'!E9</f>
        <v>206901.75</v>
      </c>
      <c r="F58" s="628">
        <f t="shared" ref="F58:F67" si="15">ROUND(B58*E58/10000,0)</f>
        <v>22614</v>
      </c>
      <c r="G58" s="3510"/>
      <c r="H58" s="3511"/>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512"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512"/>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512"/>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512"/>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324381.86</v>
      </c>
      <c r="F68" s="636">
        <f>IF(B48="楼面地价",SUM(F58:F67),ROUND(C50*E68/10000,0))</f>
        <v>22614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3121</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98</v>
      </c>
      <c r="E91" s="671">
        <f>D91-$K17</f>
        <v>96</v>
      </c>
      <c r="F91" s="671">
        <f>E91-$K17</f>
        <v>94</v>
      </c>
      <c r="G91" s="671">
        <f>F91-$K17</f>
        <v>92</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95</v>
      </c>
      <c r="E97" s="671">
        <f>D97-$K23</f>
        <v>90</v>
      </c>
      <c r="F97" s="671">
        <f>E97-$K23</f>
        <v>85</v>
      </c>
      <c r="G97" s="671">
        <f>F97-$K23</f>
        <v>80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97</v>
      </c>
      <c r="E99" s="671">
        <f>D99-$K25</f>
        <v>94</v>
      </c>
      <c r="F99" s="671">
        <f>E99-$K25</f>
        <v>91</v>
      </c>
      <c r="G99" s="671">
        <f>F99-$K25</f>
        <v>88</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3123</v>
      </c>
      <c r="D121" s="3298" t="s">
        <v>3125</v>
      </c>
      <c r="E121" s="3298" t="s">
        <v>3126</v>
      </c>
      <c r="F121" s="3298" t="s">
        <v>3127</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9">C122-$K41</f>
        <v>98</v>
      </c>
      <c r="E122" s="671">
        <f t="shared" si="29"/>
        <v>96</v>
      </c>
      <c r="F122" s="671">
        <f t="shared" si="29"/>
        <v>94</v>
      </c>
      <c r="G122" s="671">
        <f t="shared" si="29"/>
        <v>92</v>
      </c>
      <c r="H122" s="671">
        <f t="shared" si="29"/>
        <v>90</v>
      </c>
      <c r="I122" s="671">
        <f t="shared" si="29"/>
        <v>88</v>
      </c>
      <c r="J122" s="671">
        <f t="shared" si="29"/>
        <v>86</v>
      </c>
      <c r="K122" s="671">
        <f t="shared" si="29"/>
        <v>84</v>
      </c>
      <c r="L122" s="671">
        <f t="shared" si="29"/>
        <v>82</v>
      </c>
      <c r="M122" s="672">
        <f t="shared" si="29"/>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3129</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3135</v>
      </c>
      <c r="D125" s="1324" t="s">
        <v>3136</v>
      </c>
      <c r="E125" s="1324" t="s">
        <v>3137</v>
      </c>
      <c r="F125" s="1324" t="s">
        <v>3138</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98</v>
      </c>
      <c r="E126" s="671">
        <f t="shared" ref="E126:M126" si="31">D126-$K43</f>
        <v>96</v>
      </c>
      <c r="F126" s="671">
        <f t="shared" si="31"/>
        <v>94</v>
      </c>
      <c r="G126" s="671">
        <f t="shared" si="31"/>
        <v>92</v>
      </c>
      <c r="H126" s="671">
        <f t="shared" si="31"/>
        <v>90</v>
      </c>
      <c r="I126" s="671">
        <f t="shared" si="31"/>
        <v>88</v>
      </c>
      <c r="J126" s="671">
        <f t="shared" si="31"/>
        <v>86</v>
      </c>
      <c r="K126" s="671">
        <f t="shared" si="31"/>
        <v>84</v>
      </c>
      <c r="L126" s="671">
        <f t="shared" si="31"/>
        <v>82</v>
      </c>
      <c r="M126" s="672">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3131</v>
      </c>
      <c r="D127" s="1324" t="s">
        <v>3130</v>
      </c>
      <c r="E127" s="1324" t="s">
        <v>3132</v>
      </c>
      <c r="F127" s="1324" t="s">
        <v>3133</v>
      </c>
      <c r="G127" s="1324" t="s">
        <v>3134</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488" t="s">
        <v>516</v>
      </c>
      <c r="D6" s="3489"/>
      <c r="E6" s="3522" t="s">
        <v>517</v>
      </c>
      <c r="F6" s="3523"/>
      <c r="G6" s="3488" t="s">
        <v>518</v>
      </c>
      <c r="H6" s="3489"/>
      <c r="I6" s="3488" t="s">
        <v>519</v>
      </c>
      <c r="J6" s="3489"/>
      <c r="K6" s="508" t="s">
        <v>520</v>
      </c>
      <c r="L6" s="2013"/>
      <c r="M6" s="2014"/>
      <c r="N6" s="2014"/>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29" ht="15">
      <c r="A7" s="509"/>
      <c r="B7" s="510"/>
      <c r="C7" s="3504" t="s">
        <v>2886</v>
      </c>
      <c r="D7" s="3505"/>
      <c r="E7" s="3524" t="s">
        <v>2887</v>
      </c>
      <c r="F7" s="3525"/>
      <c r="G7" s="3504" t="s">
        <v>2888</v>
      </c>
      <c r="H7" s="3505"/>
      <c r="I7" s="3504" t="s">
        <v>2889</v>
      </c>
      <c r="J7" s="3505"/>
      <c r="K7" s="508"/>
      <c r="L7" s="2013"/>
      <c r="M7" s="2014"/>
      <c r="N7" s="2014"/>
      <c r="O7" s="2014"/>
      <c r="P7" s="3492"/>
      <c r="Q7" s="3493"/>
      <c r="R7" s="3498"/>
      <c r="S7" s="3499"/>
      <c r="T7" s="3498"/>
      <c r="U7" s="3499"/>
      <c r="V7" s="3483"/>
      <c r="W7" s="3483"/>
      <c r="X7" s="1499"/>
      <c r="Y7" s="3498"/>
      <c r="Z7" s="3499"/>
      <c r="AA7" s="3486"/>
      <c r="AB7" s="3486"/>
      <c r="AC7" s="3486"/>
    </row>
    <row r="8" spans="1:29" ht="15.75" thickBot="1">
      <c r="A8" s="511"/>
      <c r="B8" s="512"/>
      <c r="C8" s="3502" t="s">
        <v>2890</v>
      </c>
      <c r="D8" s="3503"/>
      <c r="E8" s="3520" t="s">
        <v>2890</v>
      </c>
      <c r="F8" s="3521"/>
      <c r="G8" s="3502" t="s">
        <v>2890</v>
      </c>
      <c r="H8" s="3503"/>
      <c r="I8" s="3502" t="s">
        <v>2890</v>
      </c>
      <c r="J8" s="3503"/>
      <c r="K8" s="508" t="s">
        <v>522</v>
      </c>
      <c r="L8" s="2013"/>
      <c r="M8" s="2014"/>
      <c r="N8" s="2014"/>
      <c r="O8" s="2014"/>
      <c r="P8" s="3494"/>
      <c r="Q8" s="3495"/>
      <c r="R8" s="3498"/>
      <c r="S8" s="3499"/>
      <c r="T8" s="3500"/>
      <c r="U8" s="3501"/>
      <c r="V8" s="3483"/>
      <c r="W8" s="3483"/>
      <c r="X8" s="1499"/>
      <c r="Y8" s="3500"/>
      <c r="Z8" s="3501"/>
      <c r="AA8" s="3487"/>
      <c r="AB8" s="3487"/>
      <c r="AC8" s="3487"/>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513" t="s">
        <v>524</v>
      </c>
      <c r="Q9" s="3515"/>
      <c r="R9" s="1500" t="s">
        <v>8</v>
      </c>
      <c r="S9" s="1501">
        <f t="shared" ref="S9:S17" si="0">F9</f>
        <v>0</v>
      </c>
      <c r="T9" s="1500" t="s">
        <v>8</v>
      </c>
      <c r="U9" s="1501">
        <f t="shared" ref="U9:U17" si="1">H9</f>
        <v>0</v>
      </c>
      <c r="V9" s="1500" t="s">
        <v>8</v>
      </c>
      <c r="W9" s="1501">
        <f t="shared" ref="W9:W17" si="2">J9</f>
        <v>0</v>
      </c>
      <c r="X9" s="1502"/>
      <c r="Y9" s="3513" t="s">
        <v>524</v>
      </c>
      <c r="Z9" s="3514"/>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513" t="s">
        <v>527</v>
      </c>
      <c r="Q10" s="3514"/>
      <c r="R10" s="1500" t="s">
        <v>8</v>
      </c>
      <c r="S10" s="1501">
        <f t="shared" si="0"/>
        <v>0</v>
      </c>
      <c r="T10" s="1500" t="s">
        <v>8</v>
      </c>
      <c r="U10" s="1501">
        <f t="shared" si="1"/>
        <v>0</v>
      </c>
      <c r="V10" s="1500" t="s">
        <v>8</v>
      </c>
      <c r="W10" s="1501">
        <f t="shared" si="2"/>
        <v>0</v>
      </c>
      <c r="X10" s="1502"/>
      <c r="Y10" s="3513" t="s">
        <v>527</v>
      </c>
      <c r="Z10" s="3514"/>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82"/>
      <c r="Q13" s="1132" t="str">
        <f t="shared" si="6"/>
        <v>容积率</v>
      </c>
      <c r="R13" s="1500" t="s">
        <v>8</v>
      </c>
      <c r="S13" s="1501" t="e">
        <f t="shared" si="0"/>
        <v>#N/A</v>
      </c>
      <c r="T13" s="1500" t="s">
        <v>8</v>
      </c>
      <c r="U13" s="1501" t="e">
        <f t="shared" si="1"/>
        <v>#N/A</v>
      </c>
      <c r="V13" s="1500" t="s">
        <v>8</v>
      </c>
      <c r="W13" s="1501" t="e">
        <f t="shared" si="2"/>
        <v>#N/A</v>
      </c>
      <c r="X13" s="1502"/>
      <c r="Y13" s="3428"/>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516" t="s">
        <v>534</v>
      </c>
      <c r="Q17" s="1504" t="str">
        <f t="shared" si="6"/>
        <v>产业集聚程度</v>
      </c>
      <c r="R17" s="1505" t="s">
        <v>8</v>
      </c>
      <c r="S17" s="1506">
        <f t="shared" si="0"/>
        <v>100</v>
      </c>
      <c r="T17" s="1505" t="s">
        <v>8</v>
      </c>
      <c r="U17" s="1506">
        <f t="shared" si="1"/>
        <v>100</v>
      </c>
      <c r="V17" s="1505" t="s">
        <v>8</v>
      </c>
      <c r="W17" s="1506">
        <f t="shared" si="2"/>
        <v>100</v>
      </c>
      <c r="X17" s="1499"/>
      <c r="Y17" s="3516"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517"/>
      <c r="Q18" s="1504"/>
      <c r="R18" s="1505"/>
      <c r="S18" s="1506"/>
      <c r="T18" s="1505"/>
      <c r="U18" s="1506"/>
      <c r="V18" s="1505"/>
      <c r="W18" s="1506"/>
      <c r="X18" s="1499"/>
      <c r="Y18" s="3517"/>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517"/>
      <c r="Q19" s="1504" t="str">
        <f>B19</f>
        <v>交通便捷度</v>
      </c>
      <c r="R19" s="1505" t="s">
        <v>8</v>
      </c>
      <c r="S19" s="1506">
        <f>F19</f>
        <v>100</v>
      </c>
      <c r="T19" s="1505" t="s">
        <v>8</v>
      </c>
      <c r="U19" s="1506">
        <f>H19</f>
        <v>100</v>
      </c>
      <c r="V19" s="1505" t="s">
        <v>8</v>
      </c>
      <c r="W19" s="1506">
        <f>J19</f>
        <v>100</v>
      </c>
      <c r="X19" s="1499"/>
      <c r="Y19" s="3517"/>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517"/>
      <c r="Q21" s="1504" t="str">
        <f t="shared" ref="Q21:Q35" si="8">B21</f>
        <v>区域土地利用方向</v>
      </c>
      <c r="R21" s="1505" t="s">
        <v>8</v>
      </c>
      <c r="S21" s="1506">
        <f>F21</f>
        <v>100</v>
      </c>
      <c r="T21" s="1505" t="s">
        <v>8</v>
      </c>
      <c r="U21" s="1506">
        <f>H21</f>
        <v>100</v>
      </c>
      <c r="V21" s="1505" t="s">
        <v>8</v>
      </c>
      <c r="W21" s="1506">
        <f>J21</f>
        <v>100</v>
      </c>
      <c r="X21" s="1499"/>
      <c r="Y21" s="3517"/>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517"/>
      <c r="Q22" s="1504"/>
      <c r="R22" s="1505"/>
      <c r="S22" s="1506"/>
      <c r="T22" s="1505"/>
      <c r="U22" s="1506"/>
      <c r="V22" s="1505"/>
      <c r="W22" s="1506"/>
      <c r="X22" s="1499"/>
      <c r="Y22" s="3517"/>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517"/>
      <c r="Q23" s="1504" t="str">
        <f t="shared" si="8"/>
        <v>环境状况</v>
      </c>
      <c r="R23" s="1505" t="s">
        <v>8</v>
      </c>
      <c r="S23" s="1506">
        <f>F23</f>
        <v>100</v>
      </c>
      <c r="T23" s="1505" t="s">
        <v>8</v>
      </c>
      <c r="U23" s="1506">
        <f>H23</f>
        <v>100</v>
      </c>
      <c r="V23" s="1505" t="s">
        <v>8</v>
      </c>
      <c r="W23" s="1506">
        <f>J23</f>
        <v>100</v>
      </c>
      <c r="X23" s="1499"/>
      <c r="Y23" s="3517"/>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517"/>
      <c r="Q24" s="1504"/>
      <c r="R24" s="1505"/>
      <c r="S24" s="1506"/>
      <c r="T24" s="1505"/>
      <c r="U24" s="1506"/>
      <c r="V24" s="1505"/>
      <c r="W24" s="1506"/>
      <c r="X24" s="1499"/>
      <c r="Y24" s="3517"/>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517"/>
      <c r="Q25" s="1132" t="str">
        <f t="shared" si="8"/>
        <v>公共配套设施</v>
      </c>
      <c r="R25" s="1500" t="s">
        <v>8</v>
      </c>
      <c r="S25" s="1501">
        <f>F25</f>
        <v>100</v>
      </c>
      <c r="T25" s="1500" t="s">
        <v>8</v>
      </c>
      <c r="U25" s="1501">
        <f>H25</f>
        <v>100</v>
      </c>
      <c r="V25" s="1500" t="s">
        <v>8</v>
      </c>
      <c r="W25" s="1501">
        <f>J25</f>
        <v>100</v>
      </c>
      <c r="X25" s="1502"/>
      <c r="Y25" s="3517"/>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517"/>
      <c r="Q26" s="1132"/>
      <c r="R26" s="1500"/>
      <c r="S26" s="1501"/>
      <c r="T26" s="1500"/>
      <c r="U26" s="1501"/>
      <c r="V26" s="1500"/>
      <c r="W26" s="1501"/>
      <c r="X26" s="1502"/>
      <c r="Y26" s="3517"/>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517"/>
      <c r="Q27" s="2426" t="str">
        <f t="shared" ref="Q27" si="9">B27</f>
        <v>基础设施水平</v>
      </c>
      <c r="R27" s="1500" t="s">
        <v>8</v>
      </c>
      <c r="S27" s="1501">
        <f>F27</f>
        <v>100</v>
      </c>
      <c r="T27" s="1500" t="s">
        <v>8</v>
      </c>
      <c r="U27" s="1501">
        <f>H27</f>
        <v>100</v>
      </c>
      <c r="V27" s="1500" t="s">
        <v>8</v>
      </c>
      <c r="W27" s="1501">
        <f>J27</f>
        <v>100</v>
      </c>
      <c r="X27" s="1502"/>
      <c r="Y27" s="3517"/>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517"/>
      <c r="Q28" s="2426"/>
      <c r="R28" s="1500"/>
      <c r="S28" s="1501"/>
      <c r="T28" s="1500"/>
      <c r="U28" s="1501"/>
      <c r="V28" s="1500"/>
      <c r="W28" s="1501"/>
      <c r="X28" s="1502"/>
      <c r="Y28" s="3517"/>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51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17"/>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517"/>
      <c r="Q30" s="1504" t="str">
        <f t="shared" si="8"/>
        <v>毗邻道路的类型与等级</v>
      </c>
      <c r="R30" s="1505" t="s">
        <v>8</v>
      </c>
      <c r="S30" s="1506">
        <f t="shared" si="10"/>
        <v>100</v>
      </c>
      <c r="T30" s="1505" t="s">
        <v>8</v>
      </c>
      <c r="U30" s="1506">
        <f t="shared" si="11"/>
        <v>100</v>
      </c>
      <c r="V30" s="1505" t="s">
        <v>8</v>
      </c>
      <c r="W30" s="1506">
        <f t="shared" si="12"/>
        <v>100</v>
      </c>
      <c r="X30" s="1499"/>
      <c r="Y30" s="3517"/>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517"/>
      <c r="Q31" s="1504"/>
      <c r="R31" s="1505"/>
      <c r="S31" s="1506"/>
      <c r="T31" s="1505"/>
      <c r="U31" s="1506"/>
      <c r="V31" s="1505"/>
      <c r="W31" s="1506"/>
      <c r="X31" s="1499"/>
      <c r="Y31" s="3517"/>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517"/>
      <c r="Q32" s="1504" t="str">
        <f t="shared" si="8"/>
        <v>土地级别</v>
      </c>
      <c r="R32" s="1505" t="s">
        <v>8</v>
      </c>
      <c r="S32" s="1506">
        <f t="shared" si="10"/>
        <v>100</v>
      </c>
      <c r="T32" s="1505" t="s">
        <v>8</v>
      </c>
      <c r="U32" s="1506">
        <f t="shared" si="11"/>
        <v>100</v>
      </c>
      <c r="V32" s="1505" t="s">
        <v>8</v>
      </c>
      <c r="W32" s="1506">
        <f t="shared" si="12"/>
        <v>100</v>
      </c>
      <c r="X32" s="1499"/>
      <c r="Y32" s="3517"/>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517"/>
      <c r="Q33" s="1504">
        <f t="shared" si="8"/>
        <v>111</v>
      </c>
      <c r="R33" s="1505" t="s">
        <v>8</v>
      </c>
      <c r="S33" s="1506">
        <f t="shared" si="10"/>
        <v>100</v>
      </c>
      <c r="T33" s="1505" t="s">
        <v>8</v>
      </c>
      <c r="U33" s="1506">
        <f t="shared" si="11"/>
        <v>100</v>
      </c>
      <c r="V33" s="1505" t="s">
        <v>8</v>
      </c>
      <c r="W33" s="1506">
        <f t="shared" si="12"/>
        <v>100</v>
      </c>
      <c r="X33" s="1499"/>
      <c r="Y33" s="3517"/>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18" t="s">
        <v>544</v>
      </c>
      <c r="Q34" s="1504">
        <f t="shared" si="8"/>
        <v>111</v>
      </c>
      <c r="R34" s="1505" t="s">
        <v>8</v>
      </c>
      <c r="S34" s="1506">
        <f t="shared" si="10"/>
        <v>100</v>
      </c>
      <c r="T34" s="1505" t="s">
        <v>8</v>
      </c>
      <c r="U34" s="1506">
        <f t="shared" si="11"/>
        <v>100</v>
      </c>
      <c r="V34" s="1505" t="s">
        <v>8</v>
      </c>
      <c r="W34" s="1506">
        <f t="shared" si="12"/>
        <v>100</v>
      </c>
      <c r="X34" s="1499"/>
      <c r="Y34" s="3519"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19"/>
      <c r="Q35" s="1504">
        <f t="shared" si="8"/>
        <v>111</v>
      </c>
      <c r="R35" s="1509" t="s">
        <v>8</v>
      </c>
      <c r="S35" s="1510">
        <f t="shared" si="10"/>
        <v>100</v>
      </c>
      <c r="T35" s="1509" t="s">
        <v>8</v>
      </c>
      <c r="U35" s="1510">
        <f t="shared" si="11"/>
        <v>100</v>
      </c>
      <c r="V35" s="1509" t="s">
        <v>8</v>
      </c>
      <c r="W35" s="1510">
        <f t="shared" si="12"/>
        <v>100</v>
      </c>
      <c r="X35" s="1511"/>
      <c r="Y35" s="3519"/>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19"/>
      <c r="Q36" s="1504" t="str">
        <f>B36</f>
        <v>宗地面积</v>
      </c>
      <c r="R36" s="1505" t="s">
        <v>8</v>
      </c>
      <c r="S36" s="1506" t="e">
        <f t="shared" si="10"/>
        <v>#N/A</v>
      </c>
      <c r="T36" s="1505" t="s">
        <v>8</v>
      </c>
      <c r="U36" s="1506" t="e">
        <f t="shared" si="11"/>
        <v>#N/A</v>
      </c>
      <c r="V36" s="1505" t="s">
        <v>8</v>
      </c>
      <c r="W36" s="1506" t="e">
        <f t="shared" si="12"/>
        <v>#N/A</v>
      </c>
      <c r="X36" s="1499"/>
      <c r="Y36" s="3519"/>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19"/>
      <c r="Q37" s="1504" t="str">
        <f t="shared" ref="Q37:Q42" si="14">B37</f>
        <v>宗地形状</v>
      </c>
      <c r="R37" s="1505" t="s">
        <v>8</v>
      </c>
      <c r="S37" s="1506">
        <f t="shared" si="10"/>
        <v>100</v>
      </c>
      <c r="T37" s="1505" t="s">
        <v>8</v>
      </c>
      <c r="U37" s="1506">
        <f t="shared" si="11"/>
        <v>100</v>
      </c>
      <c r="V37" s="1505" t="s">
        <v>8</v>
      </c>
      <c r="W37" s="1506">
        <f t="shared" si="12"/>
        <v>100</v>
      </c>
      <c r="X37" s="1499"/>
      <c r="Y37" s="3519"/>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19"/>
      <c r="Q38" s="1504" t="str">
        <f t="shared" si="14"/>
        <v>宗地开发程度</v>
      </c>
      <c r="R38" s="1500" t="s">
        <v>8</v>
      </c>
      <c r="S38" s="1501">
        <f t="shared" si="10"/>
        <v>100</v>
      </c>
      <c r="T38" s="1500" t="s">
        <v>8</v>
      </c>
      <c r="U38" s="1501">
        <f t="shared" si="11"/>
        <v>100</v>
      </c>
      <c r="V38" s="1500" t="s">
        <v>8</v>
      </c>
      <c r="W38" s="1501">
        <f t="shared" si="12"/>
        <v>100</v>
      </c>
      <c r="X38" s="1502"/>
      <c r="Y38" s="3519"/>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t="s">
        <v>595</v>
      </c>
      <c r="Q39" s="1504" t="str">
        <f t="shared" si="14"/>
        <v>工程地质条件</v>
      </c>
      <c r="R39" s="1505" t="s">
        <v>8</v>
      </c>
      <c r="S39" s="1506">
        <f t="shared" si="10"/>
        <v>100</v>
      </c>
      <c r="T39" s="1505" t="s">
        <v>8</v>
      </c>
      <c r="U39" s="1506">
        <f t="shared" si="11"/>
        <v>100</v>
      </c>
      <c r="V39" s="1505" t="s">
        <v>8</v>
      </c>
      <c r="W39" s="1506">
        <f t="shared" si="12"/>
        <v>100</v>
      </c>
      <c r="X39" s="1499"/>
      <c r="Y39" s="3519"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19"/>
      <c r="Q40" s="1504">
        <f t="shared" si="14"/>
        <v>111</v>
      </c>
      <c r="R40" s="1505" t="s">
        <v>8</v>
      </c>
      <c r="S40" s="1506">
        <f t="shared" si="10"/>
        <v>100</v>
      </c>
      <c r="T40" s="1505" t="s">
        <v>8</v>
      </c>
      <c r="U40" s="1506">
        <f t="shared" si="11"/>
        <v>100</v>
      </c>
      <c r="V40" s="1505" t="s">
        <v>8</v>
      </c>
      <c r="W40" s="1506">
        <f t="shared" si="12"/>
        <v>100</v>
      </c>
      <c r="X40" s="1499"/>
      <c r="Y40" s="3519"/>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19"/>
      <c r="Q41" s="1504">
        <f t="shared" si="14"/>
        <v>111</v>
      </c>
      <c r="R41" s="1505" t="s">
        <v>8</v>
      </c>
      <c r="S41" s="1506">
        <f t="shared" si="10"/>
        <v>100</v>
      </c>
      <c r="T41" s="1505" t="s">
        <v>8</v>
      </c>
      <c r="U41" s="1506">
        <f t="shared" si="11"/>
        <v>100</v>
      </c>
      <c r="V41" s="1505" t="s">
        <v>8</v>
      </c>
      <c r="W41" s="1506">
        <f t="shared" si="12"/>
        <v>100</v>
      </c>
      <c r="X41" s="1499"/>
      <c r="Y41" s="3519"/>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19"/>
      <c r="Q42" s="1504">
        <f t="shared" si="14"/>
        <v>111</v>
      </c>
      <c r="R42" s="1509" t="s">
        <v>8</v>
      </c>
      <c r="S42" s="1510">
        <f t="shared" si="10"/>
        <v>100</v>
      </c>
      <c r="T42" s="1509" t="s">
        <v>8</v>
      </c>
      <c r="U42" s="1510">
        <f t="shared" si="11"/>
        <v>100</v>
      </c>
      <c r="V42" s="1509" t="s">
        <v>8</v>
      </c>
      <c r="W42" s="1510">
        <f t="shared" si="12"/>
        <v>100</v>
      </c>
      <c r="X42" s="1511"/>
      <c r="Y42" s="3519"/>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82" t="str">
        <f>A43</f>
        <v>成交单价</v>
      </c>
      <c r="Q43" s="3482"/>
      <c r="R43" s="3483">
        <f>E43</f>
        <v>0</v>
      </c>
      <c r="S43" s="3483"/>
      <c r="T43" s="3483">
        <f>G43</f>
        <v>0</v>
      </c>
      <c r="U43" s="3483"/>
      <c r="V43" s="3483">
        <f>I43</f>
        <v>0</v>
      </c>
      <c r="W43" s="3483"/>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82" t="str">
        <f>A44</f>
        <v>比较价格（元/平方米）</v>
      </c>
      <c r="Q44" s="3482"/>
      <c r="R44" s="3484" t="e">
        <f>ROUND(PRODUCT(R43,AA9:AA42),0)</f>
        <v>#DIV/0!</v>
      </c>
      <c r="S44" s="3484"/>
      <c r="T44" s="3484" t="e">
        <f>ROUND(PRODUCT(T43,AB9:AB42),0)</f>
        <v>#DIV/0!</v>
      </c>
      <c r="U44" s="3484"/>
      <c r="V44" s="3484" t="e">
        <f>ROUND(PRODUCT(V43,AC9:AC42),0)</f>
        <v>#DIV/0!</v>
      </c>
      <c r="W44" s="3484"/>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479" t="str">
        <f>A45</f>
        <v>估价对象XX用房的比较价格（楼面单价，元/平方米）</v>
      </c>
      <c r="Q45" s="3480"/>
      <c r="R45" s="3531" t="e">
        <f>ROUND(IF(D44="简单平均",AVERAGE(R44:W44),R44*F44+T44*H44+V44*J44),0)</f>
        <v>#DIV/0!</v>
      </c>
      <c r="S45" s="3531"/>
      <c r="T45" s="3531"/>
      <c r="U45" s="3531"/>
      <c r="V45" s="3531"/>
      <c r="W45" s="3531"/>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6" t="s">
        <v>2272</v>
      </c>
      <c r="H52" s="3527"/>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206901.75</v>
      </c>
      <c r="F53" s="1862" t="e">
        <f t="shared" ref="F53:F62" si="15">ROUND(B53*E53/10000,0)</f>
        <v>#DIV/0!</v>
      </c>
      <c r="G53" s="3528"/>
      <c r="H53" s="3529"/>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30"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30"/>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30"/>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30"/>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178018.61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6"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47"/>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33" t="s">
        <v>2762</v>
      </c>
      <c r="X8" s="3534"/>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7"/>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32"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7"/>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7"/>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32"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46"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32"/>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8"/>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3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48"/>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9"/>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6" t="s">
        <v>1829</v>
      </c>
      <c r="B16" s="1373" t="s">
        <v>941</v>
      </c>
      <c r="C16" s="1037" t="e">
        <f>ROUND(IF(F17="与级别开发程度一致",0,(G17-E17)/C17),0)</f>
        <v>#DIV/0!</v>
      </c>
      <c r="D16" s="3540" t="s">
        <v>945</v>
      </c>
      <c r="E16" s="3541"/>
      <c r="F16" s="3540" t="s">
        <v>942</v>
      </c>
      <c r="G16" s="3541"/>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50"/>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2"/>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2"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3"/>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3"/>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3"/>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3"/>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4"/>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4"/>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1" t="s">
        <v>1624</v>
      </c>
      <c r="B90" s="3551"/>
      <c r="C90" s="3551"/>
      <c r="D90" s="3551"/>
      <c r="E90" s="3551"/>
      <c r="F90" s="3551"/>
      <c r="G90" s="3551"/>
      <c r="H90" s="3551"/>
      <c r="I90" s="3551"/>
      <c r="J90" s="3551"/>
      <c r="K90" s="2303"/>
      <c r="L90" s="2303"/>
      <c r="M90" s="2303"/>
      <c r="N90" s="2303"/>
    </row>
    <row r="91" spans="1:40">
      <c r="A91" s="3552" t="s">
        <v>1434</v>
      </c>
      <c r="B91" s="3552" t="s">
        <v>1625</v>
      </c>
      <c r="C91" s="1121" t="s">
        <v>1626</v>
      </c>
      <c r="D91" s="1122"/>
      <c r="E91" s="1122"/>
      <c r="F91" s="1122"/>
      <c r="G91" s="1122"/>
      <c r="H91" s="1122"/>
      <c r="I91" s="1122"/>
      <c r="J91" s="1123"/>
      <c r="K91" s="1115"/>
      <c r="L91" s="1115"/>
      <c r="M91" s="1115"/>
      <c r="N91" s="1115"/>
    </row>
    <row r="92" spans="1:40">
      <c r="A92" s="3552"/>
      <c r="B92" s="355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5"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6"/>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5"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6"/>
      <c r="B108" s="3538"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7"/>
      <c r="B109" s="353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45" t="s">
        <v>1630</v>
      </c>
      <c r="B110" s="3545"/>
      <c r="C110" s="3545"/>
      <c r="D110" s="3545"/>
      <c r="E110" s="3545"/>
      <c r="F110" s="3545"/>
      <c r="G110" s="3545"/>
      <c r="H110" s="3545"/>
      <c r="I110" s="3545"/>
      <c r="J110" s="3545"/>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52" t="s">
        <v>998</v>
      </c>
      <c r="B18" s="1135" t="s">
        <v>1437</v>
      </c>
      <c r="C18" s="1112" t="s">
        <v>1438</v>
      </c>
      <c r="D18" s="1113"/>
      <c r="E18" s="1135">
        <v>1</v>
      </c>
      <c r="F18" s="1114" t="s">
        <v>1439</v>
      </c>
      <c r="G18" s="1115"/>
      <c r="H18" s="1086"/>
      <c r="I18" s="1086"/>
    </row>
    <row r="19" spans="1:9" s="1527" customFormat="1" ht="19.5" customHeight="1">
      <c r="A19" s="3552"/>
      <c r="B19" s="3552" t="s">
        <v>1440</v>
      </c>
      <c r="C19" s="1112" t="s">
        <v>1441</v>
      </c>
      <c r="D19" s="1113"/>
      <c r="E19" s="1135">
        <v>0.9</v>
      </c>
      <c r="F19" s="1114" t="s">
        <v>1442</v>
      </c>
      <c r="G19" s="1115"/>
      <c r="H19" s="1086"/>
      <c r="I19" s="1086"/>
    </row>
    <row r="20" spans="1:9" s="1527" customFormat="1" ht="19.5" customHeight="1">
      <c r="A20" s="3552"/>
      <c r="B20" s="3552"/>
      <c r="C20" s="1112" t="s">
        <v>1443</v>
      </c>
      <c r="D20" s="1113"/>
      <c r="E20" s="1135">
        <v>1.1000000000000001</v>
      </c>
      <c r="F20" s="1114" t="s">
        <v>1444</v>
      </c>
      <c r="G20" s="1115"/>
      <c r="H20" s="1086"/>
      <c r="I20" s="1086"/>
    </row>
    <row r="21" spans="1:9" s="1527" customFormat="1" ht="19.5" customHeight="1">
      <c r="A21" s="3552"/>
      <c r="B21" s="3552"/>
      <c r="C21" s="1112" t="s">
        <v>1445</v>
      </c>
      <c r="D21" s="1113"/>
      <c r="E21" s="1135">
        <v>0.8</v>
      </c>
      <c r="F21" s="1114" t="s">
        <v>1446</v>
      </c>
      <c r="G21" s="1115"/>
      <c r="H21" s="1086"/>
      <c r="I21" s="1086"/>
    </row>
    <row r="22" spans="1:9" s="1527" customFormat="1" ht="19.5" customHeight="1">
      <c r="A22" s="3552"/>
      <c r="B22" s="3552"/>
      <c r="C22" s="1112" t="s">
        <v>1447</v>
      </c>
      <c r="D22" s="1113"/>
      <c r="E22" s="1135">
        <v>0.5</v>
      </c>
      <c r="F22" s="1114"/>
      <c r="G22" s="1115"/>
      <c r="H22" s="1086"/>
      <c r="I22" s="1086"/>
    </row>
    <row r="23" spans="1:9" s="1527" customFormat="1" ht="19.5" customHeight="1">
      <c r="A23" s="3552" t="s">
        <v>1020</v>
      </c>
      <c r="B23" s="1135" t="s">
        <v>1437</v>
      </c>
      <c r="C23" s="1112" t="s">
        <v>1448</v>
      </c>
      <c r="D23" s="1113"/>
      <c r="E23" s="1135">
        <v>1</v>
      </c>
      <c r="F23" s="1114" t="s">
        <v>1449</v>
      </c>
      <c r="G23" s="1115"/>
      <c r="H23" s="1086"/>
      <c r="I23" s="1086"/>
    </row>
    <row r="24" spans="1:9" s="1527" customFormat="1" ht="19.5" customHeight="1">
      <c r="A24" s="3552"/>
      <c r="B24" s="3552" t="s">
        <v>1440</v>
      </c>
      <c r="C24" s="1112" t="s">
        <v>1450</v>
      </c>
      <c r="D24" s="1113"/>
      <c r="E24" s="1135">
        <v>0.5</v>
      </c>
      <c r="F24" s="1114"/>
      <c r="G24" s="1115"/>
      <c r="H24" s="1086"/>
      <c r="I24" s="1086"/>
    </row>
    <row r="25" spans="1:9" s="1527" customFormat="1" ht="19.5" customHeight="1">
      <c r="A25" s="3552"/>
      <c r="B25" s="3552"/>
      <c r="C25" s="1112" t="s">
        <v>1451</v>
      </c>
      <c r="D25" s="1113"/>
      <c r="E25" s="1135">
        <v>1.1000000000000001</v>
      </c>
      <c r="F25" s="1114"/>
      <c r="G25" s="1115"/>
      <c r="H25" s="1086"/>
      <c r="I25" s="1086"/>
    </row>
    <row r="26" spans="1:9" s="1527" customFormat="1" ht="19.5" customHeight="1">
      <c r="A26" s="3552"/>
      <c r="B26" s="3552"/>
      <c r="C26" s="1112" t="s">
        <v>1452</v>
      </c>
      <c r="D26" s="1113"/>
      <c r="E26" s="1135">
        <v>1.1000000000000001</v>
      </c>
      <c r="F26" s="1114"/>
      <c r="G26" s="1115"/>
      <c r="H26" s="1086"/>
      <c r="I26" s="1086"/>
    </row>
    <row r="27" spans="1:9" s="1527" customFormat="1" ht="19.5" customHeight="1">
      <c r="A27" s="3552"/>
      <c r="B27" s="3552"/>
      <c r="C27" s="1112" t="s">
        <v>1453</v>
      </c>
      <c r="D27" s="1113"/>
      <c r="E27" s="1135">
        <v>0.9</v>
      </c>
      <c r="F27" s="1114" t="s">
        <v>1454</v>
      </c>
      <c r="G27" s="1115"/>
      <c r="H27" s="1086"/>
      <c r="I27" s="1086"/>
    </row>
    <row r="28" spans="1:9" s="1527" customFormat="1" ht="19.5" customHeight="1">
      <c r="A28" s="3552"/>
      <c r="B28" s="3552"/>
      <c r="C28" s="1112" t="s">
        <v>1455</v>
      </c>
      <c r="D28" s="1113"/>
      <c r="E28" s="1135">
        <v>0.9</v>
      </c>
      <c r="F28" s="1114" t="s">
        <v>1456</v>
      </c>
      <c r="G28" s="1115"/>
      <c r="H28" s="1086"/>
      <c r="I28" s="1086"/>
    </row>
    <row r="29" spans="1:9" s="1527" customFormat="1" ht="19.5" customHeight="1">
      <c r="A29" s="3552"/>
      <c r="B29" s="3552"/>
      <c r="C29" s="1112" t="s">
        <v>1457</v>
      </c>
      <c r="D29" s="1113"/>
      <c r="E29" s="1135">
        <v>0.9</v>
      </c>
      <c r="F29" s="1114" t="s">
        <v>1458</v>
      </c>
      <c r="G29" s="1115"/>
      <c r="H29" s="1086"/>
      <c r="I29" s="1086"/>
    </row>
    <row r="30" spans="1:9" s="1527" customFormat="1" ht="19.5" customHeight="1">
      <c r="A30" s="3552"/>
      <c r="B30" s="3552"/>
      <c r="C30" s="1112" t="s">
        <v>1459</v>
      </c>
      <c r="D30" s="1113"/>
      <c r="E30" s="1135">
        <v>0.9</v>
      </c>
      <c r="F30" s="1114" t="s">
        <v>1460</v>
      </c>
      <c r="G30" s="1115"/>
      <c r="H30" s="1086"/>
      <c r="I30" s="1086"/>
    </row>
    <row r="31" spans="1:9" s="1527" customFormat="1" ht="19.5" customHeight="1">
      <c r="A31" s="3552"/>
      <c r="B31" s="3552"/>
      <c r="C31" s="1112" t="s">
        <v>1461</v>
      </c>
      <c r="D31" s="1113"/>
      <c r="E31" s="1135">
        <v>0.8</v>
      </c>
      <c r="F31" s="1114" t="s">
        <v>1462</v>
      </c>
      <c r="G31" s="1115"/>
      <c r="H31" s="1086"/>
      <c r="I31" s="1086"/>
    </row>
    <row r="32" spans="1:9" s="1527" customFormat="1" ht="19.5" customHeight="1">
      <c r="A32" s="3552"/>
      <c r="B32" s="3552"/>
      <c r="C32" s="1112" t="s">
        <v>1463</v>
      </c>
      <c r="D32" s="1113"/>
      <c r="E32" s="1135">
        <v>0.8</v>
      </c>
      <c r="F32" s="1114" t="s">
        <v>1464</v>
      </c>
      <c r="G32" s="1115"/>
      <c r="H32" s="1086"/>
      <c r="I32" s="1086"/>
    </row>
    <row r="33" spans="1:9" s="1527" customFormat="1" ht="19.5" customHeight="1">
      <c r="A33" s="3552" t="s">
        <v>1465</v>
      </c>
      <c r="B33" s="1135" t="s">
        <v>1437</v>
      </c>
      <c r="C33" s="1112" t="s">
        <v>1466</v>
      </c>
      <c r="D33" s="1113"/>
      <c r="E33" s="1135">
        <v>1</v>
      </c>
      <c r="F33" s="1114" t="s">
        <v>1467</v>
      </c>
      <c r="G33" s="1115"/>
      <c r="H33" s="1086"/>
      <c r="I33" s="1086"/>
    </row>
    <row r="34" spans="1:9" s="1527" customFormat="1" ht="19.5" customHeight="1">
      <c r="A34" s="3552"/>
      <c r="B34" s="1135" t="s">
        <v>1440</v>
      </c>
      <c r="C34" s="1112" t="s">
        <v>1468</v>
      </c>
      <c r="D34" s="1113"/>
      <c r="E34" s="1135">
        <v>1.5</v>
      </c>
      <c r="F34" s="1114" t="s">
        <v>1469</v>
      </c>
      <c r="G34" s="1115"/>
      <c r="H34" s="1086"/>
      <c r="I34" s="1086"/>
    </row>
    <row r="35" spans="1:9" s="1527" customFormat="1" ht="19.5" customHeight="1">
      <c r="A35" s="3552" t="s">
        <v>1423</v>
      </c>
      <c r="B35" s="1135" t="s">
        <v>1437</v>
      </c>
      <c r="C35" s="1112" t="s">
        <v>1470</v>
      </c>
      <c r="D35" s="1113"/>
      <c r="E35" s="1135">
        <v>1</v>
      </c>
      <c r="F35" s="1114" t="s">
        <v>1471</v>
      </c>
      <c r="G35" s="1115"/>
      <c r="H35" s="1086"/>
      <c r="I35" s="1086"/>
    </row>
    <row r="36" spans="1:9" s="1527" customFormat="1" ht="19.5" customHeight="1">
      <c r="A36" s="3552"/>
      <c r="B36" s="3552" t="s">
        <v>1440</v>
      </c>
      <c r="C36" s="1112" t="s">
        <v>1472</v>
      </c>
      <c r="D36" s="1113"/>
      <c r="E36" s="1135">
        <v>1</v>
      </c>
      <c r="F36" s="1114" t="s">
        <v>1473</v>
      </c>
      <c r="G36" s="1115"/>
      <c r="H36" s="1086"/>
      <c r="I36" s="1086"/>
    </row>
    <row r="37" spans="1:9" s="1527" customFormat="1" ht="19.5" customHeight="1">
      <c r="A37" s="3552"/>
      <c r="B37" s="3552"/>
      <c r="C37" s="1112" t="s">
        <v>1474</v>
      </c>
      <c r="D37" s="1113"/>
      <c r="E37" s="1135">
        <v>1.5</v>
      </c>
      <c r="F37" s="1114" t="s">
        <v>1475</v>
      </c>
      <c r="G37" s="1115"/>
      <c r="H37" s="1086"/>
      <c r="I37" s="1086"/>
    </row>
    <row r="38" spans="1:9" s="1527" customFormat="1" ht="19.5" customHeight="1">
      <c r="A38" s="3552"/>
      <c r="B38" s="3552"/>
      <c r="C38" s="1112" t="s">
        <v>1476</v>
      </c>
      <c r="D38" s="1113"/>
      <c r="E38" s="1135">
        <v>1</v>
      </c>
      <c r="F38" s="1114" t="s">
        <v>1477</v>
      </c>
      <c r="G38" s="1115"/>
      <c r="H38" s="1086"/>
      <c r="I38" s="1086"/>
    </row>
    <row r="39" spans="1:9" s="1527" customFormat="1" ht="19.5" customHeight="1">
      <c r="A39" s="3552"/>
      <c r="B39" s="3552"/>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52" t="s">
        <v>1492</v>
      </c>
      <c r="C61" s="1049" t="s">
        <v>1493</v>
      </c>
      <c r="D61" s="1049" t="s">
        <v>1494</v>
      </c>
      <c r="E61" s="1120">
        <v>0.5</v>
      </c>
      <c r="F61" s="1135">
        <v>80</v>
      </c>
      <c r="H61" s="1086">
        <f>SUMIF(C59:C119,基准地价!C8,E59:E119)</f>
        <v>0</v>
      </c>
    </row>
    <row r="62" spans="1:8" s="1086" customFormat="1" ht="24">
      <c r="A62" s="1135">
        <v>2</v>
      </c>
      <c r="B62" s="3552"/>
      <c r="C62" s="1049" t="s">
        <v>1495</v>
      </c>
      <c r="D62" s="1049" t="s">
        <v>1496</v>
      </c>
      <c r="E62" s="1120">
        <v>0.5</v>
      </c>
      <c r="F62" s="1135">
        <v>80</v>
      </c>
    </row>
    <row r="63" spans="1:8" s="1086" customFormat="1" ht="36">
      <c r="A63" s="1135">
        <v>3</v>
      </c>
      <c r="B63" s="3552"/>
      <c r="C63" s="1049" t="s">
        <v>1497</v>
      </c>
      <c r="D63" s="1049" t="s">
        <v>1498</v>
      </c>
      <c r="E63" s="1120">
        <v>0.5</v>
      </c>
      <c r="F63" s="1135">
        <v>80</v>
      </c>
    </row>
    <row r="64" spans="1:8" s="1086" customFormat="1" ht="36">
      <c r="A64" s="1135">
        <v>4</v>
      </c>
      <c r="B64" s="3552"/>
      <c r="C64" s="1049" t="s">
        <v>1499</v>
      </c>
      <c r="D64" s="1049" t="s">
        <v>1500</v>
      </c>
      <c r="E64" s="1120">
        <v>0.4</v>
      </c>
      <c r="F64" s="1135">
        <v>60</v>
      </c>
    </row>
    <row r="65" spans="1:6" s="1086" customFormat="1" ht="36">
      <c r="A65" s="1135">
        <v>5</v>
      </c>
      <c r="B65" s="3552"/>
      <c r="C65" s="1049" t="s">
        <v>1501</v>
      </c>
      <c r="D65" s="1049" t="s">
        <v>1502</v>
      </c>
      <c r="E65" s="1120">
        <v>0.2</v>
      </c>
      <c r="F65" s="1135">
        <v>30</v>
      </c>
    </row>
    <row r="66" spans="1:6" s="1086" customFormat="1" ht="36">
      <c r="A66" s="1135">
        <v>6</v>
      </c>
      <c r="B66" s="3552"/>
      <c r="C66" s="1049" t="s">
        <v>1503</v>
      </c>
      <c r="D66" s="1049" t="s">
        <v>1504</v>
      </c>
      <c r="E66" s="1120">
        <v>0.3</v>
      </c>
      <c r="F66" s="1135">
        <v>50</v>
      </c>
    </row>
    <row r="67" spans="1:6" s="1086" customFormat="1" ht="36">
      <c r="A67" s="1135">
        <v>7</v>
      </c>
      <c r="B67" s="3552"/>
      <c r="C67" s="1049" t="s">
        <v>1505</v>
      </c>
      <c r="D67" s="1049" t="s">
        <v>1506</v>
      </c>
      <c r="E67" s="1120">
        <v>0.2</v>
      </c>
      <c r="F67" s="1135">
        <v>30</v>
      </c>
    </row>
    <row r="68" spans="1:6" s="1086" customFormat="1" ht="36">
      <c r="A68" s="1135">
        <v>8</v>
      </c>
      <c r="B68" s="3552"/>
      <c r="C68" s="1049" t="s">
        <v>1507</v>
      </c>
      <c r="D68" s="1049" t="s">
        <v>1508</v>
      </c>
      <c r="E68" s="1120">
        <v>0.2</v>
      </c>
      <c r="F68" s="1135">
        <v>30</v>
      </c>
    </row>
    <row r="69" spans="1:6" s="1086" customFormat="1" ht="36">
      <c r="A69" s="1135">
        <v>9</v>
      </c>
      <c r="B69" s="3552"/>
      <c r="C69" s="1049" t="s">
        <v>1509</v>
      </c>
      <c r="D69" s="1049" t="s">
        <v>1510</v>
      </c>
      <c r="E69" s="1120">
        <v>0.2</v>
      </c>
      <c r="F69" s="1135">
        <v>30</v>
      </c>
    </row>
    <row r="70" spans="1:6" s="1086" customFormat="1" ht="48">
      <c r="A70" s="1135">
        <v>10</v>
      </c>
      <c r="B70" s="3552"/>
      <c r="C70" s="1049" t="s">
        <v>1511</v>
      </c>
      <c r="D70" s="1049" t="s">
        <v>1512</v>
      </c>
      <c r="E70" s="1120">
        <v>0.2</v>
      </c>
      <c r="F70" s="1135">
        <v>30</v>
      </c>
    </row>
    <row r="71" spans="1:6" s="1086" customFormat="1" ht="48">
      <c r="A71" s="1135">
        <v>11</v>
      </c>
      <c r="B71" s="3552"/>
      <c r="C71" s="1049" t="s">
        <v>1513</v>
      </c>
      <c r="D71" s="1049" t="s">
        <v>1514</v>
      </c>
      <c r="E71" s="1120">
        <v>0.2</v>
      </c>
      <c r="F71" s="1135">
        <v>30</v>
      </c>
    </row>
    <row r="72" spans="1:6" s="1086" customFormat="1" ht="36">
      <c r="A72" s="1135">
        <v>12</v>
      </c>
      <c r="B72" s="3552"/>
      <c r="C72" s="1049" t="s">
        <v>1515</v>
      </c>
      <c r="D72" s="1049" t="s">
        <v>1516</v>
      </c>
      <c r="E72" s="1120">
        <v>0.5</v>
      </c>
      <c r="F72" s="1135">
        <v>80</v>
      </c>
    </row>
    <row r="73" spans="1:6" s="1086" customFormat="1" ht="24">
      <c r="A73" s="1135">
        <v>13</v>
      </c>
      <c r="B73" s="3552"/>
      <c r="C73" s="1049" t="s">
        <v>1517</v>
      </c>
      <c r="D73" s="1049" t="s">
        <v>1518</v>
      </c>
      <c r="E73" s="1120">
        <v>0.4</v>
      </c>
      <c r="F73" s="1135">
        <v>60</v>
      </c>
    </row>
    <row r="74" spans="1:6" s="1086" customFormat="1" ht="24">
      <c r="A74" s="1135">
        <v>14</v>
      </c>
      <c r="B74" s="3552"/>
      <c r="C74" s="1049" t="s">
        <v>1519</v>
      </c>
      <c r="D74" s="1049" t="s">
        <v>1520</v>
      </c>
      <c r="E74" s="1120">
        <v>0.2</v>
      </c>
      <c r="F74" s="1135">
        <v>30</v>
      </c>
    </row>
    <row r="75" spans="1:6" s="1086" customFormat="1" ht="24">
      <c r="A75" s="1135">
        <v>15</v>
      </c>
      <c r="B75" s="3552"/>
      <c r="C75" s="1049" t="s">
        <v>1521</v>
      </c>
      <c r="D75" s="1049" t="s">
        <v>1522</v>
      </c>
      <c r="E75" s="1120">
        <v>0.2</v>
      </c>
      <c r="F75" s="1135">
        <v>30</v>
      </c>
    </row>
    <row r="76" spans="1:6" s="1086" customFormat="1" ht="24">
      <c r="A76" s="1135">
        <v>16</v>
      </c>
      <c r="B76" s="3552" t="s">
        <v>1523</v>
      </c>
      <c r="C76" s="1049" t="s">
        <v>1524</v>
      </c>
      <c r="D76" s="1049" t="s">
        <v>1525</v>
      </c>
      <c r="E76" s="1120">
        <v>0.5</v>
      </c>
      <c r="F76" s="1135">
        <v>80</v>
      </c>
    </row>
    <row r="77" spans="1:6" s="1086" customFormat="1" ht="24">
      <c r="A77" s="1135">
        <v>17</v>
      </c>
      <c r="B77" s="3552"/>
      <c r="C77" s="1049" t="s">
        <v>1526</v>
      </c>
      <c r="D77" s="1049" t="s">
        <v>1527</v>
      </c>
      <c r="E77" s="1120">
        <v>0.5</v>
      </c>
      <c r="F77" s="1135">
        <v>80</v>
      </c>
    </row>
    <row r="78" spans="1:6" s="1086" customFormat="1" ht="24">
      <c r="A78" s="1135">
        <v>18</v>
      </c>
      <c r="B78" s="3552"/>
      <c r="C78" s="1049" t="s">
        <v>1528</v>
      </c>
      <c r="D78" s="1049" t="s">
        <v>1529</v>
      </c>
      <c r="E78" s="1120">
        <v>0.2</v>
      </c>
      <c r="F78" s="1135">
        <v>30</v>
      </c>
    </row>
    <row r="79" spans="1:6" s="1086" customFormat="1" ht="24">
      <c r="A79" s="1135">
        <v>19</v>
      </c>
      <c r="B79" s="3552"/>
      <c r="C79" s="1049" t="s">
        <v>1530</v>
      </c>
      <c r="D79" s="1049" t="s">
        <v>1531</v>
      </c>
      <c r="E79" s="1120">
        <v>0.5</v>
      </c>
      <c r="F79" s="1135">
        <v>80</v>
      </c>
    </row>
    <row r="80" spans="1:6" s="1086" customFormat="1" ht="36">
      <c r="A80" s="1135">
        <v>20</v>
      </c>
      <c r="B80" s="3552"/>
      <c r="C80" s="1049" t="s">
        <v>1532</v>
      </c>
      <c r="D80" s="1049" t="s">
        <v>1533</v>
      </c>
      <c r="E80" s="1120">
        <v>0.2</v>
      </c>
      <c r="F80" s="1135">
        <v>30</v>
      </c>
    </row>
    <row r="81" spans="1:6" s="1086" customFormat="1" ht="36">
      <c r="A81" s="1135">
        <v>21</v>
      </c>
      <c r="B81" s="3552"/>
      <c r="C81" s="1049" t="s">
        <v>1534</v>
      </c>
      <c r="D81" s="1049" t="s">
        <v>1535</v>
      </c>
      <c r="E81" s="1120">
        <v>0.2</v>
      </c>
      <c r="F81" s="1135">
        <v>30</v>
      </c>
    </row>
    <row r="82" spans="1:6" s="1086" customFormat="1" ht="48">
      <c r="A82" s="1135">
        <v>22</v>
      </c>
      <c r="B82" s="3552"/>
      <c r="C82" s="1049" t="s">
        <v>1536</v>
      </c>
      <c r="D82" s="1049" t="s">
        <v>1537</v>
      </c>
      <c r="E82" s="1120">
        <v>0.2</v>
      </c>
      <c r="F82" s="1135">
        <v>30</v>
      </c>
    </row>
    <row r="83" spans="1:6" s="1086" customFormat="1" ht="48">
      <c r="A83" s="1135">
        <v>23</v>
      </c>
      <c r="B83" s="3552"/>
      <c r="C83" s="1049" t="s">
        <v>1538</v>
      </c>
      <c r="D83" s="1049" t="s">
        <v>1539</v>
      </c>
      <c r="E83" s="1120">
        <v>0.2</v>
      </c>
      <c r="F83" s="1135">
        <v>30</v>
      </c>
    </row>
    <row r="84" spans="1:6" s="1086" customFormat="1" ht="36">
      <c r="A84" s="1135">
        <v>24</v>
      </c>
      <c r="B84" s="3552"/>
      <c r="C84" s="1049" t="s">
        <v>1540</v>
      </c>
      <c r="D84" s="1049" t="s">
        <v>1541</v>
      </c>
      <c r="E84" s="1120">
        <v>0.2</v>
      </c>
      <c r="F84" s="1135">
        <v>30</v>
      </c>
    </row>
    <row r="85" spans="1:6" s="1086" customFormat="1" ht="36">
      <c r="A85" s="1135">
        <v>25</v>
      </c>
      <c r="B85" s="3552"/>
      <c r="C85" s="1049" t="s">
        <v>1542</v>
      </c>
      <c r="D85" s="1049" t="s">
        <v>1543</v>
      </c>
      <c r="E85" s="1120">
        <v>0.5</v>
      </c>
      <c r="F85" s="1135">
        <v>80</v>
      </c>
    </row>
    <row r="86" spans="1:6" s="1086" customFormat="1" ht="36">
      <c r="A86" s="1135">
        <v>26</v>
      </c>
      <c r="B86" s="3552"/>
      <c r="C86" s="1049" t="s">
        <v>1544</v>
      </c>
      <c r="D86" s="1049" t="s">
        <v>1545</v>
      </c>
      <c r="E86" s="1120">
        <v>0.2</v>
      </c>
      <c r="F86" s="1135">
        <v>30</v>
      </c>
    </row>
    <row r="87" spans="1:6" s="1086" customFormat="1" ht="36">
      <c r="A87" s="1135">
        <v>27</v>
      </c>
      <c r="B87" s="3552"/>
      <c r="C87" s="1049" t="s">
        <v>1546</v>
      </c>
      <c r="D87" s="1049" t="s">
        <v>1547</v>
      </c>
      <c r="E87" s="1120">
        <v>0.2</v>
      </c>
      <c r="F87" s="1135">
        <v>30</v>
      </c>
    </row>
    <row r="88" spans="1:6" s="1086" customFormat="1" ht="36">
      <c r="A88" s="1135">
        <v>28</v>
      </c>
      <c r="B88" s="3552"/>
      <c r="C88" s="1049" t="s">
        <v>1548</v>
      </c>
      <c r="D88" s="1049" t="s">
        <v>1549</v>
      </c>
      <c r="E88" s="1120">
        <v>0.2</v>
      </c>
      <c r="F88" s="1135">
        <v>30</v>
      </c>
    </row>
    <row r="89" spans="1:6" s="1086" customFormat="1" ht="24">
      <c r="A89" s="1135">
        <v>29</v>
      </c>
      <c r="B89" s="3552"/>
      <c r="C89" s="1049" t="s">
        <v>1550</v>
      </c>
      <c r="D89" s="1049" t="s">
        <v>1551</v>
      </c>
      <c r="E89" s="1120">
        <v>0.2</v>
      </c>
      <c r="F89" s="1135">
        <v>30</v>
      </c>
    </row>
    <row r="90" spans="1:6" s="1086" customFormat="1" ht="24">
      <c r="A90" s="1135">
        <v>30</v>
      </c>
      <c r="B90" s="3552"/>
      <c r="C90" s="1049" t="s">
        <v>1552</v>
      </c>
      <c r="D90" s="1049" t="s">
        <v>1553</v>
      </c>
      <c r="E90" s="1120">
        <v>0.2</v>
      </c>
      <c r="F90" s="1135">
        <v>30</v>
      </c>
    </row>
    <row r="91" spans="1:6" s="1086" customFormat="1" ht="36">
      <c r="A91" s="1135">
        <v>31</v>
      </c>
      <c r="B91" s="3552"/>
      <c r="C91" s="1049" t="s">
        <v>1554</v>
      </c>
      <c r="D91" s="1049" t="s">
        <v>1555</v>
      </c>
      <c r="E91" s="1120">
        <v>0.2</v>
      </c>
      <c r="F91" s="1135">
        <v>30</v>
      </c>
    </row>
    <row r="92" spans="1:6" s="1086" customFormat="1" ht="24">
      <c r="A92" s="1135">
        <v>32</v>
      </c>
      <c r="B92" s="3552" t="s">
        <v>1556</v>
      </c>
      <c r="C92" s="1135" t="s">
        <v>1557</v>
      </c>
      <c r="D92" s="1049" t="s">
        <v>1558</v>
      </c>
      <c r="E92" s="1120">
        <v>0.2</v>
      </c>
      <c r="F92" s="1135">
        <v>30</v>
      </c>
    </row>
    <row r="93" spans="1:6" s="1086" customFormat="1" ht="36">
      <c r="A93" s="1135">
        <v>33</v>
      </c>
      <c r="B93" s="3552"/>
      <c r="C93" s="1135" t="s">
        <v>1559</v>
      </c>
      <c r="D93" s="1049" t="s">
        <v>1560</v>
      </c>
      <c r="E93" s="1120">
        <v>0.2</v>
      </c>
      <c r="F93" s="1135">
        <v>30</v>
      </c>
    </row>
    <row r="94" spans="1:6" s="1086" customFormat="1" ht="48">
      <c r="A94" s="1135">
        <v>34</v>
      </c>
      <c r="B94" s="3552"/>
      <c r="C94" s="1135" t="s">
        <v>1561</v>
      </c>
      <c r="D94" s="1049" t="s">
        <v>1562</v>
      </c>
      <c r="E94" s="1120">
        <v>0.2</v>
      </c>
      <c r="F94" s="1135">
        <v>30</v>
      </c>
    </row>
    <row r="95" spans="1:6" s="1086" customFormat="1" ht="36">
      <c r="A95" s="1135">
        <v>35</v>
      </c>
      <c r="B95" s="3552"/>
      <c r="C95" s="1135" t="s">
        <v>1563</v>
      </c>
      <c r="D95" s="1049" t="s">
        <v>1564</v>
      </c>
      <c r="E95" s="1120">
        <v>0.2</v>
      </c>
      <c r="F95" s="1135">
        <v>30</v>
      </c>
    </row>
    <row r="96" spans="1:6" s="1086" customFormat="1" ht="48">
      <c r="A96" s="1135">
        <v>36</v>
      </c>
      <c r="B96" s="3552"/>
      <c r="C96" s="1049" t="s">
        <v>1565</v>
      </c>
      <c r="D96" s="1049" t="s">
        <v>1566</v>
      </c>
      <c r="E96" s="1120">
        <v>0.2</v>
      </c>
      <c r="F96" s="1135">
        <v>30</v>
      </c>
    </row>
    <row r="97" spans="1:6" s="1086" customFormat="1" ht="36">
      <c r="A97" s="1135">
        <v>37</v>
      </c>
      <c r="B97" s="3552"/>
      <c r="C97" s="1135" t="s">
        <v>1567</v>
      </c>
      <c r="D97" s="1049" t="s">
        <v>1568</v>
      </c>
      <c r="E97" s="1120">
        <v>0.2</v>
      </c>
      <c r="F97" s="1135">
        <v>30</v>
      </c>
    </row>
    <row r="98" spans="1:6" s="1086" customFormat="1" ht="36">
      <c r="A98" s="1135">
        <v>38</v>
      </c>
      <c r="B98" s="3552"/>
      <c r="C98" s="1135" t="s">
        <v>1569</v>
      </c>
      <c r="D98" s="1049" t="s">
        <v>1570</v>
      </c>
      <c r="E98" s="1120">
        <v>0.2</v>
      </c>
      <c r="F98" s="1135">
        <v>30</v>
      </c>
    </row>
    <row r="99" spans="1:6" s="1086" customFormat="1" ht="36">
      <c r="A99" s="1135">
        <v>39</v>
      </c>
      <c r="B99" s="3552" t="s">
        <v>1571</v>
      </c>
      <c r="C99" s="1135" t="s">
        <v>1572</v>
      </c>
      <c r="D99" s="1049" t="s">
        <v>1573</v>
      </c>
      <c r="E99" s="1120">
        <v>0.3</v>
      </c>
      <c r="F99" s="1135">
        <v>50</v>
      </c>
    </row>
    <row r="100" spans="1:6" s="1086" customFormat="1" ht="24">
      <c r="A100" s="1135">
        <v>40</v>
      </c>
      <c r="B100" s="3552"/>
      <c r="C100" s="1135" t="s">
        <v>1574</v>
      </c>
      <c r="D100" s="1049" t="s">
        <v>1575</v>
      </c>
      <c r="E100" s="1120">
        <v>0.2</v>
      </c>
      <c r="F100" s="1135">
        <v>30</v>
      </c>
    </row>
    <row r="101" spans="1:6" s="1086" customFormat="1" ht="36">
      <c r="A101" s="1135">
        <v>41</v>
      </c>
      <c r="B101" s="3552"/>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52" t="s">
        <v>1586</v>
      </c>
      <c r="C105" s="1135" t="s">
        <v>1587</v>
      </c>
      <c r="D105" s="1049" t="s">
        <v>1588</v>
      </c>
      <c r="E105" s="1120">
        <v>0.2</v>
      </c>
      <c r="F105" s="1135">
        <v>30</v>
      </c>
    </row>
    <row r="106" spans="1:6" s="1086" customFormat="1" ht="36">
      <c r="A106" s="1135">
        <v>46</v>
      </c>
      <c r="B106" s="3552"/>
      <c r="C106" s="1135" t="s">
        <v>1589</v>
      </c>
      <c r="D106" s="1049" t="s">
        <v>1590</v>
      </c>
      <c r="E106" s="1120">
        <v>0.2</v>
      </c>
      <c r="F106" s="1135">
        <v>30</v>
      </c>
    </row>
    <row r="107" spans="1:6" s="1086" customFormat="1" ht="36">
      <c r="A107" s="1135">
        <v>47</v>
      </c>
      <c r="B107" s="3552" t="s">
        <v>1591</v>
      </c>
      <c r="C107" s="1135" t="s">
        <v>1592</v>
      </c>
      <c r="D107" s="1049" t="s">
        <v>1593</v>
      </c>
      <c r="E107" s="1120">
        <v>0.3</v>
      </c>
      <c r="F107" s="1135">
        <v>50</v>
      </c>
    </row>
    <row r="108" spans="1:6" s="1086" customFormat="1" ht="36">
      <c r="A108" s="1135">
        <v>48</v>
      </c>
      <c r="B108" s="3552"/>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52" t="s">
        <v>1602</v>
      </c>
      <c r="C111" s="1135" t="s">
        <v>1603</v>
      </c>
      <c r="D111" s="1049" t="s">
        <v>1604</v>
      </c>
      <c r="E111" s="1120">
        <v>0.2</v>
      </c>
      <c r="F111" s="1135">
        <v>30</v>
      </c>
    </row>
    <row r="112" spans="1:6" s="1086" customFormat="1" ht="24">
      <c r="A112" s="1135">
        <v>52</v>
      </c>
      <c r="B112" s="3552"/>
      <c r="C112" s="1135" t="s">
        <v>1605</v>
      </c>
      <c r="D112" s="1049" t="s">
        <v>1606</v>
      </c>
      <c r="E112" s="1120">
        <v>0.2</v>
      </c>
      <c r="F112" s="1135">
        <v>30</v>
      </c>
    </row>
    <row r="113" spans="1:14" s="1086" customFormat="1" ht="24">
      <c r="A113" s="1135">
        <v>53</v>
      </c>
      <c r="B113" s="3552"/>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52" t="s">
        <v>1615</v>
      </c>
      <c r="C116" s="1135" t="s">
        <v>1616</v>
      </c>
      <c r="D116" s="1049" t="s">
        <v>1617</v>
      </c>
      <c r="E116" s="1120">
        <v>0.2</v>
      </c>
      <c r="F116" s="1135">
        <v>30</v>
      </c>
    </row>
    <row r="117" spans="1:14" ht="36">
      <c r="A117" s="1135">
        <v>57</v>
      </c>
      <c r="B117" s="3552"/>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51" t="s">
        <v>1624</v>
      </c>
      <c r="B121" s="3551"/>
      <c r="C121" s="3551"/>
      <c r="D121" s="3551"/>
      <c r="E121" s="3551"/>
      <c r="F121" s="3551"/>
      <c r="G121" s="3551"/>
      <c r="H121" s="3551"/>
      <c r="I121" s="3551"/>
      <c r="J121" s="355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59">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59"/>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59"/>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0"/>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5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59"/>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59"/>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0"/>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5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59"/>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59"/>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2"/>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59"/>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59"/>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2"/>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59"/>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59"/>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2"/>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6">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7"/>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7"/>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8"/>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59"/>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59"/>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2"/>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59">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59">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2">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59">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59">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2">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59">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59">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2">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59">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59">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2">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59">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59">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2">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59">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59">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2">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59">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59">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2">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59">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59">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2">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59">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59">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2">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59">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59">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2">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1657</v>
      </c>
      <c r="C2" s="3260"/>
      <c r="D2" s="3261"/>
      <c r="E2" s="3262"/>
      <c r="F2" s="3262"/>
      <c r="G2" s="3256"/>
      <c r="H2" s="1938"/>
      <c r="I2" s="1938"/>
      <c r="J2" s="1938"/>
      <c r="K2" s="1939"/>
      <c r="L2" s="1938"/>
      <c r="M2" s="1938"/>
    </row>
    <row r="3" spans="1:33" ht="18" customHeight="1" thickBot="1">
      <c r="A3" s="822" t="s">
        <v>1718</v>
      </c>
      <c r="B3" s="823">
        <f ca="1">IF(ISERROR(B2*10000/F43),0,ROUND(B2*10000/F43,0))</f>
        <v>11047</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3141</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590</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375</v>
      </c>
      <c r="D14" s="3286" t="s">
        <v>1736</v>
      </c>
      <c r="E14" s="3287"/>
      <c r="F14" s="795"/>
      <c r="G14" s="1943"/>
      <c r="H14" s="1575" t="s">
        <v>1815</v>
      </c>
      <c r="I14" s="2109" t="s">
        <v>2804</v>
      </c>
      <c r="J14" s="53">
        <f ca="1">C29</f>
        <v>590</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59</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50</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422</v>
      </c>
      <c r="D19" s="259" t="s">
        <v>1748</v>
      </c>
      <c r="E19" s="3294"/>
      <c r="F19" s="56"/>
      <c r="G19" s="1943"/>
      <c r="H19" s="1574" t="s">
        <v>1823</v>
      </c>
      <c r="I19" s="774" t="s">
        <v>1749</v>
      </c>
      <c r="J19" s="53">
        <f ca="1">IF(K19="按租金收入计税",ROUND(J6*M19/(1+'数据-取费表'!C42),1),ROUND(C29*F33*0.7,1))</f>
        <v>49.6</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805.57999999999993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28</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-59</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590</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805.57999999999993</v>
      </c>
      <c r="G35" s="1943"/>
      <c r="H35" s="1946"/>
      <c r="I35" s="826" t="s">
        <v>1805</v>
      </c>
      <c r="J35" s="827">
        <f ca="1">ROUND(C13*J36,0)</f>
        <v>50</v>
      </c>
      <c r="K35" s="1959"/>
      <c r="L35" s="1958"/>
      <c r="M35" s="1958"/>
    </row>
    <row r="36" spans="1:18" ht="18" customHeight="1">
      <c r="A36" s="1575" t="s">
        <v>1880</v>
      </c>
      <c r="B36" s="774" t="s">
        <v>1759</v>
      </c>
      <c r="C36" s="53">
        <f ca="1">ROUND(C29*F36,1)</f>
        <v>8.9</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0.70399999999999996</v>
      </c>
      <c r="K39" s="1963"/>
      <c r="L39" s="1958"/>
      <c r="M39" s="1958"/>
    </row>
    <row r="40" spans="1:18" ht="18" customHeight="1">
      <c r="A40" s="771" t="s">
        <v>1771</v>
      </c>
      <c r="B40" s="2110" t="s">
        <v>2289</v>
      </c>
      <c r="C40" s="773">
        <f ca="1">ROUND(C39*(1-((1+F42)/(1+F40))^F41)/(F40-F42),0)</f>
        <v>1657</v>
      </c>
      <c r="D40" s="803" t="s">
        <v>1772</v>
      </c>
      <c r="E40" s="774" t="s">
        <v>2404</v>
      </c>
      <c r="F40" s="784">
        <f ca="1">INDIRECT("'数据-取费表'!I"&amp;$G$1)</f>
        <v>5.5E-2</v>
      </c>
      <c r="G40" s="1943"/>
      <c r="H40" s="1943"/>
      <c r="I40" s="826" t="s">
        <v>1810</v>
      </c>
      <c r="J40" s="834">
        <f ca="1">1-J39</f>
        <v>0.29600000000000004</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0.35599999999999998</v>
      </c>
      <c r="K42" s="1962"/>
      <c r="L42" s="1898"/>
      <c r="M42" s="1898"/>
    </row>
    <row r="43" spans="1:18" ht="18" customHeight="1" thickBot="1">
      <c r="A43" s="812" t="s">
        <v>1778</v>
      </c>
      <c r="B43" s="813" t="s">
        <v>1801</v>
      </c>
      <c r="C43" s="814">
        <f ca="1">ROUND(C40*10000/F43,0)</f>
        <v>11047</v>
      </c>
      <c r="D43" s="815" t="s">
        <v>1802</v>
      </c>
      <c r="E43" s="816" t="s">
        <v>1803</v>
      </c>
      <c r="F43" s="817">
        <f ca="1">INDIRECT("'数据-取费表'!k"&amp;$G$1)</f>
        <v>1500</v>
      </c>
      <c r="G43" s="1943"/>
      <c r="H43" s="1898"/>
      <c r="I43" s="836" t="s">
        <v>1813</v>
      </c>
      <c r="J43" s="837">
        <f ca="1">1-J42</f>
        <v>0.64400000000000002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-1813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1657</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590</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395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1657</v>
      </c>
      <c r="R54" s="2256" t="s">
        <v>2377</v>
      </c>
    </row>
    <row r="55" spans="1:18" s="1940" customFormat="1" ht="18" customHeight="1" thickTop="1" thickBot="1">
      <c r="A55" s="787">
        <v>2</v>
      </c>
      <c r="B55" s="788" t="s">
        <v>638</v>
      </c>
      <c r="C55" s="789">
        <f ca="1">C13</f>
        <v>590</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590</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1657</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805.57999999999993</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8.9</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1657</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1657</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395</v>
      </c>
      <c r="R68" s="2259" t="s">
        <v>2401</v>
      </c>
    </row>
    <row r="69" spans="1:18" ht="20.25" thickBot="1">
      <c r="A69" s="780"/>
      <c r="B69" s="781"/>
      <c r="C69" s="782"/>
      <c r="D69" s="805"/>
      <c r="E69" s="774" t="s">
        <v>704</v>
      </c>
      <c r="F69" s="2224"/>
      <c r="O69" s="2254" t="s">
        <v>2369</v>
      </c>
      <c r="P69" s="2260" t="s">
        <v>2383</v>
      </c>
      <c r="Q69" s="2253">
        <f ca="1">ROUND(Q70-Q71*Q72,0)</f>
        <v>21</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71</v>
      </c>
      <c r="R70" s="2252" t="s">
        <v>2365</v>
      </c>
    </row>
    <row r="71" spans="1:18" ht="15.75" thickBot="1">
      <c r="O71" s="2254" t="s">
        <v>2386</v>
      </c>
      <c r="P71" s="2260" t="s">
        <v>2387</v>
      </c>
      <c r="Q71" s="2253">
        <f ca="1">C13</f>
        <v>590</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1657</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44" sqref="C44"/>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10391</v>
      </c>
      <c r="C2" s="3260"/>
      <c r="D2" s="3261"/>
      <c r="E2" s="3262"/>
      <c r="F2" s="3262"/>
      <c r="G2" s="3256"/>
      <c r="H2" s="1938"/>
      <c r="I2" s="1938"/>
      <c r="J2" s="1938"/>
      <c r="K2" s="1939"/>
      <c r="L2" s="1938"/>
      <c r="M2" s="1938"/>
    </row>
    <row r="3" spans="1:33" ht="18" customHeight="1" thickBot="1">
      <c r="A3" s="822" t="s">
        <v>1718</v>
      </c>
      <c r="B3" s="823">
        <f ca="1">IF(ISERROR(B2*10000/F43),0,ROUND(B2*10000/F43,0))</f>
        <v>884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40653</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29375</v>
      </c>
      <c r="D14" s="1891" t="s">
        <v>1736</v>
      </c>
      <c r="E14" s="1892"/>
      <c r="F14" s="795"/>
      <c r="G14" s="1943"/>
      <c r="H14" s="1575" t="s">
        <v>1821</v>
      </c>
      <c r="I14" s="2109" t="s">
        <v>2805</v>
      </c>
      <c r="J14" s="53">
        <f ca="1">C29</f>
        <v>40653</v>
      </c>
      <c r="K14" s="26"/>
      <c r="L14" s="791"/>
      <c r="M14" s="792"/>
    </row>
    <row r="15" spans="1:33" s="1945" customFormat="1" ht="18" customHeight="1" thickBot="1">
      <c r="A15" s="1574" t="s">
        <v>1876</v>
      </c>
      <c r="B15" s="774" t="s">
        <v>641</v>
      </c>
      <c r="C15" s="53">
        <f ca="1">ROUND(C14*F15,0)</f>
        <v>881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4038</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3428</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441</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33047</v>
      </c>
      <c r="D19" s="259" t="s">
        <v>1748</v>
      </c>
      <c r="E19" s="1894"/>
      <c r="F19" s="56"/>
      <c r="G19" s="1943"/>
      <c r="H19" s="1574" t="s">
        <v>1876</v>
      </c>
      <c r="I19" s="774" t="s">
        <v>1749</v>
      </c>
      <c r="J19" s="53">
        <f ca="1">IF(K19="按租金收入计税",ROUND(J6*M19/(1+'数据-取费表'!C42),1),ROUND(C29*F33*0.7,1))</f>
        <v>3414.9</v>
      </c>
      <c r="K19" s="800" t="s">
        <v>659</v>
      </c>
      <c r="L19" s="774" t="s">
        <v>1738</v>
      </c>
      <c r="M19" s="799">
        <f>IF(K19="按租金收入计税",'数据-取费表'!B51,'数据-取费表'!B50)</f>
        <v>1.2E-2</v>
      </c>
    </row>
    <row r="20" spans="1:33" s="1945" customFormat="1" ht="18" customHeight="1">
      <c r="A20" s="1575" t="s">
        <v>1880</v>
      </c>
      <c r="B20" s="774" t="s">
        <v>660</v>
      </c>
      <c r="C20" s="53">
        <f ca="1">ROUND(C19*F20,0)</f>
        <v>661</v>
      </c>
      <c r="D20" s="801" t="s">
        <v>1750</v>
      </c>
      <c r="E20" s="774" t="s">
        <v>1738</v>
      </c>
      <c r="F20" s="799">
        <f>'数据-取费表'!B37</f>
        <v>0.02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63092.959999999999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610</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2223</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-4038</v>
      </c>
      <c r="K25" s="2399" t="s">
        <v>1768</v>
      </c>
      <c r="L25" s="2400"/>
      <c r="M25" s="2401"/>
    </row>
    <row r="26" spans="1:33" ht="18" customHeight="1">
      <c r="A26" s="1574" t="s">
        <v>1822</v>
      </c>
      <c r="B26" s="774" t="s">
        <v>2422</v>
      </c>
      <c r="C26" s="53">
        <f ca="1">ROUND((C19+C20)*F26,0)</f>
        <v>1685</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40653</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920</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236</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12.6</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63092.959999999999</v>
      </c>
      <c r="G35" s="1943"/>
      <c r="H35" s="1946"/>
      <c r="I35" s="826" t="s">
        <v>1805</v>
      </c>
      <c r="J35" s="827">
        <f ca="1">ROUND(C13*J36,0)</f>
        <v>3456</v>
      </c>
      <c r="K35" s="1959"/>
      <c r="L35" s="1958"/>
      <c r="M35" s="1958"/>
    </row>
    <row r="36" spans="1:18" ht="18" customHeight="1">
      <c r="A36" s="1575" t="s">
        <v>1880</v>
      </c>
      <c r="B36" s="774" t="s">
        <v>1793</v>
      </c>
      <c r="C36" s="53">
        <f ca="1">ROUND(C29*F36,1)</f>
        <v>609.79999999999995</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61</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421</v>
      </c>
      <c r="D39" s="2399" t="s">
        <v>1797</v>
      </c>
      <c r="E39" s="2400"/>
      <c r="F39" s="2401"/>
      <c r="G39" s="1943"/>
      <c r="H39" s="1958"/>
      <c r="I39" s="826" t="s">
        <v>1809</v>
      </c>
      <c r="J39" s="834">
        <f ca="1">ROUND(J35/C39,3)</f>
        <v>8.2089999999999996</v>
      </c>
      <c r="K39" s="1963"/>
      <c r="L39" s="1958"/>
      <c r="M39" s="1958"/>
    </row>
    <row r="40" spans="1:18" ht="18" customHeight="1">
      <c r="A40" s="771" t="s">
        <v>1886</v>
      </c>
      <c r="B40" s="2110" t="s">
        <v>2289</v>
      </c>
      <c r="C40" s="773">
        <f ca="1">ROUND(C39*(1-((1+F42)/(1+F40))^F41)/(F40-F42),0)</f>
        <v>10391</v>
      </c>
      <c r="D40" s="803" t="s">
        <v>1798</v>
      </c>
      <c r="E40" s="774" t="s">
        <v>2404</v>
      </c>
      <c r="F40" s="784">
        <f ca="1">INDIRECT("'数据-取费表'!I"&amp;$G$1)</f>
        <v>0.05</v>
      </c>
      <c r="G40" s="1943"/>
      <c r="H40" s="1943"/>
      <c r="I40" s="826" t="s">
        <v>1810</v>
      </c>
      <c r="J40" s="834">
        <f ca="1">1-J39</f>
        <v>-7.2089999999999996</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3.9119999999999999</v>
      </c>
      <c r="K42" s="1962"/>
      <c r="L42" s="1898"/>
      <c r="M42" s="1898"/>
    </row>
    <row r="43" spans="1:18" ht="18" customHeight="1" thickBot="1">
      <c r="A43" s="812" t="s">
        <v>1778</v>
      </c>
      <c r="B43" s="813" t="s">
        <v>1801</v>
      </c>
      <c r="C43" s="814">
        <f ca="1">ROUND(C40*10000/F43,0)</f>
        <v>884</v>
      </c>
      <c r="D43" s="815" t="s">
        <v>1802</v>
      </c>
      <c r="E43" s="816" t="s">
        <v>1803</v>
      </c>
      <c r="F43" s="817">
        <f ca="1">INDIRECT("'数据-取费表'!k"&amp;$G$1)</f>
        <v>117480.11</v>
      </c>
      <c r="G43" s="1943"/>
      <c r="H43" s="1898"/>
      <c r="I43" s="836" t="s">
        <v>1813</v>
      </c>
      <c r="J43" s="837">
        <f ca="1">1-J42</f>
        <v>-2.9119999999999999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-22658</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10391</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40653</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-62626</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10391</v>
      </c>
      <c r="R54" s="2256" t="s">
        <v>2377</v>
      </c>
    </row>
    <row r="55" spans="1:18" s="1940" customFormat="1" ht="18" customHeight="1" thickTop="1" thickBot="1">
      <c r="A55" s="787">
        <v>2</v>
      </c>
      <c r="B55" s="788" t="s">
        <v>638</v>
      </c>
      <c r="C55" s="789">
        <f ca="1">C13</f>
        <v>40653</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40653</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684</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10391</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12.6</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63092.959999999999</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609.79999999999995</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10391</v>
      </c>
      <c r="R63" s="2256" t="s">
        <v>2377</v>
      </c>
    </row>
    <row r="64" spans="1:18" s="1940" customFormat="1" ht="16.5" thickBot="1">
      <c r="A64" s="1575" t="s">
        <v>1881</v>
      </c>
      <c r="B64" s="774" t="s">
        <v>673</v>
      </c>
      <c r="C64" s="53">
        <f ca="1">ROUND(C55*F64,1)</f>
        <v>61</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-684</v>
      </c>
      <c r="D66" s="2478" t="s">
        <v>694</v>
      </c>
      <c r="E66" s="2477"/>
      <c r="F66" s="809"/>
      <c r="K66" s="1966"/>
      <c r="O66" s="2251" t="s">
        <v>2364</v>
      </c>
      <c r="P66" s="2252" t="s">
        <v>2394</v>
      </c>
      <c r="Q66" s="2253">
        <f ca="1">C40+J29</f>
        <v>10391</v>
      </c>
      <c r="R66" s="2252" t="s">
        <v>2365</v>
      </c>
    </row>
    <row r="67" spans="1:18" s="1940" customFormat="1" ht="20.25" thickBot="1">
      <c r="A67" s="771" t="s">
        <v>1771</v>
      </c>
      <c r="B67" s="2110" t="s">
        <v>2289</v>
      </c>
      <c r="C67" s="773">
        <f ca="1">ROUND(C66*(1-((1+F69)/(1+F67))^F68)/(F67-F69),0)</f>
        <v>-12267</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-62626</v>
      </c>
      <c r="R68" s="2259" t="s">
        <v>2401</v>
      </c>
    </row>
    <row r="69" spans="1:18" ht="20.25" thickBot="1">
      <c r="A69" s="780"/>
      <c r="B69" s="781"/>
      <c r="C69" s="782"/>
      <c r="D69" s="805"/>
      <c r="E69" s="774" t="s">
        <v>704</v>
      </c>
      <c r="F69" s="2224"/>
      <c r="O69" s="2254" t="s">
        <v>2369</v>
      </c>
      <c r="P69" s="2260" t="s">
        <v>2383</v>
      </c>
      <c r="Q69" s="2253">
        <f ca="1">ROUND(Q70-Q71*Q72,0)</f>
        <v>-3035</v>
      </c>
      <c r="R69" s="2256"/>
    </row>
    <row r="70" spans="1:18" ht="15.75" thickBot="1">
      <c r="A70" s="812" t="s">
        <v>1778</v>
      </c>
      <c r="B70" s="813" t="s">
        <v>1801</v>
      </c>
      <c r="C70" s="814">
        <f ca="1">ROUND(C67*10000/F70,0)</f>
        <v>-1044</v>
      </c>
      <c r="D70" s="815" t="s">
        <v>1802</v>
      </c>
      <c r="E70" s="816" t="s">
        <v>1803</v>
      </c>
      <c r="F70" s="817">
        <f ca="1">F43</f>
        <v>117480.11</v>
      </c>
      <c r="O70" s="2254" t="s">
        <v>2384</v>
      </c>
      <c r="P70" s="2260" t="s">
        <v>2385</v>
      </c>
      <c r="Q70" s="2253">
        <f ca="1">C39</f>
        <v>421</v>
      </c>
      <c r="R70" s="2252" t="s">
        <v>2365</v>
      </c>
    </row>
    <row r="71" spans="1:18" ht="15.75" thickBot="1">
      <c r="O71" s="2254" t="s">
        <v>2386</v>
      </c>
      <c r="P71" s="2260" t="s">
        <v>2387</v>
      </c>
      <c r="Q71" s="2253">
        <f ca="1">C13</f>
        <v>40653</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10391</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78" t="s">
        <v>2452</v>
      </c>
      <c r="B1" s="3579"/>
      <c r="C1" s="3580"/>
      <c r="D1" s="3581">
        <f>SUM(I10,I15,I20,I21,I23)</f>
        <v>0</v>
      </c>
      <c r="E1" s="3581"/>
      <c r="F1" s="3581"/>
      <c r="G1" s="3581"/>
      <c r="H1" s="3581"/>
      <c r="I1" s="3582"/>
    </row>
    <row r="2" spans="1:9">
      <c r="A2" s="3583" t="s">
        <v>2453</v>
      </c>
      <c r="B2" s="3584" t="s">
        <v>2454</v>
      </c>
      <c r="C2" s="3584"/>
      <c r="D2" s="2358" t="s">
        <v>2455</v>
      </c>
      <c r="E2" s="2358" t="s">
        <v>2456</v>
      </c>
      <c r="F2" s="2358" t="s">
        <v>2457</v>
      </c>
      <c r="G2" s="2358" t="s">
        <v>2458</v>
      </c>
      <c r="H2" s="2358" t="s">
        <v>2459</v>
      </c>
      <c r="I2" s="2359" t="s">
        <v>2460</v>
      </c>
    </row>
    <row r="3" spans="1:9">
      <c r="A3" s="3583"/>
      <c r="B3" s="3584" t="s">
        <v>2461</v>
      </c>
      <c r="C3" s="3584"/>
      <c r="D3" s="2360"/>
      <c r="E3" s="2358"/>
      <c r="F3" s="2361"/>
      <c r="G3" s="2361"/>
      <c r="H3" s="2362"/>
      <c r="I3" s="2363">
        <f>ROUND(D3*E3*F3*G3*H3/10000,0)</f>
        <v>0</v>
      </c>
    </row>
    <row r="4" spans="1:9">
      <c r="A4" s="3583"/>
      <c r="B4" s="3584" t="s">
        <v>2462</v>
      </c>
      <c r="C4" s="3584"/>
      <c r="D4" s="2360"/>
      <c r="E4" s="2358"/>
      <c r="F4" s="2361"/>
      <c r="G4" s="2361"/>
      <c r="H4" s="2362"/>
      <c r="I4" s="2363">
        <f t="shared" ref="I4:I9" si="0">ROUND(D4*E4*F4*G4*H4/10000,0)</f>
        <v>0</v>
      </c>
    </row>
    <row r="5" spans="1:9">
      <c r="A5" s="3583"/>
      <c r="B5" s="3584" t="s">
        <v>2463</v>
      </c>
      <c r="C5" s="3584"/>
      <c r="D5" s="2360"/>
      <c r="E5" s="2358"/>
      <c r="F5" s="2361"/>
      <c r="G5" s="2361"/>
      <c r="H5" s="2362"/>
      <c r="I5" s="2363">
        <f t="shared" si="0"/>
        <v>0</v>
      </c>
    </row>
    <row r="6" spans="1:9">
      <c r="A6" s="3583"/>
      <c r="B6" s="3584" t="s">
        <v>2464</v>
      </c>
      <c r="C6" s="3584"/>
      <c r="D6" s="2360"/>
      <c r="E6" s="2358"/>
      <c r="F6" s="2361"/>
      <c r="G6" s="2361"/>
      <c r="H6" s="2362"/>
      <c r="I6" s="2363">
        <f t="shared" si="0"/>
        <v>0</v>
      </c>
    </row>
    <row r="7" spans="1:9">
      <c r="A7" s="3583"/>
      <c r="B7" s="3584" t="s">
        <v>2465</v>
      </c>
      <c r="C7" s="3584"/>
      <c r="D7" s="2360"/>
      <c r="E7" s="2358"/>
      <c r="F7" s="2361"/>
      <c r="G7" s="2361"/>
      <c r="H7" s="2362"/>
      <c r="I7" s="2363">
        <f t="shared" si="0"/>
        <v>0</v>
      </c>
    </row>
    <row r="8" spans="1:9">
      <c r="A8" s="3583"/>
      <c r="B8" s="3584" t="s">
        <v>2466</v>
      </c>
      <c r="C8" s="3584"/>
      <c r="D8" s="2360"/>
      <c r="E8" s="2358"/>
      <c r="F8" s="2361"/>
      <c r="G8" s="2361"/>
      <c r="H8" s="2362"/>
      <c r="I8" s="2363">
        <f t="shared" si="0"/>
        <v>0</v>
      </c>
    </row>
    <row r="9" spans="1:9">
      <c r="A9" s="3583"/>
      <c r="B9" s="3584" t="s">
        <v>2467</v>
      </c>
      <c r="C9" s="3584"/>
      <c r="D9" s="2360"/>
      <c r="E9" s="2358"/>
      <c r="F9" s="2361"/>
      <c r="G9" s="2361"/>
      <c r="H9" s="2362"/>
      <c r="I9" s="2363">
        <f t="shared" si="0"/>
        <v>0</v>
      </c>
    </row>
    <row r="10" spans="1:9">
      <c r="A10" s="3583"/>
      <c r="B10" s="3585" t="s">
        <v>2468</v>
      </c>
      <c r="C10" s="3585"/>
      <c r="D10" s="2364">
        <v>527</v>
      </c>
      <c r="E10" s="2364" t="e">
        <f>ROUND(D1*10000/D10/H9,0)</f>
        <v>#DIV/0!</v>
      </c>
      <c r="F10" s="2365"/>
      <c r="G10" s="2365"/>
      <c r="H10" s="2366"/>
      <c r="I10" s="2367">
        <f>SUM(I3:I9)</f>
        <v>0</v>
      </c>
    </row>
    <row r="11" spans="1:9" ht="14.25">
      <c r="A11" s="3583" t="s">
        <v>2469</v>
      </c>
      <c r="B11" s="3584" t="s">
        <v>2470</v>
      </c>
      <c r="C11" s="3584"/>
      <c r="D11" s="2360" t="s">
        <v>2471</v>
      </c>
      <c r="E11" s="2360" t="s">
        <v>2472</v>
      </c>
      <c r="F11" s="2361" t="s">
        <v>2473</v>
      </c>
      <c r="G11" s="2361" t="s">
        <v>2474</v>
      </c>
      <c r="H11" s="2368" t="s">
        <v>2475</v>
      </c>
      <c r="I11" s="2359" t="s">
        <v>2476</v>
      </c>
    </row>
    <row r="12" spans="1:9">
      <c r="A12" s="3583"/>
      <c r="B12" s="3584" t="s">
        <v>2477</v>
      </c>
      <c r="C12" s="3584"/>
      <c r="D12" s="2360"/>
      <c r="E12" s="2360"/>
      <c r="F12" s="2361"/>
      <c r="G12" s="2362"/>
      <c r="H12" s="2369"/>
      <c r="I12" s="2359">
        <f>ROUND(D12*E12*F12*G12/10000,0)</f>
        <v>0</v>
      </c>
    </row>
    <row r="13" spans="1:9">
      <c r="A13" s="3583"/>
      <c r="B13" s="3584" t="s">
        <v>2478</v>
      </c>
      <c r="C13" s="3584"/>
      <c r="D13" s="2360"/>
      <c r="E13" s="2360"/>
      <c r="F13" s="2361"/>
      <c r="G13" s="2362"/>
      <c r="H13" s="2369"/>
      <c r="I13" s="2359">
        <f>ROUND(D13*E13*F13*G13/10000,0)</f>
        <v>0</v>
      </c>
    </row>
    <row r="14" spans="1:9">
      <c r="A14" s="3583"/>
      <c r="B14" s="3584" t="s">
        <v>2479</v>
      </c>
      <c r="C14" s="3584"/>
      <c r="D14" s="2360"/>
      <c r="E14" s="2360"/>
      <c r="F14" s="2361"/>
      <c r="G14" s="2362"/>
      <c r="H14" s="2369"/>
      <c r="I14" s="2359">
        <f>ROUND(D14*E14*F14*G14/10000,0)</f>
        <v>0</v>
      </c>
    </row>
    <row r="15" spans="1:9">
      <c r="A15" s="3583"/>
      <c r="B15" s="3585" t="s">
        <v>2468</v>
      </c>
      <c r="C15" s="3585"/>
      <c r="D15" s="2364"/>
      <c r="E15" s="2364">
        <f>SUM(E12:E14)</f>
        <v>0</v>
      </c>
      <c r="F15" s="2365"/>
      <c r="G15" s="2362"/>
      <c r="H15" s="2369"/>
      <c r="I15" s="2370">
        <f>SUM(I12:I14)</f>
        <v>0</v>
      </c>
    </row>
    <row r="16" spans="1:9" ht="24">
      <c r="A16" s="3583" t="s">
        <v>2480</v>
      </c>
      <c r="B16" s="3584" t="s">
        <v>2481</v>
      </c>
      <c r="C16" s="3584"/>
      <c r="D16" s="2360" t="s">
        <v>2482</v>
      </c>
      <c r="E16" s="2371" t="s">
        <v>2483</v>
      </c>
      <c r="F16" s="2361" t="s">
        <v>2484</v>
      </c>
      <c r="G16" s="2362" t="s">
        <v>2474</v>
      </c>
      <c r="H16" s="2368" t="s">
        <v>2475</v>
      </c>
      <c r="I16" s="2359" t="s">
        <v>2476</v>
      </c>
    </row>
    <row r="17" spans="1:9" ht="14.25">
      <c r="A17" s="3583"/>
      <c r="B17" s="3584" t="s">
        <v>2485</v>
      </c>
      <c r="C17" s="3584"/>
      <c r="D17" s="2360"/>
      <c r="E17" s="2360"/>
      <c r="F17" s="2361"/>
      <c r="G17" s="2362"/>
      <c r="H17" s="2372"/>
      <c r="I17" s="2373">
        <f>ROUND(D17*E17*F17*G17/10000,0)</f>
        <v>0</v>
      </c>
    </row>
    <row r="18" spans="1:9" ht="14.25">
      <c r="A18" s="3583"/>
      <c r="B18" s="3584" t="s">
        <v>2486</v>
      </c>
      <c r="C18" s="3584"/>
      <c r="D18" s="2360"/>
      <c r="E18" s="2360"/>
      <c r="F18" s="2361"/>
      <c r="G18" s="2362"/>
      <c r="H18" s="2372"/>
      <c r="I18" s="2373">
        <f>ROUND(D18*E18*F18*G18/10000,0)</f>
        <v>0</v>
      </c>
    </row>
    <row r="19" spans="1:9" ht="14.25">
      <c r="A19" s="3583"/>
      <c r="B19" s="3584" t="s">
        <v>2487</v>
      </c>
      <c r="C19" s="3584"/>
      <c r="D19" s="2360"/>
      <c r="E19" s="2360"/>
      <c r="F19" s="2361"/>
      <c r="G19" s="2362"/>
      <c r="H19" s="2372"/>
      <c r="I19" s="2373">
        <f>ROUND(D19*E19*F19*G19/10000,0)</f>
        <v>0</v>
      </c>
    </row>
    <row r="20" spans="1:9">
      <c r="A20" s="3583"/>
      <c r="B20" s="3585" t="s">
        <v>2468</v>
      </c>
      <c r="C20" s="3585"/>
      <c r="D20" s="2364">
        <f>SUM(D17:D19)</f>
        <v>0</v>
      </c>
      <c r="E20" s="2364"/>
      <c r="F20" s="2365"/>
      <c r="G20" s="2362"/>
      <c r="H20" s="2369"/>
      <c r="I20" s="2370">
        <f>SUM(I17:I19)</f>
        <v>0</v>
      </c>
    </row>
    <row r="21" spans="1:9">
      <c r="A21" s="3583"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94">
        <f>C27-C30-C31-C32</f>
        <v>0</v>
      </c>
      <c r="F26" s="3594"/>
      <c r="G26" s="3594"/>
      <c r="H26" s="2752" t="s">
        <v>2822</v>
      </c>
    </row>
    <row r="27" spans="1:9">
      <c r="A27" s="2382">
        <v>1</v>
      </c>
      <c r="B27" s="2383" t="s">
        <v>2497</v>
      </c>
      <c r="C27" s="2383"/>
      <c r="D27" s="2383"/>
      <c r="E27" s="3595"/>
      <c r="F27" s="3595"/>
      <c r="G27" s="3595"/>
    </row>
    <row r="28" spans="1:9">
      <c r="A28" s="2384" t="s">
        <v>2498</v>
      </c>
      <c r="B28" s="2383" t="s">
        <v>2499</v>
      </c>
      <c r="C28" s="2383"/>
      <c r="D28" s="2383"/>
      <c r="E28" s="3595"/>
      <c r="F28" s="3595"/>
      <c r="G28" s="359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6"/>
      <c r="F32" s="3586"/>
      <c r="G32" s="3586"/>
    </row>
    <row r="33" spans="1:7" hidden="1">
      <c r="A33" s="3596" t="s">
        <v>2507</v>
      </c>
      <c r="B33" s="3597"/>
      <c r="C33" s="3597"/>
      <c r="D33" s="3598"/>
      <c r="E33" s="3594"/>
      <c r="F33" s="3594"/>
      <c r="G33" s="3594"/>
    </row>
    <row r="34" spans="1:7" hidden="1">
      <c r="A34" s="2386">
        <v>1</v>
      </c>
      <c r="B34" s="2383" t="s">
        <v>2508</v>
      </c>
      <c r="C34" s="2383"/>
      <c r="D34" s="2383"/>
      <c r="E34" s="3595"/>
      <c r="F34" s="3595"/>
      <c r="G34" s="3595"/>
    </row>
    <row r="35" spans="1:7" hidden="1">
      <c r="A35" s="2386">
        <v>2</v>
      </c>
      <c r="B35" s="2383" t="s">
        <v>2509</v>
      </c>
      <c r="C35" s="2383"/>
      <c r="D35" s="2383"/>
      <c r="E35" s="3595"/>
      <c r="F35" s="3595"/>
      <c r="G35" s="3595"/>
    </row>
    <row r="36" spans="1:7" hidden="1">
      <c r="A36" s="2386">
        <v>3</v>
      </c>
      <c r="B36" s="2383" t="s">
        <v>2510</v>
      </c>
      <c r="C36" s="2383"/>
      <c r="D36" s="2383"/>
      <c r="E36" s="3595"/>
      <c r="F36" s="3595"/>
      <c r="G36" s="3595"/>
    </row>
    <row r="37" spans="1:7" hidden="1">
      <c r="A37" s="2386">
        <v>4</v>
      </c>
      <c r="B37" s="2383" t="s">
        <v>2511</v>
      </c>
      <c r="C37" s="2383"/>
      <c r="D37" s="2383"/>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1027</v>
      </c>
      <c r="D12" s="3267">
        <f>'数据-汇总表'!E5</f>
        <v>205401.75</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M23" sqref="M2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3011</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3290"/>
      <c r="Y4" s="3496" t="s">
        <v>521</v>
      </c>
      <c r="Z4" s="3497"/>
      <c r="AA4" s="3485" t="s">
        <v>517</v>
      </c>
      <c r="AB4" s="3485" t="s">
        <v>518</v>
      </c>
      <c r="AC4" s="3485" t="s">
        <v>519</v>
      </c>
    </row>
    <row r="5" spans="1:29" ht="15">
      <c r="A5" s="509"/>
      <c r="B5" s="510"/>
      <c r="C5" s="3504" t="s">
        <v>2886</v>
      </c>
      <c r="D5" s="3505"/>
      <c r="E5" s="3599" t="s">
        <v>3090</v>
      </c>
      <c r="F5" s="3525"/>
      <c r="G5" s="3600" t="s">
        <v>3120</v>
      </c>
      <c r="H5" s="3505"/>
      <c r="I5" s="3600" t="s">
        <v>3119</v>
      </c>
      <c r="J5" s="3505"/>
      <c r="K5" s="843"/>
      <c r="L5" s="2013"/>
      <c r="M5" s="2014"/>
      <c r="N5" s="2014"/>
      <c r="O5" s="2014"/>
      <c r="P5" s="3492"/>
      <c r="Q5" s="3493"/>
      <c r="R5" s="3498"/>
      <c r="S5" s="3499"/>
      <c r="T5" s="3498"/>
      <c r="U5" s="3499"/>
      <c r="V5" s="3483"/>
      <c r="W5" s="3483"/>
      <c r="X5" s="3290"/>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3290"/>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3285" t="str">
        <f t="shared" ref="Q9:Q15" si="6">B9</f>
        <v>用途</v>
      </c>
      <c r="R9" s="1500" t="s">
        <v>8</v>
      </c>
      <c r="S9" s="1501">
        <f t="shared" si="0"/>
        <v>100</v>
      </c>
      <c r="T9" s="1500" t="s">
        <v>8</v>
      </c>
      <c r="U9" s="1501">
        <f t="shared" si="1"/>
        <v>100</v>
      </c>
      <c r="V9" s="1500" t="s">
        <v>8</v>
      </c>
      <c r="W9" s="1501">
        <f t="shared" si="2"/>
        <v>100</v>
      </c>
      <c r="X9" s="1502"/>
      <c r="Y9" s="3428"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3285" t="str">
        <f t="shared" si="6"/>
        <v>土地使用年限（年）</v>
      </c>
      <c r="R10" s="1500" t="s">
        <v>8</v>
      </c>
      <c r="S10" s="1501">
        <f t="shared" si="0"/>
        <v>100</v>
      </c>
      <c r="T10" s="1500" t="s">
        <v>8</v>
      </c>
      <c r="U10" s="1501">
        <f t="shared" si="1"/>
        <v>100</v>
      </c>
      <c r="V10" s="1500" t="s">
        <v>8</v>
      </c>
      <c r="W10" s="1501">
        <f t="shared" si="2"/>
        <v>100</v>
      </c>
      <c r="X10" s="1502"/>
      <c r="Y10" s="3428"/>
      <c r="Z10" s="3283"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82"/>
      <c r="Q11" s="3285" t="str">
        <f t="shared" si="6"/>
        <v>容积率</v>
      </c>
      <c r="R11" s="1500" t="s">
        <v>11</v>
      </c>
      <c r="S11" s="1501">
        <f t="shared" si="0"/>
        <v>98</v>
      </c>
      <c r="T11" s="1500" t="s">
        <v>11</v>
      </c>
      <c r="U11" s="1501">
        <f t="shared" si="1"/>
        <v>94</v>
      </c>
      <c r="V11" s="1500" t="s">
        <v>11</v>
      </c>
      <c r="W11" s="1501">
        <f t="shared" si="2"/>
        <v>98</v>
      </c>
      <c r="X11" s="1502"/>
      <c r="Y11" s="3428"/>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3285">
        <f t="shared" si="6"/>
        <v>111</v>
      </c>
      <c r="R12" s="1500" t="s">
        <v>11</v>
      </c>
      <c r="S12" s="1501">
        <f t="shared" si="0"/>
        <v>100</v>
      </c>
      <c r="T12" s="1500" t="s">
        <v>11</v>
      </c>
      <c r="U12" s="1501">
        <f t="shared" si="1"/>
        <v>100</v>
      </c>
      <c r="V12" s="1500" t="s">
        <v>11</v>
      </c>
      <c r="W12" s="1501">
        <f t="shared" si="2"/>
        <v>100</v>
      </c>
      <c r="X12" s="1502"/>
      <c r="Y12" s="3428"/>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3285">
        <f t="shared" si="6"/>
        <v>111</v>
      </c>
      <c r="R13" s="1500" t="s">
        <v>11</v>
      </c>
      <c r="S13" s="1501">
        <f t="shared" si="0"/>
        <v>100</v>
      </c>
      <c r="T13" s="1500" t="s">
        <v>11</v>
      </c>
      <c r="U13" s="1501">
        <f t="shared" si="1"/>
        <v>100</v>
      </c>
      <c r="V13" s="1500" t="s">
        <v>11</v>
      </c>
      <c r="W13" s="1501">
        <f t="shared" si="2"/>
        <v>100</v>
      </c>
      <c r="X13" s="1502"/>
      <c r="Y13" s="3428"/>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3285">
        <f t="shared" si="6"/>
        <v>111</v>
      </c>
      <c r="R14" s="1500" t="s">
        <v>11</v>
      </c>
      <c r="S14" s="1501">
        <f t="shared" si="0"/>
        <v>100</v>
      </c>
      <c r="T14" s="1500" t="s">
        <v>11</v>
      </c>
      <c r="U14" s="1501">
        <f t="shared" si="1"/>
        <v>100</v>
      </c>
      <c r="V14" s="1500" t="s">
        <v>11</v>
      </c>
      <c r="W14" s="1501">
        <f t="shared" si="2"/>
        <v>100</v>
      </c>
      <c r="X14" s="1502"/>
      <c r="Y14" s="3428"/>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516" t="s">
        <v>534</v>
      </c>
      <c r="Q15" s="3291" t="str">
        <f t="shared" si="6"/>
        <v>居住社区成熟度</v>
      </c>
      <c r="R15" s="1505" t="s">
        <v>11</v>
      </c>
      <c r="S15" s="1506">
        <f t="shared" si="0"/>
        <v>104</v>
      </c>
      <c r="T15" s="1505" t="s">
        <v>11</v>
      </c>
      <c r="U15" s="1506">
        <f t="shared" si="1"/>
        <v>104</v>
      </c>
      <c r="V15" s="1505" t="s">
        <v>11</v>
      </c>
      <c r="W15" s="1506">
        <f t="shared" si="2"/>
        <v>104</v>
      </c>
      <c r="X15" s="3290"/>
      <c r="Y15" s="3516"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3291"/>
      <c r="R16" s="1505"/>
      <c r="S16" s="1506"/>
      <c r="T16" s="1505"/>
      <c r="U16" s="1506"/>
      <c r="V16" s="1505"/>
      <c r="W16" s="1506"/>
      <c r="X16" s="3290"/>
      <c r="Y16" s="3517"/>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517"/>
      <c r="Q17" s="3291" t="str">
        <f>B17</f>
        <v>交通便捷度</v>
      </c>
      <c r="R17" s="1505" t="s">
        <v>11</v>
      </c>
      <c r="S17" s="1506">
        <f>F17</f>
        <v>103</v>
      </c>
      <c r="T17" s="1505" t="s">
        <v>11</v>
      </c>
      <c r="U17" s="1506">
        <f>H17</f>
        <v>103</v>
      </c>
      <c r="V17" s="1505" t="s">
        <v>11</v>
      </c>
      <c r="W17" s="1506">
        <f>J17</f>
        <v>103</v>
      </c>
      <c r="X17" s="3290"/>
      <c r="Y17" s="3517"/>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3291"/>
      <c r="R18" s="1505"/>
      <c r="S18" s="1506"/>
      <c r="T18" s="1505"/>
      <c r="U18" s="1506"/>
      <c r="V18" s="1505"/>
      <c r="W18" s="1506"/>
      <c r="X18" s="3290"/>
      <c r="Y18" s="3517"/>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517"/>
      <c r="Q19" s="3291" t="str">
        <f>B19</f>
        <v>公共配套设施</v>
      </c>
      <c r="R19" s="1505" t="s">
        <v>11</v>
      </c>
      <c r="S19" s="1506">
        <f>F19</f>
        <v>102</v>
      </c>
      <c r="T19" s="1505" t="s">
        <v>11</v>
      </c>
      <c r="U19" s="1506">
        <f>H19</f>
        <v>102</v>
      </c>
      <c r="V19" s="1505" t="s">
        <v>11</v>
      </c>
      <c r="W19" s="1506">
        <f>J19</f>
        <v>102</v>
      </c>
      <c r="X19" s="3290"/>
      <c r="Y19" s="3517"/>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517"/>
      <c r="Q20" s="3291"/>
      <c r="R20" s="1505"/>
      <c r="S20" s="1506"/>
      <c r="T20" s="1505"/>
      <c r="U20" s="1506"/>
      <c r="V20" s="1505"/>
      <c r="W20" s="1506"/>
      <c r="X20" s="3290"/>
      <c r="Y20" s="3517"/>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3291" t="str">
        <f>B21</f>
        <v>基础设施水平</v>
      </c>
      <c r="R21" s="1505" t="s">
        <v>11</v>
      </c>
      <c r="S21" s="1506">
        <f>F21</f>
        <v>100</v>
      </c>
      <c r="T21" s="1505" t="s">
        <v>11</v>
      </c>
      <c r="U21" s="1506">
        <f>H21</f>
        <v>100</v>
      </c>
      <c r="V21" s="1505" t="s">
        <v>11</v>
      </c>
      <c r="W21" s="1506">
        <f>J21</f>
        <v>100</v>
      </c>
      <c r="X21" s="3290"/>
      <c r="Y21" s="3517"/>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3291"/>
      <c r="R22" s="1505"/>
      <c r="S22" s="1506"/>
      <c r="T22" s="1505"/>
      <c r="U22" s="1506"/>
      <c r="V22" s="1505"/>
      <c r="W22" s="1506"/>
      <c r="X22" s="3290"/>
      <c r="Y22" s="3517"/>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3291" t="str">
        <f>B23</f>
        <v>自然及人文环境</v>
      </c>
      <c r="R23" s="1505" t="s">
        <v>11</v>
      </c>
      <c r="S23" s="1506">
        <f>F23</f>
        <v>100</v>
      </c>
      <c r="T23" s="1505" t="s">
        <v>11</v>
      </c>
      <c r="U23" s="1506">
        <f>H23</f>
        <v>100</v>
      </c>
      <c r="V23" s="1505" t="s">
        <v>11</v>
      </c>
      <c r="W23" s="1506">
        <f>J23</f>
        <v>100</v>
      </c>
      <c r="X23" s="3290"/>
      <c r="Y23" s="3517"/>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3291"/>
      <c r="R24" s="1505"/>
      <c r="S24" s="1506"/>
      <c r="T24" s="1505"/>
      <c r="U24" s="1506"/>
      <c r="V24" s="1505"/>
      <c r="W24" s="1506"/>
      <c r="X24" s="3290"/>
      <c r="Y24" s="3517"/>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3291" t="str">
        <f t="shared" ref="Q25:Q46" si="11">B25</f>
        <v>楼层-1</v>
      </c>
      <c r="R25" s="1505" t="s">
        <v>11</v>
      </c>
      <c r="S25" s="1506">
        <f>F25</f>
        <v>100</v>
      </c>
      <c r="T25" s="1505" t="s">
        <v>11</v>
      </c>
      <c r="U25" s="1506">
        <f>H25</f>
        <v>100</v>
      </c>
      <c r="V25" s="1505" t="s">
        <v>11</v>
      </c>
      <c r="W25" s="1506">
        <f>J25</f>
        <v>100</v>
      </c>
      <c r="X25" s="3290"/>
      <c r="Y25" s="3517"/>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3291" t="str">
        <f t="shared" si="11"/>
        <v>朝向</v>
      </c>
      <c r="R26" s="1505" t="s">
        <v>11</v>
      </c>
      <c r="S26" s="1506">
        <f>F26</f>
        <v>100</v>
      </c>
      <c r="T26" s="1505" t="s">
        <v>11</v>
      </c>
      <c r="U26" s="1506">
        <f>H26</f>
        <v>100</v>
      </c>
      <c r="V26" s="1505" t="s">
        <v>11</v>
      </c>
      <c r="W26" s="1506">
        <f>J26</f>
        <v>100</v>
      </c>
      <c r="X26" s="3290"/>
      <c r="Y26" s="3517"/>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3285" t="str">
        <f t="shared" si="11"/>
        <v>道路级别</v>
      </c>
      <c r="R27" s="1500" t="s">
        <v>11</v>
      </c>
      <c r="S27" s="1501">
        <f>F27</f>
        <v>100</v>
      </c>
      <c r="T27" s="1500" t="s">
        <v>11</v>
      </c>
      <c r="U27" s="1501">
        <f>H27</f>
        <v>100</v>
      </c>
      <c r="V27" s="1500" t="s">
        <v>11</v>
      </c>
      <c r="W27" s="1501">
        <f>J27</f>
        <v>100</v>
      </c>
      <c r="X27" s="1502"/>
      <c r="Y27" s="3517"/>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3291">
        <f t="shared" si="11"/>
        <v>111</v>
      </c>
      <c r="R28" s="1505" t="s">
        <v>11</v>
      </c>
      <c r="S28" s="1506">
        <f t="shared" ref="S28:S46" si="12">F28</f>
        <v>100</v>
      </c>
      <c r="T28" s="1505" t="s">
        <v>11</v>
      </c>
      <c r="U28" s="1506">
        <f t="shared" ref="U28:U46" si="13">H28</f>
        <v>100</v>
      </c>
      <c r="V28" s="1505" t="s">
        <v>11</v>
      </c>
      <c r="W28" s="1506">
        <f t="shared" ref="W28:W46" si="14">J28</f>
        <v>100</v>
      </c>
      <c r="X28" s="3290"/>
      <c r="Y28" s="3517"/>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3291">
        <f t="shared" si="11"/>
        <v>111</v>
      </c>
      <c r="R29" s="1505" t="s">
        <v>11</v>
      </c>
      <c r="S29" s="1506">
        <f t="shared" si="12"/>
        <v>100</v>
      </c>
      <c r="T29" s="1505" t="s">
        <v>11</v>
      </c>
      <c r="U29" s="1506">
        <f t="shared" si="13"/>
        <v>100</v>
      </c>
      <c r="V29" s="1505" t="s">
        <v>11</v>
      </c>
      <c r="W29" s="1506">
        <f t="shared" si="14"/>
        <v>100</v>
      </c>
      <c r="X29" s="3290"/>
      <c r="Y29" s="3517"/>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3291">
        <f t="shared" si="11"/>
        <v>111</v>
      </c>
      <c r="R30" s="1505" t="s">
        <v>11</v>
      </c>
      <c r="S30" s="1506">
        <f t="shared" si="12"/>
        <v>100</v>
      </c>
      <c r="T30" s="1505" t="s">
        <v>11</v>
      </c>
      <c r="U30" s="1506">
        <f t="shared" si="13"/>
        <v>100</v>
      </c>
      <c r="V30" s="1505" t="s">
        <v>11</v>
      </c>
      <c r="W30" s="1506">
        <f t="shared" si="14"/>
        <v>100</v>
      </c>
      <c r="X30" s="3290"/>
      <c r="Y30" s="3517"/>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3291">
        <f t="shared" si="11"/>
        <v>111</v>
      </c>
      <c r="R31" s="1505" t="s">
        <v>11</v>
      </c>
      <c r="S31" s="1506">
        <f t="shared" si="12"/>
        <v>100</v>
      </c>
      <c r="T31" s="1505" t="s">
        <v>11</v>
      </c>
      <c r="U31" s="1506">
        <f t="shared" si="13"/>
        <v>100</v>
      </c>
      <c r="V31" s="1505" t="s">
        <v>11</v>
      </c>
      <c r="W31" s="1506">
        <f t="shared" si="14"/>
        <v>100</v>
      </c>
      <c r="X31" s="3290"/>
      <c r="Y31" s="3517"/>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518" t="s">
        <v>544</v>
      </c>
      <c r="Q32" s="3291" t="str">
        <f t="shared" si="11"/>
        <v>建筑类型</v>
      </c>
      <c r="R32" s="1505" t="s">
        <v>11</v>
      </c>
      <c r="S32" s="1506">
        <f t="shared" si="12"/>
        <v>100</v>
      </c>
      <c r="T32" s="1505" t="s">
        <v>11</v>
      </c>
      <c r="U32" s="1506">
        <f t="shared" si="13"/>
        <v>100</v>
      </c>
      <c r="V32" s="1505" t="s">
        <v>11</v>
      </c>
      <c r="W32" s="1506">
        <f t="shared" si="14"/>
        <v>100</v>
      </c>
      <c r="X32" s="3290"/>
      <c r="Y32" s="3519" t="s">
        <v>544</v>
      </c>
      <c r="Z32" s="3292" t="str">
        <f t="shared" si="15"/>
        <v>建筑类型</v>
      </c>
      <c r="AA32" s="3293">
        <f t="shared" si="3"/>
        <v>1</v>
      </c>
      <c r="AB32" s="3293">
        <f t="shared" si="4"/>
        <v>1</v>
      </c>
      <c r="AC32" s="3293">
        <f t="shared" si="5"/>
        <v>1</v>
      </c>
    </row>
    <row r="33" spans="1:29" s="1291" customFormat="1" ht="15">
      <c r="A33" s="597"/>
      <c r="B33" s="521" t="s">
        <v>720</v>
      </c>
      <c r="C33" s="869">
        <f>'数据-基础表'!B3</f>
        <v>362676.11</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102</v>
      </c>
      <c r="V33" s="1509" t="s">
        <v>11</v>
      </c>
      <c r="W33" s="1510">
        <f t="shared" si="14"/>
        <v>103</v>
      </c>
      <c r="X33" s="1511"/>
      <c r="Y33" s="3519"/>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3291" t="str">
        <f t="shared" si="11"/>
        <v>建筑结构</v>
      </c>
      <c r="R34" s="1505" t="s">
        <v>11</v>
      </c>
      <c r="S34" s="1506">
        <f t="shared" si="12"/>
        <v>100</v>
      </c>
      <c r="T34" s="1505" t="s">
        <v>11</v>
      </c>
      <c r="U34" s="1506">
        <f t="shared" si="13"/>
        <v>100</v>
      </c>
      <c r="V34" s="1505" t="s">
        <v>11</v>
      </c>
      <c r="W34" s="1506">
        <f t="shared" si="14"/>
        <v>100</v>
      </c>
      <c r="X34" s="3290"/>
      <c r="Y34" s="3519"/>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3291" t="str">
        <f t="shared" si="11"/>
        <v>建筑品质</v>
      </c>
      <c r="R35" s="1505" t="s">
        <v>11</v>
      </c>
      <c r="S35" s="1506">
        <f t="shared" si="12"/>
        <v>100</v>
      </c>
      <c r="T35" s="1505" t="s">
        <v>11</v>
      </c>
      <c r="U35" s="1506">
        <f t="shared" si="13"/>
        <v>100</v>
      </c>
      <c r="V35" s="1505" t="s">
        <v>11</v>
      </c>
      <c r="W35" s="1506">
        <f t="shared" si="14"/>
        <v>100</v>
      </c>
      <c r="X35" s="3290"/>
      <c r="Y35" s="3519"/>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3291" t="str">
        <f t="shared" si="11"/>
        <v>公共部分装修</v>
      </c>
      <c r="R36" s="1505" t="s">
        <v>11</v>
      </c>
      <c r="S36" s="1506">
        <f t="shared" si="12"/>
        <v>100</v>
      </c>
      <c r="T36" s="1505" t="s">
        <v>11</v>
      </c>
      <c r="U36" s="1506">
        <f t="shared" si="13"/>
        <v>100</v>
      </c>
      <c r="V36" s="1505" t="s">
        <v>11</v>
      </c>
      <c r="W36" s="1506">
        <f t="shared" si="14"/>
        <v>100</v>
      </c>
      <c r="X36" s="3290"/>
      <c r="Y36" s="3519"/>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3285" t="str">
        <f t="shared" si="11"/>
        <v>成新度</v>
      </c>
      <c r="R37" s="1500" t="s">
        <v>11</v>
      </c>
      <c r="S37" s="1501">
        <f t="shared" si="12"/>
        <v>100</v>
      </c>
      <c r="T37" s="1500" t="s">
        <v>11</v>
      </c>
      <c r="U37" s="1501">
        <f t="shared" si="13"/>
        <v>100</v>
      </c>
      <c r="V37" s="1500" t="s">
        <v>11</v>
      </c>
      <c r="W37" s="1501">
        <f t="shared" si="14"/>
        <v>100</v>
      </c>
      <c r="X37" s="1502"/>
      <c r="Y37" s="3519"/>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3291" t="str">
        <f t="shared" si="11"/>
        <v>物业管理</v>
      </c>
      <c r="R38" s="1505" t="s">
        <v>11</v>
      </c>
      <c r="S38" s="1506">
        <f t="shared" si="12"/>
        <v>100</v>
      </c>
      <c r="T38" s="1505" t="s">
        <v>11</v>
      </c>
      <c r="U38" s="1506">
        <f t="shared" si="13"/>
        <v>100</v>
      </c>
      <c r="V38" s="1505" t="s">
        <v>11</v>
      </c>
      <c r="W38" s="1506">
        <f t="shared" si="14"/>
        <v>100</v>
      </c>
      <c r="X38" s="3290"/>
      <c r="Y38" s="3519"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3291" t="str">
        <f t="shared" si="11"/>
        <v>市政基础设施</v>
      </c>
      <c r="R39" s="1505" t="s">
        <v>11</v>
      </c>
      <c r="S39" s="1506">
        <f t="shared" si="12"/>
        <v>100</v>
      </c>
      <c r="T39" s="1505" t="s">
        <v>11</v>
      </c>
      <c r="U39" s="1506">
        <f t="shared" si="13"/>
        <v>100</v>
      </c>
      <c r="V39" s="1505" t="s">
        <v>11</v>
      </c>
      <c r="W39" s="1506">
        <f t="shared" si="14"/>
        <v>100</v>
      </c>
      <c r="X39" s="3290"/>
      <c r="Y39" s="3519"/>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3291" t="str">
        <f t="shared" si="11"/>
        <v>房型</v>
      </c>
      <c r="R40" s="1505" t="s">
        <v>11</v>
      </c>
      <c r="S40" s="1506">
        <f t="shared" si="12"/>
        <v>100</v>
      </c>
      <c r="T40" s="1505" t="s">
        <v>11</v>
      </c>
      <c r="U40" s="1506">
        <f t="shared" si="13"/>
        <v>100</v>
      </c>
      <c r="V40" s="1505" t="s">
        <v>11</v>
      </c>
      <c r="W40" s="1506">
        <f t="shared" si="14"/>
        <v>100</v>
      </c>
      <c r="X40" s="3290"/>
      <c r="Y40" s="3519"/>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3291" t="str">
        <f t="shared" si="11"/>
        <v>内部装修</v>
      </c>
      <c r="R42" s="1505" t="s">
        <v>11</v>
      </c>
      <c r="S42" s="1506">
        <f t="shared" si="12"/>
        <v>100</v>
      </c>
      <c r="T42" s="1505" t="s">
        <v>11</v>
      </c>
      <c r="U42" s="1506">
        <f t="shared" si="13"/>
        <v>100</v>
      </c>
      <c r="V42" s="1505" t="s">
        <v>11</v>
      </c>
      <c r="W42" s="1506">
        <f t="shared" si="14"/>
        <v>100</v>
      </c>
      <c r="X42" s="3290"/>
      <c r="Y42" s="3519"/>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3291" t="str">
        <f t="shared" si="11"/>
        <v>内部装修维护情况</v>
      </c>
      <c r="R43" s="1505" t="s">
        <v>11</v>
      </c>
      <c r="S43" s="1506">
        <f t="shared" si="12"/>
        <v>100</v>
      </c>
      <c r="T43" s="1505" t="s">
        <v>11</v>
      </c>
      <c r="U43" s="1506">
        <f t="shared" si="13"/>
        <v>100</v>
      </c>
      <c r="V43" s="1505" t="s">
        <v>11</v>
      </c>
      <c r="W43" s="1506">
        <f t="shared" si="14"/>
        <v>100</v>
      </c>
      <c r="X43" s="3290"/>
      <c r="Y43" s="3519"/>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3285">
        <f t="shared" si="11"/>
        <v>111</v>
      </c>
      <c r="R44" s="1500" t="s">
        <v>11</v>
      </c>
      <c r="S44" s="1501">
        <f t="shared" si="12"/>
        <v>100</v>
      </c>
      <c r="T44" s="1500" t="s">
        <v>11</v>
      </c>
      <c r="U44" s="1501">
        <f t="shared" si="13"/>
        <v>100</v>
      </c>
      <c r="V44" s="1500" t="s">
        <v>11</v>
      </c>
      <c r="W44" s="1501">
        <f t="shared" si="14"/>
        <v>100</v>
      </c>
      <c r="X44" s="1502"/>
      <c r="Y44" s="3519"/>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3291">
        <f t="shared" si="11"/>
        <v>111</v>
      </c>
      <c r="R45" s="1505" t="s">
        <v>11</v>
      </c>
      <c r="S45" s="1506">
        <f t="shared" si="12"/>
        <v>100</v>
      </c>
      <c r="T45" s="1505" t="s">
        <v>11</v>
      </c>
      <c r="U45" s="1506">
        <f t="shared" si="13"/>
        <v>100</v>
      </c>
      <c r="V45" s="1505" t="s">
        <v>11</v>
      </c>
      <c r="W45" s="1506">
        <f t="shared" si="14"/>
        <v>100</v>
      </c>
      <c r="X45" s="3290"/>
      <c r="Y45" s="3519"/>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82" t="str">
        <f>A47</f>
        <v>成交单价（元/平方米）</v>
      </c>
      <c r="Q47" s="3482"/>
      <c r="R47" s="3602">
        <f>E47</f>
        <v>5445</v>
      </c>
      <c r="S47" s="3602"/>
      <c r="T47" s="3602">
        <f>G47</f>
        <v>6118</v>
      </c>
      <c r="U47" s="3602"/>
      <c r="V47" s="3602">
        <f>I47</f>
        <v>6237</v>
      </c>
      <c r="W47" s="3602"/>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82" t="str">
        <f>A48</f>
        <v>比较价格（元/平方米）</v>
      </c>
      <c r="Q48" s="3482"/>
      <c r="R48" s="3602">
        <f>IF(F1="售价",ROUND(PRODUCT(R47,AA7:AA46),0),ROUND(PRODUCT(R47,AA7:AA46),1))</f>
        <v>5189</v>
      </c>
      <c r="S48" s="3602"/>
      <c r="T48" s="3602">
        <f>IF(F1="售价",ROUND(PRODUCT(T47,AB7:AB46),0),ROUND(PRODUCT(T47,AB7:AB46),1))</f>
        <v>5840</v>
      </c>
      <c r="U48" s="3602"/>
      <c r="V48" s="3602">
        <f>IF(F1="售价",ROUND(PRODUCT(V47,AC7:AC46),0),ROUND(PRODUCT(V47,AC7:AC46),1))</f>
        <v>5655</v>
      </c>
      <c r="W48" s="3602"/>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5561</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3117</v>
      </c>
      <c r="D100" s="3296" t="s">
        <v>3118</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D49" sqref="D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3114</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117354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107417.75</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99" t="s">
        <v>3090</v>
      </c>
      <c r="F5" s="3525"/>
      <c r="G5" s="3600" t="s">
        <v>3113</v>
      </c>
      <c r="H5" s="3505"/>
      <c r="I5" s="3600" t="s">
        <v>3115</v>
      </c>
      <c r="J5" s="3505"/>
      <c r="K5" s="843"/>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82"/>
      <c r="Q11" s="1132" t="str">
        <f t="shared" si="6"/>
        <v>容积率</v>
      </c>
      <c r="R11" s="1500" t="s">
        <v>11</v>
      </c>
      <c r="S11" s="1501">
        <f t="shared" si="0"/>
        <v>98</v>
      </c>
      <c r="T11" s="1500" t="s">
        <v>11</v>
      </c>
      <c r="U11" s="1501">
        <f t="shared" si="1"/>
        <v>100</v>
      </c>
      <c r="V11" s="1500" t="s">
        <v>11</v>
      </c>
      <c r="W11" s="1501">
        <f t="shared" si="2"/>
        <v>100</v>
      </c>
      <c r="X11" s="1502"/>
      <c r="Y11" s="3428"/>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1132">
        <f t="shared" si="6"/>
        <v>111</v>
      </c>
      <c r="R12" s="1500" t="s">
        <v>11</v>
      </c>
      <c r="S12" s="1501">
        <f t="shared" si="0"/>
        <v>100</v>
      </c>
      <c r="T12" s="1500" t="s">
        <v>11</v>
      </c>
      <c r="U12" s="1501">
        <f t="shared" si="1"/>
        <v>100</v>
      </c>
      <c r="V12" s="1500" t="s">
        <v>11</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1132">
        <f t="shared" si="6"/>
        <v>111</v>
      </c>
      <c r="R13" s="1500" t="s">
        <v>11</v>
      </c>
      <c r="S13" s="1501">
        <f t="shared" si="0"/>
        <v>100</v>
      </c>
      <c r="T13" s="1500" t="s">
        <v>11</v>
      </c>
      <c r="U13" s="1501">
        <f t="shared" si="1"/>
        <v>100</v>
      </c>
      <c r="V13" s="1500" t="s">
        <v>11</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1132">
        <f t="shared" si="6"/>
        <v>111</v>
      </c>
      <c r="R14" s="1500" t="s">
        <v>11</v>
      </c>
      <c r="S14" s="1501">
        <f t="shared" si="0"/>
        <v>100</v>
      </c>
      <c r="T14" s="1500" t="s">
        <v>11</v>
      </c>
      <c r="U14" s="1501">
        <f t="shared" si="1"/>
        <v>100</v>
      </c>
      <c r="V14" s="1500" t="s">
        <v>11</v>
      </c>
      <c r="W14" s="1501">
        <f t="shared" si="2"/>
        <v>100</v>
      </c>
      <c r="X14" s="1502"/>
      <c r="Y14" s="3428"/>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516" t="s">
        <v>534</v>
      </c>
      <c r="Q15" s="1504" t="str">
        <f t="shared" si="6"/>
        <v>居住社区成熟度</v>
      </c>
      <c r="R15" s="1505" t="s">
        <v>11</v>
      </c>
      <c r="S15" s="1506">
        <f t="shared" si="0"/>
        <v>104</v>
      </c>
      <c r="T15" s="1505" t="s">
        <v>11</v>
      </c>
      <c r="U15" s="1506">
        <f t="shared" si="1"/>
        <v>104</v>
      </c>
      <c r="V15" s="1505" t="s">
        <v>11</v>
      </c>
      <c r="W15" s="1506">
        <f t="shared" si="2"/>
        <v>104</v>
      </c>
      <c r="X15" s="1499"/>
      <c r="Y15" s="3516"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517"/>
      <c r="Q17" s="1504" t="str">
        <f>B17</f>
        <v>交通便捷度</v>
      </c>
      <c r="R17" s="1505" t="s">
        <v>11</v>
      </c>
      <c r="S17" s="1506">
        <f>F17</f>
        <v>103</v>
      </c>
      <c r="T17" s="1505" t="s">
        <v>11</v>
      </c>
      <c r="U17" s="1506">
        <f>H17</f>
        <v>103</v>
      </c>
      <c r="V17" s="1505" t="s">
        <v>11</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517"/>
      <c r="Q19" s="1504" t="str">
        <f>B19</f>
        <v>公共配套设施</v>
      </c>
      <c r="R19" s="1505" t="s">
        <v>11</v>
      </c>
      <c r="S19" s="1506">
        <f>F19</f>
        <v>102</v>
      </c>
      <c r="T19" s="1505" t="s">
        <v>11</v>
      </c>
      <c r="U19" s="1506">
        <f>H19</f>
        <v>100</v>
      </c>
      <c r="V19" s="1505" t="s">
        <v>11</v>
      </c>
      <c r="W19" s="1506">
        <f>J19</f>
        <v>102</v>
      </c>
      <c r="X19" s="1499"/>
      <c r="Y19" s="3517"/>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2427" t="str">
        <f>B21</f>
        <v>基础设施水平</v>
      </c>
      <c r="R21" s="1505" t="s">
        <v>11</v>
      </c>
      <c r="S21" s="1506">
        <f>F21</f>
        <v>100</v>
      </c>
      <c r="T21" s="1505" t="s">
        <v>11</v>
      </c>
      <c r="U21" s="1506">
        <f>H21</f>
        <v>100</v>
      </c>
      <c r="V21" s="1505" t="s">
        <v>11</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1504" t="str">
        <f>B23</f>
        <v>自然及人文环境</v>
      </c>
      <c r="R23" s="1505" t="s">
        <v>11</v>
      </c>
      <c r="S23" s="1506">
        <f>F23</f>
        <v>100</v>
      </c>
      <c r="T23" s="1505" t="s">
        <v>11</v>
      </c>
      <c r="U23" s="1506">
        <f>H23</f>
        <v>100</v>
      </c>
      <c r="V23" s="1505" t="s">
        <v>11</v>
      </c>
      <c r="W23" s="1506">
        <f>J23</f>
        <v>100</v>
      </c>
      <c r="X23" s="1499"/>
      <c r="Y23" s="3517"/>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1504" t="str">
        <f t="shared" ref="Q25:Q46" si="11">B25</f>
        <v>楼层-1</v>
      </c>
      <c r="R25" s="1505" t="s">
        <v>11</v>
      </c>
      <c r="S25" s="1506">
        <f>F25</f>
        <v>100</v>
      </c>
      <c r="T25" s="1505" t="s">
        <v>11</v>
      </c>
      <c r="U25" s="1506">
        <f>H25</f>
        <v>100</v>
      </c>
      <c r="V25" s="1505" t="s">
        <v>11</v>
      </c>
      <c r="W25" s="1506">
        <f>J25</f>
        <v>100</v>
      </c>
      <c r="X25" s="1499"/>
      <c r="Y25" s="3517"/>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1504" t="str">
        <f t="shared" si="11"/>
        <v>朝向</v>
      </c>
      <c r="R26" s="1505" t="s">
        <v>11</v>
      </c>
      <c r="S26" s="1506">
        <f>F26</f>
        <v>100</v>
      </c>
      <c r="T26" s="1505" t="s">
        <v>11</v>
      </c>
      <c r="U26" s="1506">
        <f>H26</f>
        <v>100</v>
      </c>
      <c r="V26" s="1505" t="s">
        <v>11</v>
      </c>
      <c r="W26" s="1506">
        <f>J26</f>
        <v>100</v>
      </c>
      <c r="X26" s="1499"/>
      <c r="Y26" s="3517"/>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1132" t="str">
        <f t="shared" si="11"/>
        <v>道路级别</v>
      </c>
      <c r="R27" s="1500" t="s">
        <v>11</v>
      </c>
      <c r="S27" s="1501">
        <f>F27</f>
        <v>100</v>
      </c>
      <c r="T27" s="1500" t="s">
        <v>11</v>
      </c>
      <c r="U27" s="1501">
        <f>H27</f>
        <v>100</v>
      </c>
      <c r="V27" s="1500" t="s">
        <v>11</v>
      </c>
      <c r="W27" s="1501">
        <f>J27</f>
        <v>100</v>
      </c>
      <c r="X27" s="1502"/>
      <c r="Y27" s="3517"/>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17"/>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1504">
        <f t="shared" si="11"/>
        <v>111</v>
      </c>
      <c r="R29" s="1505" t="s">
        <v>11</v>
      </c>
      <c r="S29" s="1506">
        <f t="shared" si="12"/>
        <v>100</v>
      </c>
      <c r="T29" s="1505" t="s">
        <v>11</v>
      </c>
      <c r="U29" s="1506">
        <f t="shared" si="13"/>
        <v>100</v>
      </c>
      <c r="V29" s="1505" t="s">
        <v>11</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1504">
        <f t="shared" si="11"/>
        <v>111</v>
      </c>
      <c r="R30" s="1505" t="s">
        <v>11</v>
      </c>
      <c r="S30" s="1506">
        <f t="shared" si="12"/>
        <v>100</v>
      </c>
      <c r="T30" s="1505" t="s">
        <v>11</v>
      </c>
      <c r="U30" s="1506">
        <f t="shared" si="13"/>
        <v>100</v>
      </c>
      <c r="V30" s="1505" t="s">
        <v>11</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1504">
        <f t="shared" si="11"/>
        <v>111</v>
      </c>
      <c r="R31" s="1505" t="s">
        <v>11</v>
      </c>
      <c r="S31" s="1506">
        <f t="shared" si="12"/>
        <v>100</v>
      </c>
      <c r="T31" s="1505" t="s">
        <v>11</v>
      </c>
      <c r="U31" s="1506">
        <f t="shared" si="13"/>
        <v>100</v>
      </c>
      <c r="V31" s="1505" t="s">
        <v>11</v>
      </c>
      <c r="W31" s="1506">
        <f t="shared" si="14"/>
        <v>100</v>
      </c>
      <c r="X31" s="1499"/>
      <c r="Y31" s="3517"/>
      <c r="Z31" s="1507">
        <f t="shared" si="15"/>
        <v>111</v>
      </c>
      <c r="AA31" s="1508">
        <f t="shared" si="3"/>
        <v>1</v>
      </c>
      <c r="AB31" s="1508">
        <f t="shared" si="4"/>
        <v>1</v>
      </c>
      <c r="AC31" s="1508">
        <f t="shared" si="5"/>
        <v>1</v>
      </c>
    </row>
    <row r="32" spans="1:29" ht="15">
      <c r="A32" s="2622" t="s">
        <v>2735</v>
      </c>
      <c r="B32" s="170" t="s">
        <v>719</v>
      </c>
      <c r="C32" s="867" t="s">
        <v>3114</v>
      </c>
      <c r="D32" s="591">
        <v>100</v>
      </c>
      <c r="E32" s="868" t="s">
        <v>3091</v>
      </c>
      <c r="F32" s="569">
        <f>SUMIF(100:100,E32,101:101)-SUMIF(100:100,C32,101:101)+100</f>
        <v>107</v>
      </c>
      <c r="G32" s="867" t="s">
        <v>3114</v>
      </c>
      <c r="H32" s="591">
        <f>SUMIF(100:100,G32,101:101)-SUMIF(100:100,C32,101:101)+100</f>
        <v>100</v>
      </c>
      <c r="I32" s="868" t="s">
        <v>3167</v>
      </c>
      <c r="J32" s="534">
        <f>SUMIF(100:100,I32,101:101)-SUMIF(100:100,C32,101:101)+100</f>
        <v>114</v>
      </c>
      <c r="K32" s="853">
        <v>7</v>
      </c>
      <c r="L32" s="2022"/>
      <c r="M32" s="2014"/>
      <c r="N32" s="2014"/>
      <c r="O32" s="2021"/>
      <c r="P32" s="3518" t="s">
        <v>544</v>
      </c>
      <c r="Q32" s="1504" t="str">
        <f t="shared" si="11"/>
        <v>建筑类型</v>
      </c>
      <c r="R32" s="1505" t="s">
        <v>11</v>
      </c>
      <c r="S32" s="1506">
        <f t="shared" si="12"/>
        <v>107</v>
      </c>
      <c r="T32" s="1505" t="s">
        <v>11</v>
      </c>
      <c r="U32" s="1506">
        <f t="shared" si="13"/>
        <v>100</v>
      </c>
      <c r="V32" s="1505" t="s">
        <v>11</v>
      </c>
      <c r="W32" s="1506">
        <f t="shared" si="14"/>
        <v>114</v>
      </c>
      <c r="X32" s="1499"/>
      <c r="Y32" s="3519"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362676.11</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99</v>
      </c>
      <c r="V33" s="1509" t="s">
        <v>11</v>
      </c>
      <c r="W33" s="1510">
        <f t="shared" si="14"/>
        <v>103</v>
      </c>
      <c r="X33" s="1511"/>
      <c r="Y33" s="3519"/>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1504" t="str">
        <f t="shared" si="11"/>
        <v>建筑结构</v>
      </c>
      <c r="R34" s="1505" t="s">
        <v>11</v>
      </c>
      <c r="S34" s="1506">
        <f t="shared" si="12"/>
        <v>100</v>
      </c>
      <c r="T34" s="1505" t="s">
        <v>11</v>
      </c>
      <c r="U34" s="1506">
        <f t="shared" si="13"/>
        <v>100</v>
      </c>
      <c r="V34" s="1505" t="s">
        <v>11</v>
      </c>
      <c r="W34" s="1506">
        <f t="shared" si="14"/>
        <v>100</v>
      </c>
      <c r="X34" s="1499"/>
      <c r="Y34" s="3519"/>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1504" t="str">
        <f t="shared" si="11"/>
        <v>建筑品质</v>
      </c>
      <c r="R35" s="1505" t="s">
        <v>11</v>
      </c>
      <c r="S35" s="1506">
        <f t="shared" si="12"/>
        <v>100</v>
      </c>
      <c r="T35" s="1505" t="s">
        <v>11</v>
      </c>
      <c r="U35" s="1506">
        <f t="shared" si="13"/>
        <v>100</v>
      </c>
      <c r="V35" s="1505" t="s">
        <v>11</v>
      </c>
      <c r="W35" s="1506">
        <f t="shared" si="14"/>
        <v>100</v>
      </c>
      <c r="X35" s="1499"/>
      <c r="Y35" s="3519"/>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1504" t="str">
        <f t="shared" si="11"/>
        <v>公共部分装修</v>
      </c>
      <c r="R36" s="1505" t="s">
        <v>11</v>
      </c>
      <c r="S36" s="1506">
        <f t="shared" si="12"/>
        <v>100</v>
      </c>
      <c r="T36" s="1505" t="s">
        <v>11</v>
      </c>
      <c r="U36" s="1506">
        <f t="shared" si="13"/>
        <v>100</v>
      </c>
      <c r="V36" s="1505" t="s">
        <v>11</v>
      </c>
      <c r="W36" s="1506">
        <f t="shared" si="14"/>
        <v>100</v>
      </c>
      <c r="X36" s="1499"/>
      <c r="Y36" s="3519"/>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1132" t="str">
        <f t="shared" si="11"/>
        <v>成新度</v>
      </c>
      <c r="R37" s="1500" t="s">
        <v>11</v>
      </c>
      <c r="S37" s="1501">
        <f t="shared" si="12"/>
        <v>100</v>
      </c>
      <c r="T37" s="1500" t="s">
        <v>11</v>
      </c>
      <c r="U37" s="1501">
        <f t="shared" si="13"/>
        <v>100</v>
      </c>
      <c r="V37" s="1500" t="s">
        <v>11</v>
      </c>
      <c r="W37" s="1501">
        <f t="shared" si="14"/>
        <v>100</v>
      </c>
      <c r="X37" s="1502"/>
      <c r="Y37" s="3519"/>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1504" t="str">
        <f t="shared" si="11"/>
        <v>物业管理</v>
      </c>
      <c r="R38" s="1505" t="s">
        <v>11</v>
      </c>
      <c r="S38" s="1506">
        <f t="shared" si="12"/>
        <v>100</v>
      </c>
      <c r="T38" s="1505" t="s">
        <v>11</v>
      </c>
      <c r="U38" s="1506">
        <f t="shared" si="13"/>
        <v>100</v>
      </c>
      <c r="V38" s="1505" t="s">
        <v>11</v>
      </c>
      <c r="W38" s="1506">
        <f t="shared" si="14"/>
        <v>100</v>
      </c>
      <c r="X38" s="1499"/>
      <c r="Y38" s="3519"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1504" t="str">
        <f t="shared" si="11"/>
        <v>市政基础设施</v>
      </c>
      <c r="R39" s="1505" t="s">
        <v>11</v>
      </c>
      <c r="S39" s="1506">
        <f t="shared" si="12"/>
        <v>100</v>
      </c>
      <c r="T39" s="1505" t="s">
        <v>11</v>
      </c>
      <c r="U39" s="1506">
        <f t="shared" si="13"/>
        <v>100</v>
      </c>
      <c r="V39" s="1505" t="s">
        <v>11</v>
      </c>
      <c r="W39" s="1506">
        <f t="shared" si="14"/>
        <v>100</v>
      </c>
      <c r="X39" s="1499"/>
      <c r="Y39" s="3519"/>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1504" t="str">
        <f t="shared" si="11"/>
        <v>房型</v>
      </c>
      <c r="R40" s="1505" t="s">
        <v>11</v>
      </c>
      <c r="S40" s="1506">
        <f t="shared" si="12"/>
        <v>100</v>
      </c>
      <c r="T40" s="1505" t="s">
        <v>11</v>
      </c>
      <c r="U40" s="1506">
        <f t="shared" si="13"/>
        <v>100</v>
      </c>
      <c r="V40" s="1505" t="s">
        <v>11</v>
      </c>
      <c r="W40" s="1506">
        <f t="shared" si="14"/>
        <v>100</v>
      </c>
      <c r="X40" s="1499"/>
      <c r="Y40" s="3519"/>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1504" t="str">
        <f t="shared" si="11"/>
        <v>内部装修</v>
      </c>
      <c r="R42" s="1505" t="s">
        <v>11</v>
      </c>
      <c r="S42" s="1506">
        <f t="shared" si="12"/>
        <v>100</v>
      </c>
      <c r="T42" s="1505" t="s">
        <v>11</v>
      </c>
      <c r="U42" s="1506">
        <f t="shared" si="13"/>
        <v>100</v>
      </c>
      <c r="V42" s="1505" t="s">
        <v>11</v>
      </c>
      <c r="W42" s="1506">
        <f t="shared" si="14"/>
        <v>100</v>
      </c>
      <c r="X42" s="1499"/>
      <c r="Y42" s="3519"/>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1504" t="str">
        <f t="shared" si="11"/>
        <v>内部装修维护情况</v>
      </c>
      <c r="R43" s="1505" t="s">
        <v>11</v>
      </c>
      <c r="S43" s="1506">
        <f t="shared" si="12"/>
        <v>100</v>
      </c>
      <c r="T43" s="1505" t="s">
        <v>11</v>
      </c>
      <c r="U43" s="1506">
        <f t="shared" si="13"/>
        <v>100</v>
      </c>
      <c r="V43" s="1505" t="s">
        <v>11</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1132">
        <f t="shared" si="11"/>
        <v>111</v>
      </c>
      <c r="R44" s="1500" t="s">
        <v>11</v>
      </c>
      <c r="S44" s="1501">
        <f t="shared" si="12"/>
        <v>100</v>
      </c>
      <c r="T44" s="1500" t="s">
        <v>11</v>
      </c>
      <c r="U44" s="1501">
        <f t="shared" si="13"/>
        <v>100</v>
      </c>
      <c r="V44" s="1500" t="s">
        <v>11</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1504">
        <f t="shared" si="11"/>
        <v>111</v>
      </c>
      <c r="R45" s="1505" t="s">
        <v>11</v>
      </c>
      <c r="S45" s="1506">
        <f t="shared" si="12"/>
        <v>100</v>
      </c>
      <c r="T45" s="1505" t="s">
        <v>11</v>
      </c>
      <c r="U45" s="1506">
        <f t="shared" si="13"/>
        <v>100</v>
      </c>
      <c r="V45" s="1505" t="s">
        <v>11</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82" t="str">
        <f>A47</f>
        <v>成交单价（元/平方米）</v>
      </c>
      <c r="Q47" s="3482"/>
      <c r="R47" s="3602">
        <f>E47</f>
        <v>12220</v>
      </c>
      <c r="S47" s="3602"/>
      <c r="T47" s="3602">
        <f>G47</f>
        <v>11562</v>
      </c>
      <c r="U47" s="3602"/>
      <c r="V47" s="3602">
        <f>I47</f>
        <v>14100</v>
      </c>
      <c r="W47" s="3602"/>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82" t="str">
        <f>A48</f>
        <v>比较价格（元/平方米）</v>
      </c>
      <c r="Q48" s="3482"/>
      <c r="R48" s="3602">
        <f>IF(F1="售价",ROUND(PRODUCT(R47,AA7:AA46),0),ROUND(PRODUCT(R47,AA7:AA46),1))</f>
        <v>10883</v>
      </c>
      <c r="S48" s="3602"/>
      <c r="T48" s="3602">
        <f>IF(F1="售价",ROUND(PRODUCT(T47,AB7:AB46),0),ROUND(PRODUCT(T47,AB7:AB46),1))</f>
        <v>10903</v>
      </c>
      <c r="U48" s="3602"/>
      <c r="V48" s="3602">
        <f>IF(F1="售价",ROUND(PRODUCT(V47,AC7:AC46),0),ROUND(PRODUCT(V47,AC7:AC46),1))</f>
        <v>10990</v>
      </c>
      <c r="W48" s="3602"/>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10925</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3168</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0" zoomScale="70" zoomScaleNormal="60" zoomScaleSheetLayoutView="70" workbookViewId="0">
      <selection activeCell="N17" sqref="N1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3116</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3" t="s">
        <v>518</v>
      </c>
      <c r="AC4" s="3485" t="s">
        <v>519</v>
      </c>
    </row>
    <row r="5" spans="1:29" ht="15">
      <c r="A5" s="509"/>
      <c r="B5" s="510"/>
      <c r="C5" s="3504" t="s">
        <v>2886</v>
      </c>
      <c r="D5" s="3505"/>
      <c r="E5" s="3599" t="s">
        <v>3142</v>
      </c>
      <c r="F5" s="3525"/>
      <c r="G5" s="3600" t="s">
        <v>3145</v>
      </c>
      <c r="H5" s="3505"/>
      <c r="I5" s="3600" t="s">
        <v>3164</v>
      </c>
      <c r="J5" s="3505"/>
      <c r="K5" s="508"/>
      <c r="L5" s="2013"/>
      <c r="M5" s="2014"/>
      <c r="N5" s="2014"/>
      <c r="O5" s="2014"/>
      <c r="P5" s="3492"/>
      <c r="Q5" s="3493"/>
      <c r="R5" s="3498"/>
      <c r="S5" s="3499"/>
      <c r="T5" s="3498"/>
      <c r="U5" s="3499"/>
      <c r="V5" s="3483"/>
      <c r="W5" s="3483"/>
      <c r="X5" s="1499"/>
      <c r="Y5" s="3498"/>
      <c r="Z5" s="3499"/>
      <c r="AA5" s="3486"/>
      <c r="AB5" s="3483"/>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3"/>
      <c r="AC6" s="3487"/>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513" t="s">
        <v>524</v>
      </c>
      <c r="Q7" s="3515"/>
      <c r="R7" s="1500" t="s">
        <v>8</v>
      </c>
      <c r="S7" s="1501">
        <f t="shared" ref="S7:S15" si="0">F7</f>
        <v>98.5</v>
      </c>
      <c r="T7" s="1500" t="s">
        <v>8</v>
      </c>
      <c r="U7" s="1501">
        <f t="shared" ref="U7:U15" si="1">H7</f>
        <v>99.5</v>
      </c>
      <c r="V7" s="1500" t="s">
        <v>8</v>
      </c>
      <c r="W7" s="1501">
        <f t="shared" ref="W7:W15" si="2">J7</f>
        <v>99</v>
      </c>
      <c r="X7" s="1502"/>
      <c r="Y7" s="3513" t="s">
        <v>524</v>
      </c>
      <c r="Z7" s="3514"/>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513" t="s">
        <v>527</v>
      </c>
      <c r="Q8" s="3514"/>
      <c r="R8" s="1500" t="s">
        <v>8</v>
      </c>
      <c r="S8" s="1501">
        <f t="shared" si="0"/>
        <v>100</v>
      </c>
      <c r="T8" s="1500" t="s">
        <v>8</v>
      </c>
      <c r="U8" s="1501">
        <f t="shared" si="1"/>
        <v>100</v>
      </c>
      <c r="V8" s="1500" t="s">
        <v>8</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3143</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75" thickBot="1">
      <c r="A10" s="2630"/>
      <c r="B10" s="2635" t="s">
        <v>2737</v>
      </c>
      <c r="C10" s="850" t="s">
        <v>3144</v>
      </c>
      <c r="D10" s="253">
        <v>100</v>
      </c>
      <c r="E10" s="850" t="s">
        <v>3144</v>
      </c>
      <c r="F10" s="253">
        <f>SUMIF(65:65,E10,66:66)-SUMIF(65:65,C10,66:66)+100</f>
        <v>100</v>
      </c>
      <c r="G10" s="851" t="s">
        <v>3144</v>
      </c>
      <c r="H10" s="253">
        <f>SUMIF(65:65,G10,66:66)-SUMIF(65:65,C10,66:66)+100</f>
        <v>100</v>
      </c>
      <c r="I10" s="850" t="s">
        <v>3144</v>
      </c>
      <c r="J10" s="253">
        <f>SUMIF(65:65,I10,66:66)-SUMIF(65:65,C10,66:66)+100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82"/>
      <c r="Q11" s="1132" t="str">
        <f t="shared" si="6"/>
        <v>容积率</v>
      </c>
      <c r="R11" s="1500" t="s">
        <v>8</v>
      </c>
      <c r="S11" s="1501">
        <f t="shared" si="0"/>
        <v>100</v>
      </c>
      <c r="T11" s="1500" t="s">
        <v>8</v>
      </c>
      <c r="U11" s="1501">
        <f t="shared" si="1"/>
        <v>100</v>
      </c>
      <c r="V11" s="1500" t="s">
        <v>8</v>
      </c>
      <c r="W11" s="1501">
        <f t="shared" si="2"/>
        <v>100</v>
      </c>
      <c r="X11" s="1502"/>
      <c r="Y11" s="3428"/>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516" t="s">
        <v>534</v>
      </c>
      <c r="Q15" s="1504" t="str">
        <f t="shared" si="6"/>
        <v>商业繁华度</v>
      </c>
      <c r="R15" s="1505" t="s">
        <v>8</v>
      </c>
      <c r="S15" s="1506">
        <f t="shared" si="0"/>
        <v>102</v>
      </c>
      <c r="T15" s="1505" t="s">
        <v>8</v>
      </c>
      <c r="U15" s="1506">
        <f t="shared" si="1"/>
        <v>100</v>
      </c>
      <c r="V15" s="1505" t="s">
        <v>8</v>
      </c>
      <c r="W15" s="1506">
        <f t="shared" si="2"/>
        <v>102</v>
      </c>
      <c r="X15" s="1499"/>
      <c r="Y15" s="3516"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517"/>
      <c r="Q17" s="1504" t="str">
        <f>B17</f>
        <v>交通便捷度</v>
      </c>
      <c r="R17" s="1505" t="s">
        <v>8</v>
      </c>
      <c r="S17" s="1506">
        <f>F17</f>
        <v>103</v>
      </c>
      <c r="T17" s="1505" t="s">
        <v>8</v>
      </c>
      <c r="U17" s="1506">
        <f>H17</f>
        <v>103</v>
      </c>
      <c r="V17" s="1505" t="s">
        <v>8</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517"/>
      <c r="Q19" s="1504" t="str">
        <f>B19</f>
        <v>公共配套设施</v>
      </c>
      <c r="R19" s="1505" t="s">
        <v>8</v>
      </c>
      <c r="S19" s="1506">
        <f>F19</f>
        <v>102</v>
      </c>
      <c r="T19" s="1505" t="s">
        <v>8</v>
      </c>
      <c r="U19" s="1506">
        <f>H19</f>
        <v>102</v>
      </c>
      <c r="V19" s="1505" t="s">
        <v>8</v>
      </c>
      <c r="W19" s="1506">
        <f>J19</f>
        <v>102</v>
      </c>
      <c r="X19" s="1499"/>
      <c r="Y19" s="3517"/>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517"/>
      <c r="Q23" s="1504" t="str">
        <f>B23</f>
        <v>自然及人文环境</v>
      </c>
      <c r="R23" s="1505" t="s">
        <v>8</v>
      </c>
      <c r="S23" s="1506">
        <f>F23</f>
        <v>100</v>
      </c>
      <c r="T23" s="1505" t="s">
        <v>8</v>
      </c>
      <c r="U23" s="1506">
        <f>H23</f>
        <v>100</v>
      </c>
      <c r="V23" s="1505" t="s">
        <v>8</v>
      </c>
      <c r="W23" s="1506">
        <f>J23</f>
        <v>100</v>
      </c>
      <c r="X23" s="1499"/>
      <c r="Y23" s="3517"/>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517"/>
      <c r="Q25" s="1504" t="str">
        <f t="shared" ref="Q25:Q46" si="11">B25</f>
        <v>临街状况</v>
      </c>
      <c r="R25" s="1505" t="s">
        <v>8</v>
      </c>
      <c r="S25" s="1506">
        <f>F25</f>
        <v>100</v>
      </c>
      <c r="T25" s="1505" t="s">
        <v>8</v>
      </c>
      <c r="U25" s="1506">
        <f>H25</f>
        <v>100</v>
      </c>
      <c r="V25" s="1505" t="s">
        <v>8</v>
      </c>
      <c r="W25" s="1506">
        <f>J25</f>
        <v>100</v>
      </c>
      <c r="X25" s="1499"/>
      <c r="Y25" s="3517"/>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517"/>
      <c r="Q26" s="1504" t="str">
        <f t="shared" si="11"/>
        <v>平面位置/可视性</v>
      </c>
      <c r="R26" s="1505" t="s">
        <v>8</v>
      </c>
      <c r="S26" s="1506">
        <f>F26</f>
        <v>100</v>
      </c>
      <c r="T26" s="1505" t="s">
        <v>8</v>
      </c>
      <c r="U26" s="1506">
        <f>H26</f>
        <v>100</v>
      </c>
      <c r="V26" s="1505" t="s">
        <v>8</v>
      </c>
      <c r="W26" s="1506">
        <f>J26</f>
        <v>100</v>
      </c>
      <c r="X26" s="1499"/>
      <c r="Y26" s="3517"/>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517"/>
      <c r="Q27" s="1132" t="str">
        <f t="shared" si="11"/>
        <v>人流量</v>
      </c>
      <c r="R27" s="1500" t="s">
        <v>8</v>
      </c>
      <c r="S27" s="1501">
        <f>F27</f>
        <v>102</v>
      </c>
      <c r="T27" s="1500" t="s">
        <v>8</v>
      </c>
      <c r="U27" s="1501">
        <f>H27</f>
        <v>102</v>
      </c>
      <c r="V27" s="1500" t="s">
        <v>8</v>
      </c>
      <c r="W27" s="1501">
        <f>J27</f>
        <v>102</v>
      </c>
      <c r="X27" s="1502"/>
      <c r="Y27" s="3517"/>
      <c r="Z27" s="1131" t="str">
        <f>Q27</f>
        <v>人流量</v>
      </c>
      <c r="AA27" s="1508">
        <f>D27/F27</f>
        <v>0.98039215686274506</v>
      </c>
      <c r="AB27" s="1508">
        <f>D27/H27</f>
        <v>0.98039215686274506</v>
      </c>
      <c r="AC27" s="1508">
        <f>D27/J27</f>
        <v>0.98039215686274506</v>
      </c>
    </row>
    <row r="28" spans="1:29" ht="15.75" thickBot="1">
      <c r="A28" s="526"/>
      <c r="B28" s="521" t="s">
        <v>755</v>
      </c>
      <c r="C28" s="577" t="s">
        <v>3160</v>
      </c>
      <c r="D28" s="534">
        <v>100</v>
      </c>
      <c r="E28" s="577" t="s">
        <v>3160</v>
      </c>
      <c r="F28" s="569">
        <f>SUMIF(92:92,E28,93:93)-SUMIF(92:92,C28,93:93)+100</f>
        <v>100</v>
      </c>
      <c r="G28" s="577" t="s">
        <v>3160</v>
      </c>
      <c r="H28" s="534">
        <f>SUMIF(92:92,G28,93:93)-SUMIF(92:92,C28,93:93)+100</f>
        <v>100</v>
      </c>
      <c r="I28" s="577" t="s">
        <v>3160</v>
      </c>
      <c r="J28" s="534">
        <f>SUMIF(92:92,I28,93:93)-SUMIF(92:92,C28,93:93)+100</f>
        <v>100</v>
      </c>
      <c r="K28" s="575"/>
      <c r="L28" s="2022"/>
      <c r="M28" s="2014"/>
      <c r="N28" s="2014"/>
      <c r="O28" s="2021"/>
      <c r="P28" s="351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17"/>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517"/>
      <c r="Q29" s="1504">
        <f t="shared" si="11"/>
        <v>111</v>
      </c>
      <c r="R29" s="1505" t="s">
        <v>8</v>
      </c>
      <c r="S29" s="1506">
        <f t="shared" si="12"/>
        <v>100</v>
      </c>
      <c r="T29" s="1505" t="s">
        <v>8</v>
      </c>
      <c r="U29" s="1506">
        <f t="shared" si="13"/>
        <v>100</v>
      </c>
      <c r="V29" s="1505" t="s">
        <v>8</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518" t="s">
        <v>544</v>
      </c>
      <c r="Q32" s="1504" t="str">
        <f t="shared" si="11"/>
        <v>商业类型</v>
      </c>
      <c r="R32" s="1505" t="s">
        <v>8</v>
      </c>
      <c r="S32" s="1506">
        <f t="shared" si="12"/>
        <v>100</v>
      </c>
      <c r="T32" s="1505" t="s">
        <v>8</v>
      </c>
      <c r="U32" s="1506">
        <f t="shared" si="13"/>
        <v>100</v>
      </c>
      <c r="V32" s="1505" t="s">
        <v>8</v>
      </c>
      <c r="W32" s="1506">
        <f t="shared" si="14"/>
        <v>100</v>
      </c>
      <c r="X32" s="1499"/>
      <c r="Y32" s="3519"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19"/>
      <c r="Q33" s="1533" t="str">
        <f t="shared" si="11"/>
        <v>项目建筑规模</v>
      </c>
      <c r="R33" s="1509" t="s">
        <v>8</v>
      </c>
      <c r="S33" s="1510">
        <f t="shared" si="12"/>
        <v>100</v>
      </c>
      <c r="T33" s="1509" t="s">
        <v>8</v>
      </c>
      <c r="U33" s="1510">
        <f t="shared" si="13"/>
        <v>100</v>
      </c>
      <c r="V33" s="1509" t="s">
        <v>8</v>
      </c>
      <c r="W33" s="1510">
        <f t="shared" si="14"/>
        <v>100</v>
      </c>
      <c r="X33" s="1511"/>
      <c r="Y33" s="3519"/>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19"/>
      <c r="Q34" s="1504" t="str">
        <f t="shared" si="11"/>
        <v>建筑结构</v>
      </c>
      <c r="R34" s="1505" t="s">
        <v>8</v>
      </c>
      <c r="S34" s="1506">
        <f t="shared" si="12"/>
        <v>100</v>
      </c>
      <c r="T34" s="1505" t="s">
        <v>8</v>
      </c>
      <c r="U34" s="1506">
        <f t="shared" si="13"/>
        <v>100</v>
      </c>
      <c r="V34" s="1505" t="s">
        <v>8</v>
      </c>
      <c r="W34" s="1506">
        <f t="shared" si="14"/>
        <v>100</v>
      </c>
      <c r="X34" s="1499"/>
      <c r="Y34" s="3519"/>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19"/>
      <c r="Q35" s="1504" t="str">
        <f t="shared" si="11"/>
        <v>公共部分装修</v>
      </c>
      <c r="R35" s="1505" t="s">
        <v>8</v>
      </c>
      <c r="S35" s="1506">
        <f t="shared" si="12"/>
        <v>100</v>
      </c>
      <c r="T35" s="1505" t="s">
        <v>8</v>
      </c>
      <c r="U35" s="1506">
        <f t="shared" si="13"/>
        <v>100</v>
      </c>
      <c r="V35" s="1505" t="s">
        <v>8</v>
      </c>
      <c r="W35" s="1506">
        <f t="shared" si="14"/>
        <v>100</v>
      </c>
      <c r="X35" s="1499"/>
      <c r="Y35" s="3519"/>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19"/>
      <c r="Q36" s="1504" t="str">
        <f t="shared" si="11"/>
        <v>成新度</v>
      </c>
      <c r="R36" s="1505" t="s">
        <v>8</v>
      </c>
      <c r="S36" s="1506">
        <f t="shared" si="12"/>
        <v>98</v>
      </c>
      <c r="T36" s="1505" t="s">
        <v>8</v>
      </c>
      <c r="U36" s="1506">
        <f t="shared" si="13"/>
        <v>98</v>
      </c>
      <c r="V36" s="1505" t="s">
        <v>8</v>
      </c>
      <c r="W36" s="1506">
        <f t="shared" si="14"/>
        <v>98</v>
      </c>
      <c r="X36" s="1499"/>
      <c r="Y36" s="3519"/>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19"/>
      <c r="Q37" s="1132" t="str">
        <f t="shared" si="11"/>
        <v>市政基础设施</v>
      </c>
      <c r="R37" s="1500" t="s">
        <v>8</v>
      </c>
      <c r="S37" s="1501">
        <f t="shared" si="12"/>
        <v>100</v>
      </c>
      <c r="T37" s="1500" t="s">
        <v>8</v>
      </c>
      <c r="U37" s="1501">
        <f t="shared" si="13"/>
        <v>100</v>
      </c>
      <c r="V37" s="1500" t="s">
        <v>8</v>
      </c>
      <c r="W37" s="1501">
        <f t="shared" si="14"/>
        <v>100</v>
      </c>
      <c r="X37" s="1502"/>
      <c r="Y37" s="3519"/>
      <c r="Z37" s="1131" t="str">
        <f t="shared" si="15"/>
        <v>市政基础设施</v>
      </c>
      <c r="AA37" s="1503">
        <f t="shared" si="3"/>
        <v>1</v>
      </c>
      <c r="AB37" s="1503">
        <f t="shared" si="4"/>
        <v>1</v>
      </c>
      <c r="AC37" s="1503">
        <f t="shared" si="5"/>
        <v>1</v>
      </c>
    </row>
    <row r="38" spans="1:29" ht="15">
      <c r="A38" s="588"/>
      <c r="B38" s="521" t="s">
        <v>759</v>
      </c>
      <c r="C38" s="593" t="s">
        <v>3151</v>
      </c>
      <c r="D38" s="534">
        <v>100</v>
      </c>
      <c r="E38" s="593" t="s">
        <v>3151</v>
      </c>
      <c r="F38" s="569">
        <f>SUMIF(114:114,E38,115:115)-SUMIF(114:114,C38,115:115)+100</f>
        <v>100</v>
      </c>
      <c r="G38" s="593" t="s">
        <v>3151</v>
      </c>
      <c r="H38" s="534">
        <f>SUMIF(114:114,G38,115:115)-SUMIF(114:114,C38,115:115)+100</f>
        <v>100</v>
      </c>
      <c r="I38" s="593" t="s">
        <v>3151</v>
      </c>
      <c r="J38" s="534">
        <f>SUMIF(114:114,I38,115:115)-SUMIF(114:114,C38,115:115)+100</f>
        <v>100</v>
      </c>
      <c r="K38" s="578">
        <v>2</v>
      </c>
      <c r="L38" s="2022"/>
      <c r="M38" s="2014"/>
      <c r="N38" s="2014"/>
      <c r="O38" s="2021"/>
      <c r="P38" s="3519" t="s">
        <v>760</v>
      </c>
      <c r="Q38" s="1504" t="str">
        <f t="shared" si="11"/>
        <v>业态</v>
      </c>
      <c r="R38" s="1505" t="s">
        <v>8</v>
      </c>
      <c r="S38" s="1506">
        <f t="shared" si="12"/>
        <v>100</v>
      </c>
      <c r="T38" s="1505" t="s">
        <v>8</v>
      </c>
      <c r="U38" s="1506">
        <f t="shared" si="13"/>
        <v>100</v>
      </c>
      <c r="V38" s="1505" t="s">
        <v>8</v>
      </c>
      <c r="W38" s="1506">
        <f t="shared" si="14"/>
        <v>100</v>
      </c>
      <c r="X38" s="1499"/>
      <c r="Y38" s="3519"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c r="Q39" s="1504" t="str">
        <f t="shared" si="11"/>
        <v>层高</v>
      </c>
      <c r="R39" s="1505" t="s">
        <v>8</v>
      </c>
      <c r="S39" s="1506">
        <f t="shared" si="12"/>
        <v>100</v>
      </c>
      <c r="T39" s="1505" t="s">
        <v>8</v>
      </c>
      <c r="U39" s="1506">
        <f t="shared" si="13"/>
        <v>100</v>
      </c>
      <c r="V39" s="1505" t="s">
        <v>8</v>
      </c>
      <c r="W39" s="1506">
        <f t="shared" si="14"/>
        <v>100</v>
      </c>
      <c r="X39" s="1499"/>
      <c r="Y39" s="3519"/>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19"/>
      <c r="Q40" s="1504" t="str">
        <f t="shared" si="11"/>
        <v>单套建筑面积</v>
      </c>
      <c r="R40" s="1505" t="s">
        <v>8</v>
      </c>
      <c r="S40" s="1506">
        <f t="shared" si="12"/>
        <v>100</v>
      </c>
      <c r="T40" s="1505" t="s">
        <v>8</v>
      </c>
      <c r="U40" s="1506">
        <f t="shared" si="13"/>
        <v>100</v>
      </c>
      <c r="V40" s="1505" t="s">
        <v>8</v>
      </c>
      <c r="W40" s="1506">
        <f t="shared" si="14"/>
        <v>100</v>
      </c>
      <c r="X40" s="1499"/>
      <c r="Y40" s="3519"/>
      <c r="Z40" s="1507" t="str">
        <f t="shared" si="15"/>
        <v>单套建筑面积</v>
      </c>
      <c r="AA40" s="1508">
        <f t="shared" si="3"/>
        <v>1</v>
      </c>
      <c r="AB40" s="1508">
        <f t="shared" si="4"/>
        <v>1</v>
      </c>
      <c r="AC40" s="1508">
        <f t="shared" si="5"/>
        <v>1</v>
      </c>
    </row>
    <row r="41" spans="1:29" s="1291" customFormat="1" ht="15">
      <c r="A41" s="597"/>
      <c r="B41" s="891" t="s">
        <v>763</v>
      </c>
      <c r="C41" s="577" t="s">
        <v>3128</v>
      </c>
      <c r="D41" s="534">
        <v>100</v>
      </c>
      <c r="E41" s="577" t="s">
        <v>3128</v>
      </c>
      <c r="F41" s="569">
        <f>SUMIF(120:120,E41,121:121)-SUMIF(120:120,C41,121:121)+100</f>
        <v>100</v>
      </c>
      <c r="G41" s="577" t="s">
        <v>3128</v>
      </c>
      <c r="H41" s="534">
        <f>SUMIF(120:120,G41,121:121)-SUMIF(120:120,C41,121:121)+100</f>
        <v>100</v>
      </c>
      <c r="I41" s="577" t="s">
        <v>3128</v>
      </c>
      <c r="J41" s="534">
        <f>SUMIF(120:120,I41,121:121)-SUMIF(120:120,C41,121:121)+100</f>
        <v>100</v>
      </c>
      <c r="K41" s="578">
        <v>1</v>
      </c>
      <c r="L41" s="2020"/>
      <c r="M41" s="2050"/>
      <c r="N41" s="2050"/>
      <c r="O41" s="2023"/>
      <c r="P41" s="3519"/>
      <c r="Q41" s="1533" t="str">
        <f t="shared" si="11"/>
        <v>进深比</v>
      </c>
      <c r="R41" s="1509" t="s">
        <v>8</v>
      </c>
      <c r="S41" s="1510">
        <f t="shared" si="12"/>
        <v>100</v>
      </c>
      <c r="T41" s="1509" t="s">
        <v>8</v>
      </c>
      <c r="U41" s="1510">
        <f t="shared" si="13"/>
        <v>100</v>
      </c>
      <c r="V41" s="1509" t="s">
        <v>8</v>
      </c>
      <c r="W41" s="1510">
        <f t="shared" si="14"/>
        <v>100</v>
      </c>
      <c r="X41" s="1511"/>
      <c r="Y41" s="3519"/>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19"/>
      <c r="Q42" s="1504" t="str">
        <f t="shared" si="11"/>
        <v>内部装修</v>
      </c>
      <c r="R42" s="1505" t="s">
        <v>8</v>
      </c>
      <c r="S42" s="1506">
        <f t="shared" si="12"/>
        <v>106</v>
      </c>
      <c r="T42" s="1505" t="s">
        <v>8</v>
      </c>
      <c r="U42" s="1506">
        <f t="shared" si="13"/>
        <v>106</v>
      </c>
      <c r="V42" s="1505" t="s">
        <v>8</v>
      </c>
      <c r="W42" s="1506">
        <f t="shared" si="14"/>
        <v>106</v>
      </c>
      <c r="X42" s="1499"/>
      <c r="Y42" s="3519"/>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19"/>
      <c r="Q43" s="1504" t="str">
        <f t="shared" si="11"/>
        <v>内部装修维护情况</v>
      </c>
      <c r="R43" s="1505" t="s">
        <v>8</v>
      </c>
      <c r="S43" s="1506">
        <f t="shared" si="12"/>
        <v>100</v>
      </c>
      <c r="T43" s="1505" t="s">
        <v>8</v>
      </c>
      <c r="U43" s="1506">
        <f t="shared" si="13"/>
        <v>100</v>
      </c>
      <c r="V43" s="1505" t="s">
        <v>8</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19"/>
      <c r="Q44" s="1132">
        <f t="shared" si="11"/>
        <v>111</v>
      </c>
      <c r="R44" s="1500" t="s">
        <v>8</v>
      </c>
      <c r="S44" s="1501">
        <f t="shared" si="12"/>
        <v>100</v>
      </c>
      <c r="T44" s="1500" t="s">
        <v>8</v>
      </c>
      <c r="U44" s="1501">
        <f t="shared" si="13"/>
        <v>100</v>
      </c>
      <c r="V44" s="1500" t="s">
        <v>8</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19"/>
      <c r="Q45" s="1504">
        <f t="shared" si="11"/>
        <v>111</v>
      </c>
      <c r="R45" s="1505" t="s">
        <v>8</v>
      </c>
      <c r="S45" s="1506">
        <f t="shared" si="12"/>
        <v>100</v>
      </c>
      <c r="T45" s="1505" t="s">
        <v>8</v>
      </c>
      <c r="U45" s="1506">
        <f t="shared" si="13"/>
        <v>100</v>
      </c>
      <c r="V45" s="1505" t="s">
        <v>8</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82" t="str">
        <f>A47</f>
        <v>成交单价（元/平方米）</v>
      </c>
      <c r="Q47" s="3482"/>
      <c r="R47" s="3602">
        <f>E47</f>
        <v>12300</v>
      </c>
      <c r="S47" s="3602"/>
      <c r="T47" s="3602">
        <f>G47</f>
        <v>14000</v>
      </c>
      <c r="U47" s="3602"/>
      <c r="V47" s="3602">
        <f>I47</f>
        <v>11900</v>
      </c>
      <c r="W47" s="3602"/>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82" t="str">
        <f>A48</f>
        <v>比较价格（元/平方米）</v>
      </c>
      <c r="Q48" s="3482"/>
      <c r="R48" s="3602">
        <f>IF(F1="售价",ROUND(PRODUCT(R47,AA7:AA46),0),ROUND(PRODUCT(R47,AA7:AA46),1))</f>
        <v>10998</v>
      </c>
      <c r="S48" s="3602"/>
      <c r="T48" s="3602">
        <f>IF(F1="售价",ROUND(PRODUCT(T47,AB7:AB46),0),ROUND(PRODUCT(T47,AB7:AB46),1))</f>
        <v>12640</v>
      </c>
      <c r="U48" s="3602"/>
      <c r="V48" s="3602">
        <f>IF(F1="售价",ROUND(PRODUCT(V47,AC7:AC46),0),ROUND(PRODUCT(V47,AC7:AC46),1))</f>
        <v>10586</v>
      </c>
      <c r="W48" s="3602"/>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479" t="str">
        <f>A49</f>
        <v>估价对象XX用房的比较价格（楼面单价，元/平方米）</v>
      </c>
      <c r="Q49" s="3480"/>
      <c r="R49" s="3603">
        <f>IF(F1="售价",ROUND(IF(D48="简单平均",AVERAGE(R48:V48),R48*F48+T48*H48+V48*J48),0),ROUND(IF(D48="简单平均",AVERAGE(R48:V48),R48*F48+T48*H48+V48*J48),1))</f>
        <v>11408</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3143</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3161</v>
      </c>
      <c r="D90" s="3297" t="s">
        <v>3162</v>
      </c>
      <c r="E90" s="3297" t="s">
        <v>3132</v>
      </c>
      <c r="F90" s="3297" t="s">
        <v>3133</v>
      </c>
      <c r="G90" s="3297" t="s">
        <v>3134</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3159</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3146</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3147</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3148</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3135</v>
      </c>
      <c r="D112" s="3297" t="s">
        <v>3149</v>
      </c>
      <c r="E112" s="3297" t="s">
        <v>3137</v>
      </c>
      <c r="F112" s="3297" t="s">
        <v>3150</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3152</v>
      </c>
      <c r="D114" s="3297" t="s">
        <v>3153</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3155</v>
      </c>
      <c r="D116" s="3297" t="s">
        <v>3154</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3129</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3148</v>
      </c>
      <c r="D122" s="3297" t="s">
        <v>3156</v>
      </c>
      <c r="E122" s="3297" t="s">
        <v>3157</v>
      </c>
      <c r="F122" s="3298" t="s">
        <v>3158</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488" t="s">
        <v>516</v>
      </c>
      <c r="D4" s="3489"/>
      <c r="E4" s="3522" t="s">
        <v>517</v>
      </c>
      <c r="F4" s="3523"/>
      <c r="G4" s="3488" t="s">
        <v>518</v>
      </c>
      <c r="H4" s="3489"/>
      <c r="I4" s="3488" t="s">
        <v>519</v>
      </c>
      <c r="J4" s="3489"/>
      <c r="K4" s="508" t="s">
        <v>520</v>
      </c>
      <c r="L4" s="2013"/>
      <c r="M4" s="2014"/>
      <c r="N4" s="2014"/>
      <c r="O4" s="2014"/>
      <c r="P4" s="3605"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606"/>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607"/>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515"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515" t="s">
        <v>527</v>
      </c>
      <c r="Q8" s="3514"/>
      <c r="R8" s="1500" t="s">
        <v>8</v>
      </c>
      <c r="S8" s="1501">
        <f t="shared" si="0"/>
        <v>0</v>
      </c>
      <c r="T8" s="1500" t="s">
        <v>8</v>
      </c>
      <c r="U8" s="1501">
        <f t="shared" si="1"/>
        <v>0</v>
      </c>
      <c r="V8" s="1500" t="s">
        <v>8</v>
      </c>
      <c r="W8" s="1501">
        <f t="shared" si="2"/>
        <v>0</v>
      </c>
      <c r="X8" s="1502"/>
      <c r="Y8" s="3513" t="s">
        <v>527</v>
      </c>
      <c r="Z8" s="3514"/>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516" t="s">
        <v>534</v>
      </c>
      <c r="Q15" s="1504" t="str">
        <f t="shared" si="6"/>
        <v>办公集聚程度</v>
      </c>
      <c r="R15" s="1505" t="s">
        <v>8</v>
      </c>
      <c r="S15" s="1506">
        <f t="shared" si="0"/>
        <v>100</v>
      </c>
      <c r="T15" s="1505" t="s">
        <v>8</v>
      </c>
      <c r="U15" s="1506">
        <f t="shared" si="1"/>
        <v>100</v>
      </c>
      <c r="V15" s="1505" t="s">
        <v>8</v>
      </c>
      <c r="W15" s="1506">
        <f t="shared" si="2"/>
        <v>100</v>
      </c>
      <c r="X15" s="1499"/>
      <c r="Y15" s="3516"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517"/>
      <c r="Q16" s="1504"/>
      <c r="R16" s="1505"/>
      <c r="S16" s="1506"/>
      <c r="T16" s="1505"/>
      <c r="U16" s="1506"/>
      <c r="V16" s="1505"/>
      <c r="W16" s="1506"/>
      <c r="X16" s="1499"/>
      <c r="Y16" s="3517"/>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517"/>
      <c r="Q18" s="1504"/>
      <c r="R18" s="1505"/>
      <c r="S18" s="1506"/>
      <c r="T18" s="1505"/>
      <c r="U18" s="1506"/>
      <c r="V18" s="1505"/>
      <c r="W18" s="1506"/>
      <c r="X18" s="1499"/>
      <c r="Y18" s="3517"/>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517"/>
      <c r="Q20" s="1504"/>
      <c r="R20" s="1505"/>
      <c r="S20" s="1506"/>
      <c r="T20" s="1505"/>
      <c r="U20" s="1506"/>
      <c r="V20" s="1505"/>
      <c r="W20" s="1506"/>
      <c r="X20" s="1499"/>
      <c r="Y20" s="3517"/>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517"/>
      <c r="Q22" s="2427"/>
      <c r="R22" s="1505"/>
      <c r="S22" s="1506"/>
      <c r="T22" s="1505"/>
      <c r="U22" s="1506"/>
      <c r="V22" s="1505"/>
      <c r="W22" s="1506"/>
      <c r="X22" s="2429"/>
      <c r="Y22" s="3517"/>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517"/>
      <c r="Q24" s="1504"/>
      <c r="R24" s="1505"/>
      <c r="S24" s="1506"/>
      <c r="T24" s="1505"/>
      <c r="U24" s="1506"/>
      <c r="V24" s="1505"/>
      <c r="W24" s="1506"/>
      <c r="X24" s="1499"/>
      <c r="Y24" s="3517"/>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517"/>
      <c r="Q25" s="1504" t="str">
        <f>B25</f>
        <v>毗邻道路的类型与等级</v>
      </c>
      <c r="R25" s="1505" t="s">
        <v>8</v>
      </c>
      <c r="S25" s="1506">
        <f>F25</f>
        <v>100</v>
      </c>
      <c r="T25" s="1505" t="s">
        <v>8</v>
      </c>
      <c r="U25" s="1506">
        <f>H25</f>
        <v>100</v>
      </c>
      <c r="V25" s="1505" t="s">
        <v>8</v>
      </c>
      <c r="W25" s="1506">
        <f>J25</f>
        <v>100</v>
      </c>
      <c r="X25" s="1499"/>
      <c r="Y25" s="3517"/>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517"/>
      <c r="Q26" s="1504"/>
      <c r="R26" s="1505"/>
      <c r="S26" s="1506"/>
      <c r="T26" s="1505"/>
      <c r="U26" s="1506"/>
      <c r="V26" s="1505"/>
      <c r="W26" s="1506"/>
      <c r="X26" s="1499"/>
      <c r="Y26" s="3517"/>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517"/>
      <c r="Q27" s="1504" t="str">
        <f t="shared" ref="Q27:Q47" si="11">B27</f>
        <v>楼层</v>
      </c>
      <c r="R27" s="1505" t="s">
        <v>8</v>
      </c>
      <c r="S27" s="1506">
        <f>F27</f>
        <v>100</v>
      </c>
      <c r="T27" s="1505" t="s">
        <v>8</v>
      </c>
      <c r="U27" s="1506">
        <f>H27</f>
        <v>100</v>
      </c>
      <c r="V27" s="1505" t="s">
        <v>8</v>
      </c>
      <c r="W27" s="1506">
        <f>J27</f>
        <v>100</v>
      </c>
      <c r="X27" s="1499"/>
      <c r="Y27" s="3517"/>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517"/>
      <c r="Q28" s="1132" t="str">
        <f t="shared" si="11"/>
        <v>朝向</v>
      </c>
      <c r="R28" s="1500" t="s">
        <v>8</v>
      </c>
      <c r="S28" s="1501">
        <f>F28</f>
        <v>100</v>
      </c>
      <c r="T28" s="1500" t="s">
        <v>8</v>
      </c>
      <c r="U28" s="1501">
        <f>H28</f>
        <v>100</v>
      </c>
      <c r="V28" s="1500" t="s">
        <v>8</v>
      </c>
      <c r="W28" s="1501">
        <f>J28</f>
        <v>100</v>
      </c>
      <c r="X28" s="1502"/>
      <c r="Y28" s="3517"/>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517"/>
      <c r="Q29" s="1504">
        <f t="shared" si="11"/>
        <v>111</v>
      </c>
      <c r="R29" s="1505" t="s">
        <v>8</v>
      </c>
      <c r="S29" s="1506">
        <f t="shared" ref="S29:S47" si="12">F29</f>
        <v>100</v>
      </c>
      <c r="T29" s="1505" t="s">
        <v>8</v>
      </c>
      <c r="U29" s="1506">
        <f t="shared" ref="U29:U47" si="13">H29</f>
        <v>100</v>
      </c>
      <c r="V29" s="1505" t="s">
        <v>8</v>
      </c>
      <c r="W29" s="1506">
        <f t="shared" ref="W29:W47" si="14">J29</f>
        <v>100</v>
      </c>
      <c r="X29" s="1499"/>
      <c r="Y29" s="3517"/>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517"/>
      <c r="Q32" s="1504">
        <f t="shared" si="11"/>
        <v>111</v>
      </c>
      <c r="R32" s="1505" t="s">
        <v>8</v>
      </c>
      <c r="S32" s="1506">
        <f t="shared" si="12"/>
        <v>100</v>
      </c>
      <c r="T32" s="1505" t="s">
        <v>8</v>
      </c>
      <c r="U32" s="1506">
        <f t="shared" si="13"/>
        <v>100</v>
      </c>
      <c r="V32" s="1505" t="s">
        <v>8</v>
      </c>
      <c r="W32" s="1506">
        <f t="shared" si="14"/>
        <v>100</v>
      </c>
      <c r="X32" s="1499"/>
      <c r="Y32" s="3517"/>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18" t="s">
        <v>544</v>
      </c>
      <c r="Q33" s="1504" t="str">
        <f t="shared" si="11"/>
        <v>建筑类型</v>
      </c>
      <c r="R33" s="1505" t="s">
        <v>8</v>
      </c>
      <c r="S33" s="1506">
        <f t="shared" si="12"/>
        <v>100</v>
      </c>
      <c r="T33" s="1505" t="s">
        <v>8</v>
      </c>
      <c r="U33" s="1506">
        <f t="shared" si="13"/>
        <v>100</v>
      </c>
      <c r="V33" s="1505" t="s">
        <v>8</v>
      </c>
      <c r="W33" s="1506">
        <f t="shared" si="14"/>
        <v>100</v>
      </c>
      <c r="X33" s="1499"/>
      <c r="Y33" s="3519"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19"/>
      <c r="Q34" s="1533" t="str">
        <f t="shared" si="11"/>
        <v>项目建筑规模</v>
      </c>
      <c r="R34" s="1509" t="s">
        <v>8</v>
      </c>
      <c r="S34" s="1510" t="e">
        <f t="shared" si="12"/>
        <v>#N/A</v>
      </c>
      <c r="T34" s="1509" t="s">
        <v>8</v>
      </c>
      <c r="U34" s="1510" t="e">
        <f t="shared" si="13"/>
        <v>#N/A</v>
      </c>
      <c r="V34" s="1509" t="s">
        <v>8</v>
      </c>
      <c r="W34" s="1510" t="e">
        <f t="shared" si="14"/>
        <v>#N/A</v>
      </c>
      <c r="X34" s="1511"/>
      <c r="Y34" s="3519"/>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19"/>
      <c r="Q35" s="1504" t="str">
        <f t="shared" si="11"/>
        <v>建筑结构</v>
      </c>
      <c r="R35" s="1505" t="s">
        <v>8</v>
      </c>
      <c r="S35" s="1506">
        <f t="shared" si="12"/>
        <v>100</v>
      </c>
      <c r="T35" s="1505" t="s">
        <v>8</v>
      </c>
      <c r="U35" s="1506">
        <f t="shared" si="13"/>
        <v>100</v>
      </c>
      <c r="V35" s="1505" t="s">
        <v>8</v>
      </c>
      <c r="W35" s="1506">
        <f t="shared" si="14"/>
        <v>100</v>
      </c>
      <c r="X35" s="1499"/>
      <c r="Y35" s="3519"/>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19"/>
      <c r="Q36" s="1504" t="str">
        <f t="shared" si="11"/>
        <v>公共部分装修</v>
      </c>
      <c r="R36" s="1505" t="s">
        <v>8</v>
      </c>
      <c r="S36" s="1506">
        <f t="shared" si="12"/>
        <v>100</v>
      </c>
      <c r="T36" s="1505" t="s">
        <v>8</v>
      </c>
      <c r="U36" s="1506">
        <f t="shared" si="13"/>
        <v>100</v>
      </c>
      <c r="V36" s="1505" t="s">
        <v>8</v>
      </c>
      <c r="W36" s="1506">
        <f t="shared" si="14"/>
        <v>100</v>
      </c>
      <c r="X36" s="1499"/>
      <c r="Y36" s="3519"/>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19"/>
      <c r="Q37" s="1504" t="str">
        <f t="shared" si="11"/>
        <v>成新度</v>
      </c>
      <c r="R37" s="1505" t="s">
        <v>8</v>
      </c>
      <c r="S37" s="1506" t="e">
        <f t="shared" si="12"/>
        <v>#N/A</v>
      </c>
      <c r="T37" s="1505" t="s">
        <v>8</v>
      </c>
      <c r="U37" s="1506" t="e">
        <f t="shared" si="13"/>
        <v>#N/A</v>
      </c>
      <c r="V37" s="1505" t="s">
        <v>8</v>
      </c>
      <c r="W37" s="1506" t="e">
        <f t="shared" si="14"/>
        <v>#N/A</v>
      </c>
      <c r="X37" s="1499"/>
      <c r="Y37" s="3519"/>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19"/>
      <c r="Q38" s="1132" t="str">
        <f t="shared" si="11"/>
        <v>写字楼等级</v>
      </c>
      <c r="R38" s="1500" t="s">
        <v>8</v>
      </c>
      <c r="S38" s="1501">
        <f t="shared" si="12"/>
        <v>100</v>
      </c>
      <c r="T38" s="1500" t="s">
        <v>8</v>
      </c>
      <c r="U38" s="1501">
        <f t="shared" si="13"/>
        <v>100</v>
      </c>
      <c r="V38" s="1500" t="s">
        <v>8</v>
      </c>
      <c r="W38" s="1501">
        <f t="shared" si="14"/>
        <v>100</v>
      </c>
      <c r="X38" s="1502"/>
      <c r="Y38" s="3519"/>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19" t="s">
        <v>544</v>
      </c>
      <c r="Q39" s="1504" t="str">
        <f t="shared" si="11"/>
        <v>物业管理</v>
      </c>
      <c r="R39" s="1505" t="s">
        <v>8</v>
      </c>
      <c r="S39" s="1506">
        <f t="shared" si="12"/>
        <v>100</v>
      </c>
      <c r="T39" s="1505" t="s">
        <v>8</v>
      </c>
      <c r="U39" s="1506">
        <f t="shared" si="13"/>
        <v>100</v>
      </c>
      <c r="V39" s="1505" t="s">
        <v>8</v>
      </c>
      <c r="W39" s="1506">
        <f t="shared" si="14"/>
        <v>100</v>
      </c>
      <c r="X39" s="1499"/>
      <c r="Y39" s="3519"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19"/>
      <c r="Q40" s="1504" t="str">
        <f t="shared" si="11"/>
        <v>市政基础设施</v>
      </c>
      <c r="R40" s="1505" t="s">
        <v>8</v>
      </c>
      <c r="S40" s="1506">
        <f t="shared" si="12"/>
        <v>100</v>
      </c>
      <c r="T40" s="1505" t="s">
        <v>8</v>
      </c>
      <c r="U40" s="1506">
        <f t="shared" si="13"/>
        <v>100</v>
      </c>
      <c r="V40" s="1505" t="s">
        <v>8</v>
      </c>
      <c r="W40" s="1506">
        <f t="shared" si="14"/>
        <v>100</v>
      </c>
      <c r="X40" s="1499"/>
      <c r="Y40" s="3519"/>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19"/>
      <c r="Q41" s="1504" t="str">
        <f t="shared" si="11"/>
        <v>层高</v>
      </c>
      <c r="R41" s="1505" t="s">
        <v>8</v>
      </c>
      <c r="S41" s="1506">
        <f t="shared" si="12"/>
        <v>100</v>
      </c>
      <c r="T41" s="1505" t="s">
        <v>8</v>
      </c>
      <c r="U41" s="1506">
        <f t="shared" si="13"/>
        <v>100</v>
      </c>
      <c r="V41" s="1505" t="s">
        <v>8</v>
      </c>
      <c r="W41" s="1506">
        <f t="shared" si="14"/>
        <v>100</v>
      </c>
      <c r="X41" s="1499"/>
      <c r="Y41" s="3519"/>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19"/>
      <c r="Q42" s="1533" t="str">
        <f t="shared" si="11"/>
        <v>单套建筑面积</v>
      </c>
      <c r="R42" s="1509" t="s">
        <v>8</v>
      </c>
      <c r="S42" s="1510">
        <f t="shared" si="12"/>
        <v>100</v>
      </c>
      <c r="T42" s="1509" t="s">
        <v>8</v>
      </c>
      <c r="U42" s="1510">
        <f t="shared" si="13"/>
        <v>100</v>
      </c>
      <c r="V42" s="1509" t="s">
        <v>8</v>
      </c>
      <c r="W42" s="1510">
        <f t="shared" si="14"/>
        <v>100</v>
      </c>
      <c r="X42" s="1511"/>
      <c r="Y42" s="3519"/>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19"/>
      <c r="Q43" s="1504" t="str">
        <f t="shared" si="11"/>
        <v>内部装修</v>
      </c>
      <c r="R43" s="1505" t="s">
        <v>8</v>
      </c>
      <c r="S43" s="1506">
        <f t="shared" si="12"/>
        <v>100</v>
      </c>
      <c r="T43" s="1505" t="s">
        <v>8</v>
      </c>
      <c r="U43" s="1506">
        <f t="shared" si="13"/>
        <v>100</v>
      </c>
      <c r="V43" s="1505" t="s">
        <v>8</v>
      </c>
      <c r="W43" s="1506">
        <f t="shared" si="14"/>
        <v>100</v>
      </c>
      <c r="X43" s="1499"/>
      <c r="Y43" s="3519"/>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19"/>
      <c r="Q44" s="1504" t="str">
        <f t="shared" si="11"/>
        <v>内部装修维护情况</v>
      </c>
      <c r="R44" s="1505" t="s">
        <v>8</v>
      </c>
      <c r="S44" s="1506">
        <f t="shared" si="12"/>
        <v>100</v>
      </c>
      <c r="T44" s="1505" t="s">
        <v>8</v>
      </c>
      <c r="U44" s="1506">
        <f t="shared" si="13"/>
        <v>100</v>
      </c>
      <c r="V44" s="1505" t="s">
        <v>8</v>
      </c>
      <c r="W44" s="1506">
        <f t="shared" si="14"/>
        <v>100</v>
      </c>
      <c r="X44" s="1499"/>
      <c r="Y44" s="3519"/>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19"/>
      <c r="Q45" s="1132">
        <f t="shared" si="11"/>
        <v>111</v>
      </c>
      <c r="R45" s="1500" t="s">
        <v>8</v>
      </c>
      <c r="S45" s="1501">
        <f t="shared" si="12"/>
        <v>100</v>
      </c>
      <c r="T45" s="1500" t="s">
        <v>8</v>
      </c>
      <c r="U45" s="1501">
        <f t="shared" si="13"/>
        <v>100</v>
      </c>
      <c r="V45" s="1500" t="s">
        <v>8</v>
      </c>
      <c r="W45" s="1501">
        <f t="shared" si="14"/>
        <v>100</v>
      </c>
      <c r="X45" s="1502"/>
      <c r="Y45" s="3519"/>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19"/>
      <c r="Q46" s="1504">
        <f t="shared" si="11"/>
        <v>111</v>
      </c>
      <c r="R46" s="1505" t="s">
        <v>8</v>
      </c>
      <c r="S46" s="1506">
        <f t="shared" si="12"/>
        <v>100</v>
      </c>
      <c r="T46" s="1505" t="s">
        <v>8</v>
      </c>
      <c r="U46" s="1506">
        <f t="shared" si="13"/>
        <v>100</v>
      </c>
      <c r="V46" s="1505" t="s">
        <v>8</v>
      </c>
      <c r="W46" s="1506">
        <f t="shared" si="14"/>
        <v>100</v>
      </c>
      <c r="X46" s="1499"/>
      <c r="Y46" s="3519"/>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480" t="str">
        <f>A48</f>
        <v>成交单价（元/平方米）</v>
      </c>
      <c r="Q48" s="3482"/>
      <c r="R48" s="3602">
        <f>E48</f>
        <v>0</v>
      </c>
      <c r="S48" s="3602"/>
      <c r="T48" s="3602">
        <f>G48</f>
        <v>0</v>
      </c>
      <c r="U48" s="3602"/>
      <c r="V48" s="3602">
        <f>I48</f>
        <v>0</v>
      </c>
      <c r="W48" s="3602"/>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480" t="str">
        <f>A49</f>
        <v>比较价格（元/平方米）</v>
      </c>
      <c r="Q49" s="348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4" t="str">
        <f>A50</f>
        <v>估价对象XX用房的比较价格（楼面单价，元/平方米）</v>
      </c>
      <c r="Q50" s="3480"/>
      <c r="R50" s="3603" t="e">
        <f>IF(F1="售价",ROUND(IF(D49="简单平均",AVERAGE(R49:V49),R49*F49+T49*H49+V49*J49),0),ROUND(IF(D49="简单平均",AVERAGE(R49:V49),R49*F49+T49*H49+V49*J49),1))</f>
        <v>#DIV/0!</v>
      </c>
      <c r="S50" s="3603"/>
      <c r="T50" s="3603"/>
      <c r="U50" s="3603"/>
      <c r="V50" s="3603"/>
      <c r="W50" s="3603"/>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6"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513"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516" t="s">
        <v>534</v>
      </c>
      <c r="Q15" s="1504" t="str">
        <f t="shared" si="6"/>
        <v>产业集聚程度</v>
      </c>
      <c r="R15" s="1505" t="s">
        <v>8</v>
      </c>
      <c r="S15" s="1506">
        <f t="shared" si="0"/>
        <v>100</v>
      </c>
      <c r="T15" s="1505" t="s">
        <v>8</v>
      </c>
      <c r="U15" s="1506">
        <f t="shared" si="1"/>
        <v>100</v>
      </c>
      <c r="V15" s="1505" t="s">
        <v>8</v>
      </c>
      <c r="W15" s="1506">
        <f t="shared" si="2"/>
        <v>100</v>
      </c>
      <c r="X15" s="1499"/>
      <c r="Y15" s="3516"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517"/>
      <c r="Q25" s="1504">
        <f>B25</f>
        <v>111</v>
      </c>
      <c r="R25" s="1505" t="s">
        <v>8</v>
      </c>
      <c r="S25" s="1506">
        <f>F25</f>
        <v>100</v>
      </c>
      <c r="T25" s="1505" t="s">
        <v>8</v>
      </c>
      <c r="U25" s="1506">
        <f>H25</f>
        <v>100</v>
      </c>
      <c r="V25" s="1505" t="s">
        <v>8</v>
      </c>
      <c r="W25" s="1506">
        <f>J25</f>
        <v>100</v>
      </c>
      <c r="X25" s="1499"/>
      <c r="Y25" s="3517"/>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517"/>
      <c r="Q26" s="1504">
        <f t="shared" ref="Q26:Q40" si="11">B26</f>
        <v>111</v>
      </c>
      <c r="R26" s="1505" t="s">
        <v>8</v>
      </c>
      <c r="S26" s="1506">
        <f>F26</f>
        <v>100</v>
      </c>
      <c r="T26" s="1505" t="s">
        <v>8</v>
      </c>
      <c r="U26" s="1506">
        <f>H26</f>
        <v>100</v>
      </c>
      <c r="V26" s="1505" t="s">
        <v>8</v>
      </c>
      <c r="W26" s="1506">
        <f>J26</f>
        <v>100</v>
      </c>
      <c r="X26" s="1499"/>
      <c r="Y26" s="3517"/>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517"/>
      <c r="Q27" s="1132">
        <f t="shared" si="11"/>
        <v>111</v>
      </c>
      <c r="R27" s="1500" t="s">
        <v>8</v>
      </c>
      <c r="S27" s="1501">
        <f>F27</f>
        <v>100</v>
      </c>
      <c r="T27" s="1500" t="s">
        <v>8</v>
      </c>
      <c r="U27" s="1501">
        <f>H27</f>
        <v>100</v>
      </c>
      <c r="V27" s="1500" t="s">
        <v>8</v>
      </c>
      <c r="W27" s="1501">
        <f>J27</f>
        <v>100</v>
      </c>
      <c r="X27" s="1502"/>
      <c r="Y27" s="3517"/>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517"/>
      <c r="Q28" s="1504">
        <f t="shared" si="11"/>
        <v>111</v>
      </c>
      <c r="R28" s="1505" t="s">
        <v>8</v>
      </c>
      <c r="S28" s="1506">
        <f t="shared" ref="S28:S40" si="12">F28</f>
        <v>100</v>
      </c>
      <c r="T28" s="1505" t="s">
        <v>8</v>
      </c>
      <c r="U28" s="1506">
        <f t="shared" ref="U28:U40" si="13">H28</f>
        <v>100</v>
      </c>
      <c r="V28" s="1505" t="s">
        <v>8</v>
      </c>
      <c r="W28" s="1506">
        <f t="shared" ref="W28:W40" si="14">J28</f>
        <v>100</v>
      </c>
      <c r="X28" s="1499"/>
      <c r="Y28" s="3517"/>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18" t="s">
        <v>544</v>
      </c>
      <c r="Q29" s="1504" t="str">
        <f t="shared" si="11"/>
        <v>建筑类型</v>
      </c>
      <c r="R29" s="1505" t="s">
        <v>8</v>
      </c>
      <c r="S29" s="1506">
        <f t="shared" si="12"/>
        <v>100</v>
      </c>
      <c r="T29" s="1505" t="s">
        <v>8</v>
      </c>
      <c r="U29" s="1506">
        <f t="shared" si="13"/>
        <v>100</v>
      </c>
      <c r="V29" s="1505" t="s">
        <v>8</v>
      </c>
      <c r="W29" s="1506">
        <f t="shared" si="14"/>
        <v>100</v>
      </c>
      <c r="X29" s="1499"/>
      <c r="Y29" s="3519"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19"/>
      <c r="Q30" s="1533" t="str">
        <f t="shared" si="11"/>
        <v>项目建筑规模</v>
      </c>
      <c r="R30" s="1509" t="s">
        <v>8</v>
      </c>
      <c r="S30" s="1510" t="e">
        <f t="shared" si="12"/>
        <v>#N/A</v>
      </c>
      <c r="T30" s="1509" t="s">
        <v>8</v>
      </c>
      <c r="U30" s="1510" t="e">
        <f t="shared" si="13"/>
        <v>#N/A</v>
      </c>
      <c r="V30" s="1509" t="s">
        <v>8</v>
      </c>
      <c r="W30" s="1510" t="e">
        <f t="shared" si="14"/>
        <v>#N/A</v>
      </c>
      <c r="X30" s="1511"/>
      <c r="Y30" s="3519"/>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19"/>
      <c r="Q31" s="1504" t="str">
        <f t="shared" si="11"/>
        <v>建筑结构</v>
      </c>
      <c r="R31" s="1505" t="s">
        <v>8</v>
      </c>
      <c r="S31" s="1506">
        <f t="shared" si="12"/>
        <v>100</v>
      </c>
      <c r="T31" s="1505" t="s">
        <v>8</v>
      </c>
      <c r="U31" s="1506">
        <f t="shared" si="13"/>
        <v>100</v>
      </c>
      <c r="V31" s="1505" t="s">
        <v>8</v>
      </c>
      <c r="W31" s="1506">
        <f t="shared" si="14"/>
        <v>100</v>
      </c>
      <c r="X31" s="1499"/>
      <c r="Y31" s="3519"/>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19"/>
      <c r="Q32" s="1504" t="str">
        <f t="shared" si="11"/>
        <v>公共部分装修</v>
      </c>
      <c r="R32" s="1505" t="s">
        <v>8</v>
      </c>
      <c r="S32" s="1506">
        <f t="shared" si="12"/>
        <v>100</v>
      </c>
      <c r="T32" s="1505" t="s">
        <v>8</v>
      </c>
      <c r="U32" s="1506">
        <f t="shared" si="13"/>
        <v>100</v>
      </c>
      <c r="V32" s="1505" t="s">
        <v>8</v>
      </c>
      <c r="W32" s="1506">
        <f t="shared" si="14"/>
        <v>100</v>
      </c>
      <c r="X32" s="1499"/>
      <c r="Y32" s="3519"/>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19"/>
      <c r="Q33" s="1504" t="str">
        <f t="shared" si="11"/>
        <v>成新度</v>
      </c>
      <c r="R33" s="1505" t="s">
        <v>8</v>
      </c>
      <c r="S33" s="1506" t="e">
        <f t="shared" si="12"/>
        <v>#N/A</v>
      </c>
      <c r="T33" s="1505" t="s">
        <v>8</v>
      </c>
      <c r="U33" s="1506" t="e">
        <f t="shared" si="13"/>
        <v>#N/A</v>
      </c>
      <c r="V33" s="1505" t="s">
        <v>8</v>
      </c>
      <c r="W33" s="1506" t="e">
        <f t="shared" si="14"/>
        <v>#N/A</v>
      </c>
      <c r="X33" s="1499"/>
      <c r="Y33" s="3519"/>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19"/>
      <c r="Q34" s="1132" t="str">
        <f t="shared" si="11"/>
        <v>物业管理</v>
      </c>
      <c r="R34" s="1500" t="s">
        <v>8</v>
      </c>
      <c r="S34" s="1501">
        <f t="shared" si="12"/>
        <v>100</v>
      </c>
      <c r="T34" s="1500" t="s">
        <v>8</v>
      </c>
      <c r="U34" s="1501">
        <f t="shared" si="13"/>
        <v>100</v>
      </c>
      <c r="V34" s="1500" t="s">
        <v>8</v>
      </c>
      <c r="W34" s="1501">
        <f t="shared" si="14"/>
        <v>100</v>
      </c>
      <c r="X34" s="1502"/>
      <c r="Y34" s="3519"/>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19" t="s">
        <v>544</v>
      </c>
      <c r="Q35" s="1504" t="str">
        <f t="shared" si="11"/>
        <v>市政基础设施</v>
      </c>
      <c r="R35" s="1505" t="s">
        <v>8</v>
      </c>
      <c r="S35" s="1506">
        <f t="shared" si="12"/>
        <v>100</v>
      </c>
      <c r="T35" s="1505" t="s">
        <v>8</v>
      </c>
      <c r="U35" s="1506">
        <f t="shared" si="13"/>
        <v>100</v>
      </c>
      <c r="V35" s="1505" t="s">
        <v>8</v>
      </c>
      <c r="W35" s="1506">
        <f t="shared" si="14"/>
        <v>100</v>
      </c>
      <c r="X35" s="1499"/>
      <c r="Y35" s="3519"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19"/>
      <c r="Q36" s="1504" t="str">
        <f t="shared" si="11"/>
        <v>内部装修</v>
      </c>
      <c r="R36" s="1505" t="s">
        <v>8</v>
      </c>
      <c r="S36" s="1506">
        <f t="shared" si="12"/>
        <v>100</v>
      </c>
      <c r="T36" s="1505" t="s">
        <v>8</v>
      </c>
      <c r="U36" s="1506">
        <f t="shared" si="13"/>
        <v>100</v>
      </c>
      <c r="V36" s="1505" t="s">
        <v>8</v>
      </c>
      <c r="W36" s="1506">
        <f t="shared" si="14"/>
        <v>100</v>
      </c>
      <c r="X36" s="1499"/>
      <c r="Y36" s="3519"/>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19"/>
      <c r="Q37" s="1504" t="str">
        <f t="shared" si="11"/>
        <v>内部装修状况</v>
      </c>
      <c r="R37" s="1505" t="s">
        <v>8</v>
      </c>
      <c r="S37" s="1506">
        <f t="shared" si="12"/>
        <v>100</v>
      </c>
      <c r="T37" s="1505" t="s">
        <v>8</v>
      </c>
      <c r="U37" s="1506">
        <f t="shared" si="13"/>
        <v>100</v>
      </c>
      <c r="V37" s="1505" t="s">
        <v>8</v>
      </c>
      <c r="W37" s="1506">
        <f t="shared" si="14"/>
        <v>100</v>
      </c>
      <c r="X37" s="1499"/>
      <c r="Y37" s="3519"/>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19"/>
      <c r="Q38" s="1533">
        <f t="shared" si="11"/>
        <v>111</v>
      </c>
      <c r="R38" s="1509" t="s">
        <v>8</v>
      </c>
      <c r="S38" s="1510">
        <f t="shared" si="12"/>
        <v>100</v>
      </c>
      <c r="T38" s="1509" t="s">
        <v>8</v>
      </c>
      <c r="U38" s="1510">
        <f t="shared" si="13"/>
        <v>100</v>
      </c>
      <c r="V38" s="1509" t="s">
        <v>8</v>
      </c>
      <c r="W38" s="1510">
        <f t="shared" si="14"/>
        <v>100</v>
      </c>
      <c r="X38" s="1511"/>
      <c r="Y38" s="3519"/>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19"/>
      <c r="Q39" s="1504">
        <f t="shared" si="11"/>
        <v>111</v>
      </c>
      <c r="R39" s="1505" t="s">
        <v>8</v>
      </c>
      <c r="S39" s="1506">
        <f t="shared" si="12"/>
        <v>100</v>
      </c>
      <c r="T39" s="1505" t="s">
        <v>8</v>
      </c>
      <c r="U39" s="1506">
        <f t="shared" si="13"/>
        <v>100</v>
      </c>
      <c r="V39" s="1505" t="s">
        <v>8</v>
      </c>
      <c r="W39" s="1506">
        <f t="shared" si="14"/>
        <v>100</v>
      </c>
      <c r="X39" s="1499"/>
      <c r="Y39" s="3519"/>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82" t="str">
        <f>A41</f>
        <v>成交单价（元/平方米）</v>
      </c>
      <c r="Q41" s="3482"/>
      <c r="R41" s="3602">
        <f>E41</f>
        <v>0</v>
      </c>
      <c r="S41" s="3602"/>
      <c r="T41" s="3602">
        <f>G41</f>
        <v>0</v>
      </c>
      <c r="U41" s="3602"/>
      <c r="V41" s="3602">
        <f>I41</f>
        <v>0</v>
      </c>
      <c r="W41" s="3602"/>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82" t="str">
        <f>A42</f>
        <v>比较价格（元/平方米）</v>
      </c>
      <c r="Q42" s="348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479" t="str">
        <f>A43</f>
        <v>估价对象XX用房的比较价格（楼面单价，元/平方米）</v>
      </c>
      <c r="Q43" s="3480"/>
      <c r="R43" s="3603" t="e">
        <f>IF(F1="售价",ROUND(IF(D42="简单平均",AVERAGE(R42:V42),R42*F42+T42*H42+V42*J42),0),ROUND(IF(D42="简单平均",AVERAGE(R42:V42),R42*F42+T42*H42+V42*J42),1))</f>
        <v>#DIV/0!</v>
      </c>
      <c r="S43" s="3603"/>
      <c r="T43" s="3603"/>
      <c r="U43" s="3603"/>
      <c r="V43" s="3603"/>
      <c r="W43" s="3603"/>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488" t="s">
        <v>793</v>
      </c>
      <c r="F4" s="3489"/>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04" t="s">
        <v>2887</v>
      </c>
      <c r="F5" s="350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06" t="s">
        <v>2890</v>
      </c>
      <c r="F6" s="3507"/>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517"/>
      <c r="Q24" s="1504">
        <f t="shared" ref="Q24:Q36"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1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9"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19"/>
      <c r="Q27" s="1533" t="str">
        <f t="shared" si="11"/>
        <v>项目停车位配比</v>
      </c>
      <c r="R27" s="1509" t="s">
        <v>8</v>
      </c>
      <c r="S27" s="1510">
        <f t="shared" si="12"/>
        <v>100</v>
      </c>
      <c r="T27" s="1509" t="s">
        <v>8</v>
      </c>
      <c r="U27" s="1510">
        <f t="shared" si="13"/>
        <v>100</v>
      </c>
      <c r="V27" s="1509" t="s">
        <v>8</v>
      </c>
      <c r="W27" s="1510">
        <f t="shared" si="14"/>
        <v>100</v>
      </c>
      <c r="X27" s="1511"/>
      <c r="Y27" s="3519"/>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19"/>
      <c r="Q28" s="1504" t="str">
        <f t="shared" si="11"/>
        <v>公共部分装修</v>
      </c>
      <c r="R28" s="1505" t="s">
        <v>8</v>
      </c>
      <c r="S28" s="1506">
        <f t="shared" si="12"/>
        <v>100</v>
      </c>
      <c r="T28" s="1505" t="s">
        <v>8</v>
      </c>
      <c r="U28" s="1506">
        <f t="shared" si="13"/>
        <v>100</v>
      </c>
      <c r="V28" s="1505" t="s">
        <v>8</v>
      </c>
      <c r="W28" s="1506">
        <f t="shared" si="14"/>
        <v>100</v>
      </c>
      <c r="X28" s="1499"/>
      <c r="Y28" s="3519"/>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19"/>
      <c r="Q29" s="1504" t="str">
        <f t="shared" si="11"/>
        <v>成新率</v>
      </c>
      <c r="R29" s="1505" t="s">
        <v>8</v>
      </c>
      <c r="S29" s="1506" t="e">
        <f t="shared" si="12"/>
        <v>#N/A</v>
      </c>
      <c r="T29" s="1505" t="s">
        <v>8</v>
      </c>
      <c r="U29" s="1506" t="e">
        <f t="shared" si="13"/>
        <v>#N/A</v>
      </c>
      <c r="V29" s="1505" t="s">
        <v>8</v>
      </c>
      <c r="W29" s="1506" t="e">
        <f t="shared" si="14"/>
        <v>#N/A</v>
      </c>
      <c r="X29" s="1499"/>
      <c r="Y29" s="3519"/>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19"/>
      <c r="Q30" s="1504" t="str">
        <f t="shared" si="11"/>
        <v>物业等级</v>
      </c>
      <c r="R30" s="1505" t="s">
        <v>8</v>
      </c>
      <c r="S30" s="1506">
        <f t="shared" si="12"/>
        <v>100</v>
      </c>
      <c r="T30" s="1505" t="s">
        <v>8</v>
      </c>
      <c r="U30" s="1506">
        <f t="shared" si="13"/>
        <v>100</v>
      </c>
      <c r="V30" s="1505" t="s">
        <v>8</v>
      </c>
      <c r="W30" s="1506">
        <f t="shared" si="14"/>
        <v>100</v>
      </c>
      <c r="X30" s="1499"/>
      <c r="Y30" s="3519"/>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19"/>
      <c r="Q31" s="1132" t="str">
        <f t="shared" si="11"/>
        <v>停车位面积</v>
      </c>
      <c r="R31" s="1500" t="s">
        <v>8</v>
      </c>
      <c r="S31" s="1501" t="e">
        <f t="shared" si="12"/>
        <v>#N/A</v>
      </c>
      <c r="T31" s="1500" t="s">
        <v>8</v>
      </c>
      <c r="U31" s="1501" t="e">
        <f t="shared" si="13"/>
        <v>#N/A</v>
      </c>
      <c r="V31" s="1500" t="s">
        <v>8</v>
      </c>
      <c r="W31" s="1501" t="e">
        <f t="shared" si="14"/>
        <v>#N/A</v>
      </c>
      <c r="X31" s="1502"/>
      <c r="Y31" s="3519"/>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19" t="s">
        <v>544</v>
      </c>
      <c r="Q32" s="1504" t="str">
        <f t="shared" si="11"/>
        <v>车位类型</v>
      </c>
      <c r="R32" s="1505" t="s">
        <v>8</v>
      </c>
      <c r="S32" s="1506">
        <f t="shared" si="12"/>
        <v>100</v>
      </c>
      <c r="T32" s="1505" t="s">
        <v>8</v>
      </c>
      <c r="U32" s="1506">
        <f t="shared" si="13"/>
        <v>100</v>
      </c>
      <c r="V32" s="1505" t="s">
        <v>8</v>
      </c>
      <c r="W32" s="1506">
        <f t="shared" si="14"/>
        <v>100</v>
      </c>
      <c r="X32" s="1499"/>
      <c r="Y32" s="3519"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19"/>
      <c r="Q33" s="1504" t="str">
        <f t="shared" si="11"/>
        <v>是否直接入户</v>
      </c>
      <c r="R33" s="1505" t="s">
        <v>8</v>
      </c>
      <c r="S33" s="1506">
        <f t="shared" si="12"/>
        <v>100</v>
      </c>
      <c r="T33" s="1505" t="s">
        <v>8</v>
      </c>
      <c r="U33" s="1506">
        <f t="shared" si="13"/>
        <v>100</v>
      </c>
      <c r="V33" s="1505" t="s">
        <v>8</v>
      </c>
      <c r="W33" s="1506">
        <f t="shared" si="14"/>
        <v>100</v>
      </c>
      <c r="X33" s="1499"/>
      <c r="Y33" s="3519"/>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19"/>
      <c r="Q35" s="1533">
        <f t="shared" si="11"/>
        <v>111</v>
      </c>
      <c r="R35" s="1509" t="s">
        <v>8</v>
      </c>
      <c r="S35" s="1510">
        <f t="shared" si="12"/>
        <v>100</v>
      </c>
      <c r="T35" s="1509" t="s">
        <v>8</v>
      </c>
      <c r="U35" s="1510">
        <f t="shared" si="13"/>
        <v>100</v>
      </c>
      <c r="V35" s="1509" t="s">
        <v>8</v>
      </c>
      <c r="W35" s="1510">
        <f t="shared" si="14"/>
        <v>100</v>
      </c>
      <c r="X35" s="1511"/>
      <c r="Y35" s="3519"/>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19"/>
      <c r="Q36" s="1504">
        <f t="shared" si="11"/>
        <v>111</v>
      </c>
      <c r="R36" s="1505" t="s">
        <v>8</v>
      </c>
      <c r="S36" s="1506">
        <f t="shared" si="12"/>
        <v>100</v>
      </c>
      <c r="T36" s="1505" t="s">
        <v>8</v>
      </c>
      <c r="U36" s="1506">
        <f t="shared" si="13"/>
        <v>100</v>
      </c>
      <c r="V36" s="1505" t="s">
        <v>8</v>
      </c>
      <c r="W36" s="1506">
        <f t="shared" si="14"/>
        <v>100</v>
      </c>
      <c r="X36" s="1499"/>
      <c r="Y36" s="3519"/>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82" t="str">
        <f>A37</f>
        <v>成交单价</v>
      </c>
      <c r="Q37" s="3482"/>
      <c r="R37" s="3602">
        <f>E37</f>
        <v>0</v>
      </c>
      <c r="S37" s="3602"/>
      <c r="T37" s="3602">
        <f>G37</f>
        <v>0</v>
      </c>
      <c r="U37" s="3602"/>
      <c r="V37" s="3602">
        <f>I37</f>
        <v>0</v>
      </c>
      <c r="W37" s="3602"/>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82" t="str">
        <f>A38</f>
        <v>比较价格（元/平方米）</v>
      </c>
      <c r="Q38" s="348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479" t="str">
        <f>A39</f>
        <v>估价对象XX用房的比较价格（楼面单价，元/平方米）</v>
      </c>
      <c r="Q39" s="3480"/>
      <c r="R39" s="3603" t="e">
        <f>IF(F1="售价",ROUND(IF(D38="简单平均",AVERAGE(R38:W38),R38*F38+T38*H38+V38*J38),0),ROUND(IF(D38="简单平均",AVERAGE(R38:V38),R38*F38+T38*H38+V38*J38),1))</f>
        <v>#DIV/0!</v>
      </c>
      <c r="S39" s="3603"/>
      <c r="T39" s="3603"/>
      <c r="U39" s="3603"/>
      <c r="V39" s="3603"/>
      <c r="W39" s="3603"/>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522" t="s">
        <v>793</v>
      </c>
      <c r="F4" s="3523"/>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517"/>
      <c r="Q24" s="1504">
        <f t="shared" ref="Q24:Q34"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1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9"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19"/>
      <c r="Q27" s="1533" t="str">
        <f t="shared" si="11"/>
        <v>成新率</v>
      </c>
      <c r="R27" s="1509" t="s">
        <v>8</v>
      </c>
      <c r="S27" s="1510" t="e">
        <f t="shared" si="12"/>
        <v>#N/A</v>
      </c>
      <c r="T27" s="1509" t="s">
        <v>8</v>
      </c>
      <c r="U27" s="1510" t="e">
        <f t="shared" si="13"/>
        <v>#N/A</v>
      </c>
      <c r="V27" s="1509" t="s">
        <v>8</v>
      </c>
      <c r="W27" s="1510" t="e">
        <f t="shared" si="14"/>
        <v>#N/A</v>
      </c>
      <c r="X27" s="1511"/>
      <c r="Y27" s="3519"/>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19"/>
      <c r="Q28" s="1504" t="str">
        <f t="shared" si="11"/>
        <v>物业等级</v>
      </c>
      <c r="R28" s="1505" t="s">
        <v>8</v>
      </c>
      <c r="S28" s="1506">
        <f t="shared" si="12"/>
        <v>100</v>
      </c>
      <c r="T28" s="1505" t="s">
        <v>8</v>
      </c>
      <c r="U28" s="1506">
        <f t="shared" si="13"/>
        <v>100</v>
      </c>
      <c r="V28" s="1505" t="s">
        <v>8</v>
      </c>
      <c r="W28" s="1506">
        <f t="shared" si="14"/>
        <v>100</v>
      </c>
      <c r="X28" s="1499"/>
      <c r="Y28" s="3519"/>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19"/>
      <c r="Q29" s="1504" t="str">
        <f t="shared" si="11"/>
        <v>有无电梯</v>
      </c>
      <c r="R29" s="1505" t="s">
        <v>8</v>
      </c>
      <c r="S29" s="1506">
        <f t="shared" si="12"/>
        <v>100</v>
      </c>
      <c r="T29" s="1505" t="s">
        <v>8</v>
      </c>
      <c r="U29" s="1506">
        <f t="shared" si="13"/>
        <v>100</v>
      </c>
      <c r="V29" s="1505" t="s">
        <v>8</v>
      </c>
      <c r="W29" s="1506">
        <f t="shared" si="14"/>
        <v>100</v>
      </c>
      <c r="X29" s="1499"/>
      <c r="Y29" s="3519"/>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19"/>
      <c r="Q30" s="1504" t="str">
        <f t="shared" si="11"/>
        <v>建筑面积</v>
      </c>
      <c r="R30" s="1505" t="s">
        <v>8</v>
      </c>
      <c r="S30" s="1506" t="e">
        <f t="shared" si="12"/>
        <v>#N/A</v>
      </c>
      <c r="T30" s="1505" t="s">
        <v>8</v>
      </c>
      <c r="U30" s="1506" t="e">
        <f t="shared" si="13"/>
        <v>#N/A</v>
      </c>
      <c r="V30" s="1505" t="s">
        <v>8</v>
      </c>
      <c r="W30" s="1506" t="e">
        <f t="shared" si="14"/>
        <v>#N/A</v>
      </c>
      <c r="X30" s="1499"/>
      <c r="Y30" s="3519"/>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19"/>
      <c r="Q31" s="1132" t="str">
        <f t="shared" si="11"/>
        <v>是否封闭</v>
      </c>
      <c r="R31" s="1500" t="s">
        <v>8</v>
      </c>
      <c r="S31" s="1501">
        <f t="shared" si="12"/>
        <v>100</v>
      </c>
      <c r="T31" s="1500" t="s">
        <v>8</v>
      </c>
      <c r="U31" s="1501">
        <f t="shared" si="13"/>
        <v>100</v>
      </c>
      <c r="V31" s="1500" t="s">
        <v>8</v>
      </c>
      <c r="W31" s="1501">
        <f t="shared" si="14"/>
        <v>100</v>
      </c>
      <c r="X31" s="1502"/>
      <c r="Y31" s="3519"/>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19" t="s">
        <v>544</v>
      </c>
      <c r="Q32" s="1504">
        <f t="shared" si="11"/>
        <v>111</v>
      </c>
      <c r="R32" s="1505" t="s">
        <v>8</v>
      </c>
      <c r="S32" s="1506">
        <f t="shared" si="12"/>
        <v>100</v>
      </c>
      <c r="T32" s="1505" t="s">
        <v>8</v>
      </c>
      <c r="U32" s="1506">
        <f t="shared" si="13"/>
        <v>100</v>
      </c>
      <c r="V32" s="1505" t="s">
        <v>8</v>
      </c>
      <c r="W32" s="1506">
        <f t="shared" si="14"/>
        <v>100</v>
      </c>
      <c r="X32" s="1499"/>
      <c r="Y32" s="3519"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19"/>
      <c r="Q33" s="1504">
        <f t="shared" si="11"/>
        <v>111</v>
      </c>
      <c r="R33" s="1505" t="s">
        <v>8</v>
      </c>
      <c r="S33" s="1506">
        <f t="shared" si="12"/>
        <v>100</v>
      </c>
      <c r="T33" s="1505" t="s">
        <v>8</v>
      </c>
      <c r="U33" s="1506">
        <f t="shared" si="13"/>
        <v>100</v>
      </c>
      <c r="V33" s="1505" t="s">
        <v>8</v>
      </c>
      <c r="W33" s="1506">
        <f t="shared" si="14"/>
        <v>100</v>
      </c>
      <c r="X33" s="1499"/>
      <c r="Y33" s="3519"/>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82" t="str">
        <f>A35</f>
        <v>成交单价（元/平方米）</v>
      </c>
      <c r="Q35" s="3482"/>
      <c r="R35" s="3602">
        <f>E35</f>
        <v>0</v>
      </c>
      <c r="S35" s="3602"/>
      <c r="T35" s="3602">
        <f>G35</f>
        <v>0</v>
      </c>
      <c r="U35" s="3602"/>
      <c r="V35" s="3602">
        <f>I35</f>
        <v>0</v>
      </c>
      <c r="W35" s="3602"/>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82" t="str">
        <f>A36</f>
        <v>比较价格（元/平方米）</v>
      </c>
      <c r="Q36" s="348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479" t="str">
        <f>A37</f>
        <v>估价对象XX用房的比较价格（楼面单价，元/平方米）</v>
      </c>
      <c r="Q37" s="3480"/>
      <c r="R37" s="3603" t="e">
        <f>IF(F1="售价",ROUND(IF(D36="简单平均",AVERAGE(R36:W36),R36*F36+T36*H36+V36*J36),0),ROUND(IF(D36="简单平均",AVERAGE(R36:V36),R36*F36+T36*H36+V36*J36),1))</f>
        <v>#DIV/0!</v>
      </c>
      <c r="S37" s="3603"/>
      <c r="T37" s="3603"/>
      <c r="U37" s="3603"/>
      <c r="V37" s="3603"/>
      <c r="W37" s="3603"/>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F10" sqref="F10"/>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30" workbookViewId="0">
      <selection activeCell="N135" sqref="N1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7" t="s">
        <v>2027</v>
      </c>
      <c r="B1" s="3307"/>
      <c r="C1" s="3307"/>
      <c r="D1" s="3307"/>
      <c r="E1" s="3307"/>
      <c r="F1" s="3307"/>
      <c r="G1" s="3307"/>
      <c r="H1" s="3307"/>
      <c r="I1" s="3307"/>
      <c r="J1" s="3307"/>
      <c r="K1" s="3307"/>
      <c r="L1" s="3307"/>
      <c r="M1" s="3307"/>
      <c r="N1" s="3307"/>
      <c r="O1" s="3307"/>
      <c r="P1" s="3307"/>
      <c r="Q1" s="3307"/>
      <c r="R1" s="3307"/>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8" t="s">
        <v>2018</v>
      </c>
      <c r="B3" s="3308" t="s">
        <v>2711</v>
      </c>
      <c r="C3" s="3309" t="s">
        <v>2019</v>
      </c>
      <c r="D3" s="3308" t="s">
        <v>2715</v>
      </c>
      <c r="E3" s="3311" t="s">
        <v>2020</v>
      </c>
      <c r="F3" s="3311"/>
      <c r="G3" s="3311"/>
      <c r="H3" s="3311" t="s">
        <v>2021</v>
      </c>
      <c r="I3" s="3311"/>
      <c r="J3" s="3311"/>
      <c r="K3" s="3309" t="s">
        <v>2022</v>
      </c>
      <c r="L3" s="3309" t="s">
        <v>2023</v>
      </c>
      <c r="M3" s="3308" t="s">
        <v>2712</v>
      </c>
      <c r="N3" s="3310" t="str">
        <f>"（分摊）"&amp;项目基本情况!B16&amp;"国有建设用地使用权面积/㎡"</f>
        <v>（分摊）出让国有建设用地使用权面积/㎡</v>
      </c>
      <c r="O3" s="3308" t="s">
        <v>2052</v>
      </c>
      <c r="P3" s="3309" t="s">
        <v>2032</v>
      </c>
      <c r="Q3" s="3309" t="s">
        <v>2053</v>
      </c>
      <c r="R3" s="3309" t="s">
        <v>2024</v>
      </c>
    </row>
    <row r="4" spans="1:18" ht="36.75" customHeight="1">
      <c r="A4" s="3308"/>
      <c r="B4" s="3308"/>
      <c r="C4" s="3309"/>
      <c r="D4" s="3308"/>
      <c r="E4" s="2489" t="s">
        <v>2031</v>
      </c>
      <c r="F4" s="2489" t="s">
        <v>2724</v>
      </c>
      <c r="G4" s="2489" t="s">
        <v>2025</v>
      </c>
      <c r="H4" s="2489" t="s">
        <v>2026</v>
      </c>
      <c r="I4" s="2489" t="s">
        <v>2725</v>
      </c>
      <c r="J4" s="2489" t="s">
        <v>2025</v>
      </c>
      <c r="K4" s="3309"/>
      <c r="L4" s="3309"/>
      <c r="M4" s="3308"/>
      <c r="N4" s="3310"/>
      <c r="O4" s="3308"/>
      <c r="P4" s="3309"/>
      <c r="Q4" s="3309"/>
      <c r="R4" s="3309"/>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178018.61</v>
      </c>
      <c r="O5" s="1723">
        <f>项目基本情况!C21</f>
        <v>331534.86</v>
      </c>
      <c r="P5" s="1723">
        <f ca="1">结果表!E42</f>
        <v>1608</v>
      </c>
      <c r="Q5" s="1723">
        <f ca="1">结果表!D42</f>
        <v>864</v>
      </c>
      <c r="R5" s="1724">
        <f ca="1">结果表!C42</f>
        <v>28633</v>
      </c>
    </row>
    <row r="6" spans="1:18">
      <c r="A6" s="3312" t="str">
        <f>IF(项目基本情况!B9="市场价格","——","抵押价格")</f>
        <v>抵押价格</v>
      </c>
      <c r="B6" s="3313"/>
      <c r="C6" s="3313"/>
      <c r="D6" s="3313"/>
      <c r="E6" s="3313"/>
      <c r="F6" s="3313"/>
      <c r="G6" s="3313"/>
      <c r="H6" s="3313"/>
      <c r="I6" s="3313"/>
      <c r="J6" s="3313"/>
      <c r="K6" s="3313"/>
      <c r="L6" s="3313"/>
      <c r="M6" s="3313"/>
      <c r="N6" s="3313"/>
      <c r="O6" s="3313"/>
      <c r="P6" s="3313"/>
      <c r="Q6" s="3314"/>
      <c r="R6" s="1725">
        <f ca="1">结果表!O39</f>
        <v>28633</v>
      </c>
    </row>
    <row r="7" spans="1:18">
      <c r="A7" s="3312" t="str">
        <f>IF(项目基本情况!B9="市场价格","——",IF(项目基本情况!E8="已注销及未注销","抵押担保权已注销时的抵押价格","——"))</f>
        <v>——</v>
      </c>
      <c r="B7" s="3313"/>
      <c r="C7" s="3313"/>
      <c r="D7" s="3313"/>
      <c r="E7" s="3313"/>
      <c r="F7" s="3313"/>
      <c r="G7" s="3313"/>
      <c r="H7" s="3313"/>
      <c r="I7" s="3313"/>
      <c r="J7" s="3313"/>
      <c r="K7" s="3313"/>
      <c r="L7" s="3313"/>
      <c r="M7" s="3313"/>
      <c r="N7" s="3313"/>
      <c r="O7" s="3313"/>
      <c r="P7" s="3313"/>
      <c r="Q7" s="3314"/>
      <c r="R7" s="1725" t="str">
        <f>结果表!O40</f>
        <v>——</v>
      </c>
    </row>
    <row r="8" spans="1:18">
      <c r="A8" s="3312" t="str">
        <f>IF(项目基本情况!B9="市场价格","——",项目基本情况!E9)</f>
        <v>抵押净值</v>
      </c>
      <c r="B8" s="3313"/>
      <c r="C8" s="3313"/>
      <c r="D8" s="3313"/>
      <c r="E8" s="3313"/>
      <c r="F8" s="3313"/>
      <c r="G8" s="3313"/>
      <c r="H8" s="3313"/>
      <c r="I8" s="3313"/>
      <c r="J8" s="3313"/>
      <c r="K8" s="3313"/>
      <c r="L8" s="3313"/>
      <c r="M8" s="3313"/>
      <c r="N8" s="3313"/>
      <c r="O8" s="3313"/>
      <c r="P8" s="3313"/>
      <c r="Q8" s="3314"/>
      <c r="R8" s="1725">
        <f ca="1">结果表!O41</f>
        <v>26711</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6" t="s">
        <v>2054</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2055</v>
      </c>
      <c r="B5" s="3315"/>
      <c r="C5" s="3315"/>
      <c r="D5" s="3315"/>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5" t="s">
        <v>2057</v>
      </c>
      <c r="B12" s="3315"/>
      <c r="C12" s="3315"/>
      <c r="D12" s="3315"/>
    </row>
    <row r="13" spans="1:4">
      <c r="A13" s="3319" t="s">
        <v>2726</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44295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3139</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2021-04-09T06:51:41Z</dcterms:modified>
</cp:coreProperties>
</file>